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-15" yWindow="-15" windowWidth="14520" windowHeight="12840" firstSheet="1" activeTab="4"/>
  </bookViews>
  <sheets>
    <sheet name="прил 1конс РЗ,ПЗ" sheetId="29" state="hidden" r:id="rId1"/>
    <sheet name="Прил1 Рез ФОНД -2020г" sheetId="32" r:id="rId2"/>
    <sheet name="прил2-сп" sheetId="24" r:id="rId3"/>
    <sheet name="прил3- БИ " sheetId="22" r:id="rId4"/>
    <sheet name="прил 4 дор фонд" sheetId="23" r:id="rId5"/>
    <sheet name="прил 5 публ об" sheetId="20" r:id="rId6"/>
    <sheet name="Мун Рай Разд подр" sheetId="12" state="hidden" r:id="rId7"/>
    <sheet name="прил 16 вед стр 20г" sheetId="4" state="hidden" r:id="rId8"/>
    <sheet name="Лист1" sheetId="19" r:id="rId9"/>
  </sheets>
  <externalReferences>
    <externalReference r:id="rId10"/>
  </externalReferences>
  <definedNames>
    <definedName name="_xlnm._FilterDatabase" localSheetId="7" hidden="1">'прил 16 вед стр 20г'!$A$7:$M$701</definedName>
    <definedName name="_xlnm._FilterDatabase" localSheetId="1" hidden="1">'Прил1 Рез ФОНД -2020г'!$A$6:$J$74</definedName>
    <definedName name="В11" localSheetId="6">#REF!</definedName>
    <definedName name="В11" localSheetId="0">#REF!</definedName>
    <definedName name="В11" localSheetId="4">#REF!</definedName>
    <definedName name="В11" localSheetId="5">#REF!</definedName>
    <definedName name="В11" localSheetId="1">#REF!</definedName>
    <definedName name="В11" localSheetId="2">#REF!</definedName>
    <definedName name="В11" localSheetId="3">#REF!</definedName>
    <definedName name="В11">#REF!</definedName>
    <definedName name="_xlnm.Print_Titles" localSheetId="7">'прил 16 вед стр 20г'!$8:$8</definedName>
    <definedName name="_xlnm.Print_Titles" localSheetId="1">'Прил1 Рез ФОНД -2020г'!$6:$6</definedName>
    <definedName name="_xlnm.Print_Area" localSheetId="6">'Мун Рай Разд подр'!$A$1:$I$66</definedName>
    <definedName name="_xlnm.Print_Area" localSheetId="7">'прил 16 вед стр 20г'!$A$1:$I$593</definedName>
    <definedName name="_xlnm.Print_Area" localSheetId="0">'прил 1конс РЗ,ПЗ'!$A$1:$R$67</definedName>
    <definedName name="_xlnm.Print_Area" localSheetId="4">'прил 4 дор фонд'!$A$1:$E$31</definedName>
    <definedName name="_xlnm.Print_Area" localSheetId="5">'прил 5 публ об'!$A$1:$J$15</definedName>
    <definedName name="_xlnm.Print_Area" localSheetId="1">'Прил1 Рез ФОНД -2020г'!$A$1:$H$69</definedName>
    <definedName name="_xlnm.Print_Area" localSheetId="2">'прил2-сп'!$C$1:$P$35</definedName>
    <definedName name="_xlnm.Print_Area" localSheetId="3">'прил3- БИ '!$A$1:$J$32</definedName>
    <definedName name="_xlnm.Print_Area">#REF!</definedName>
    <definedName name="п" localSheetId="6">#REF!</definedName>
    <definedName name="п" localSheetId="0">#REF!</definedName>
    <definedName name="п" localSheetId="4">#REF!</definedName>
    <definedName name="п" localSheetId="5">#REF!</definedName>
    <definedName name="п" localSheetId="2">#REF!</definedName>
    <definedName name="п" localSheetId="3">#REF!</definedName>
    <definedName name="п">#REF!</definedName>
    <definedName name="Прил16дляраб" localSheetId="6">#REF!</definedName>
    <definedName name="Прил16дляраб" localSheetId="0">#REF!</definedName>
    <definedName name="Прил16дляраб" localSheetId="4">#REF!</definedName>
    <definedName name="Прил16дляраб" localSheetId="5">#REF!</definedName>
    <definedName name="Прил16дляраб" localSheetId="2">#REF!</definedName>
    <definedName name="Прил16дляраб" localSheetId="3">#REF!</definedName>
    <definedName name="Прил16дляраб">#REF!</definedName>
  </definedNames>
  <calcPr calcId="144525"/>
</workbook>
</file>

<file path=xl/calcChain.xml><?xml version="1.0" encoding="utf-8"?>
<calcChain xmlns="http://schemas.openxmlformats.org/spreadsheetml/2006/main">
  <c r="F10" i="32" l="1"/>
  <c r="G15" i="32" l="1"/>
  <c r="F42" i="32"/>
  <c r="F68" i="32" s="1"/>
  <c r="D42" i="32"/>
  <c r="D68" i="32" s="1"/>
  <c r="G43" i="32"/>
  <c r="G46" i="32"/>
  <c r="F28" i="32"/>
  <c r="D28" i="32"/>
  <c r="G29" i="32"/>
  <c r="G67" i="32"/>
  <c r="G66" i="32"/>
  <c r="G65" i="32"/>
  <c r="G64" i="32"/>
  <c r="G63" i="32"/>
  <c r="G62" i="32"/>
  <c r="G61" i="32"/>
  <c r="G60" i="32"/>
  <c r="G59" i="32"/>
  <c r="G58" i="32"/>
  <c r="G57" i="32"/>
  <c r="G56" i="32"/>
  <c r="G55" i="32"/>
  <c r="G54" i="32"/>
  <c r="G53" i="32"/>
  <c r="G52" i="32"/>
  <c r="G51" i="32"/>
  <c r="G50" i="32"/>
  <c r="G49" i="32"/>
  <c r="G48" i="32"/>
  <c r="G47" i="32"/>
  <c r="G45" i="32"/>
  <c r="G44" i="32"/>
  <c r="G42" i="32"/>
  <c r="G41" i="32"/>
  <c r="G40" i="32"/>
  <c r="G39" i="32"/>
  <c r="G38" i="32"/>
  <c r="G37" i="32"/>
  <c r="G36" i="32"/>
  <c r="G35" i="32"/>
  <c r="G34" i="32"/>
  <c r="G33" i="32"/>
  <c r="G32" i="32"/>
  <c r="G31" i="32"/>
  <c r="G30" i="32"/>
  <c r="G28" i="32"/>
  <c r="G27" i="32"/>
  <c r="G26" i="32"/>
  <c r="G25" i="32"/>
  <c r="G24" i="32"/>
  <c r="G23" i="32"/>
  <c r="G22" i="32"/>
  <c r="G21" i="32"/>
  <c r="G20" i="32"/>
  <c r="G19" i="32"/>
  <c r="G18" i="32"/>
  <c r="G17" i="32"/>
  <c r="G16" i="32"/>
  <c r="G14" i="32"/>
  <c r="G13" i="32"/>
  <c r="G12" i="32"/>
  <c r="G11" i="32"/>
  <c r="G10" i="32"/>
  <c r="G68" i="32" s="1"/>
  <c r="G9" i="32"/>
  <c r="D8" i="32"/>
  <c r="G8" i="32" s="1"/>
  <c r="G7" i="32"/>
  <c r="F89" i="32" l="1"/>
  <c r="D89" i="32"/>
  <c r="F88" i="32"/>
  <c r="D88" i="32"/>
  <c r="F87" i="32"/>
  <c r="D87" i="32"/>
  <c r="F86" i="32"/>
  <c r="D86" i="32"/>
  <c r="F85" i="32"/>
  <c r="D85" i="32"/>
  <c r="F82" i="32"/>
  <c r="F81" i="32"/>
  <c r="D81" i="32"/>
  <c r="F80" i="32"/>
  <c r="D80" i="32"/>
  <c r="F79" i="32"/>
  <c r="D79" i="32"/>
  <c r="F78" i="32"/>
  <c r="D78" i="32"/>
  <c r="F77" i="32"/>
  <c r="D77" i="32"/>
  <c r="E71" i="32"/>
  <c r="D71" i="32"/>
  <c r="D70" i="32"/>
  <c r="E72" i="32" l="1"/>
  <c r="F90" i="32"/>
  <c r="D72" i="32"/>
  <c r="D74" i="32" s="1"/>
  <c r="D82" i="32"/>
  <c r="D90" i="32" s="1"/>
  <c r="E7" i="23" l="1"/>
  <c r="A24" i="23"/>
  <c r="C23" i="23"/>
  <c r="A11" i="23"/>
  <c r="A12" i="23" s="1"/>
  <c r="A13" i="23" s="1"/>
  <c r="A14" i="23" s="1"/>
  <c r="A15" i="23" s="1"/>
  <c r="A16" i="23" s="1"/>
  <c r="A17" i="23" s="1"/>
  <c r="A18" i="23" s="1"/>
  <c r="A19" i="23" s="1"/>
  <c r="A20" i="23" s="1"/>
  <c r="A21" i="23" s="1"/>
  <c r="A22" i="23" s="1"/>
  <c r="E13" i="23"/>
  <c r="E14" i="23"/>
  <c r="C11" i="23" l="1"/>
  <c r="C12" i="23"/>
  <c r="C13" i="23"/>
  <c r="C14" i="23"/>
  <c r="C15" i="23"/>
  <c r="C17" i="23"/>
  <c r="C18" i="23"/>
  <c r="C19" i="23"/>
  <c r="C20" i="23"/>
  <c r="C21" i="23"/>
  <c r="C22" i="23"/>
  <c r="C25" i="23"/>
  <c r="C26" i="23"/>
  <c r="C10" i="23"/>
  <c r="F27" i="23"/>
  <c r="F24" i="23" s="1"/>
  <c r="F16" i="23"/>
  <c r="E16" i="23"/>
  <c r="D24" i="23"/>
  <c r="E27" i="23"/>
  <c r="E24" i="23" s="1"/>
  <c r="D8" i="23" l="1"/>
  <c r="D28" i="23" s="1"/>
  <c r="C16" i="23"/>
  <c r="E8" i="23"/>
  <c r="E28" i="23" s="1"/>
  <c r="C24" i="23"/>
  <c r="C27" i="23"/>
  <c r="C8" i="23" l="1"/>
  <c r="C28" i="23" s="1"/>
  <c r="E18" i="29" l="1"/>
  <c r="E22" i="29"/>
  <c r="G25" i="29"/>
  <c r="I19" i="12" l="1"/>
  <c r="I24" i="12"/>
  <c r="I46" i="12"/>
  <c r="I47" i="12"/>
  <c r="I48" i="12"/>
  <c r="D63" i="12"/>
  <c r="D61" i="12"/>
  <c r="D59" i="12"/>
  <c r="D56" i="12"/>
  <c r="D50" i="12"/>
  <c r="D45" i="12"/>
  <c r="D42" i="12"/>
  <c r="D35" i="12"/>
  <c r="D29" i="12"/>
  <c r="D23" i="12"/>
  <c r="D18" i="12"/>
  <c r="D16" i="12"/>
  <c r="D7" i="12"/>
  <c r="D7" i="29"/>
  <c r="E7" i="29"/>
  <c r="F7" i="29"/>
  <c r="G7" i="29"/>
  <c r="I7" i="29"/>
  <c r="J7" i="29"/>
  <c r="G8" i="29"/>
  <c r="I8" i="29"/>
  <c r="G9" i="29"/>
  <c r="I9" i="29"/>
  <c r="G10" i="29"/>
  <c r="I10" i="29"/>
  <c r="G11" i="29"/>
  <c r="I11" i="29"/>
  <c r="G12" i="29"/>
  <c r="I12" i="29"/>
  <c r="G13" i="29"/>
  <c r="I13" i="29"/>
  <c r="G14" i="29"/>
  <c r="I14" i="29"/>
  <c r="G15" i="29"/>
  <c r="I15" i="29"/>
  <c r="D16" i="29"/>
  <c r="E16" i="29"/>
  <c r="F16" i="29"/>
  <c r="J16" i="29"/>
  <c r="G17" i="29"/>
  <c r="I17" i="29"/>
  <c r="D18" i="29"/>
  <c r="F18" i="29"/>
  <c r="J18" i="29"/>
  <c r="G19" i="29"/>
  <c r="I19" i="29"/>
  <c r="J19" i="29"/>
  <c r="G20" i="29"/>
  <c r="I20" i="29"/>
  <c r="G21" i="29"/>
  <c r="I21" i="29"/>
  <c r="D22" i="29"/>
  <c r="F22" i="29"/>
  <c r="G22" i="29" s="1"/>
  <c r="G23" i="29"/>
  <c r="I23" i="29"/>
  <c r="J23" i="29"/>
  <c r="G24" i="29"/>
  <c r="I24" i="29"/>
  <c r="J24" i="29"/>
  <c r="G26" i="29"/>
  <c r="I26" i="29"/>
  <c r="G27" i="29"/>
  <c r="G28" i="29"/>
  <c r="I28" i="29"/>
  <c r="D29" i="29"/>
  <c r="E29" i="29"/>
  <c r="F29" i="29"/>
  <c r="G30" i="29"/>
  <c r="I30" i="29"/>
  <c r="J30" i="29"/>
  <c r="G31" i="29"/>
  <c r="I31" i="29"/>
  <c r="G32" i="29"/>
  <c r="I32" i="29"/>
  <c r="G33" i="29"/>
  <c r="I33" i="29"/>
  <c r="I34" i="29"/>
  <c r="J34" i="29"/>
  <c r="I35" i="29"/>
  <c r="J35" i="29"/>
  <c r="D36" i="29"/>
  <c r="E36" i="29"/>
  <c r="F36" i="29"/>
  <c r="G36" i="29" s="1"/>
  <c r="J36" i="29"/>
  <c r="G37" i="29"/>
  <c r="I37" i="29"/>
  <c r="G38" i="29"/>
  <c r="I38" i="29"/>
  <c r="G39" i="29"/>
  <c r="I39" i="29"/>
  <c r="G40" i="29"/>
  <c r="I40" i="29"/>
  <c r="G41" i="29"/>
  <c r="I41" i="29"/>
  <c r="G42" i="29"/>
  <c r="I42" i="29"/>
  <c r="D43" i="29"/>
  <c r="E43" i="29"/>
  <c r="F43" i="29"/>
  <c r="G43" i="29" s="1"/>
  <c r="J43" i="29"/>
  <c r="G44" i="29"/>
  <c r="I44" i="29"/>
  <c r="G45" i="29"/>
  <c r="I45" i="29"/>
  <c r="D46" i="29"/>
  <c r="E46" i="29"/>
  <c r="F46" i="29"/>
  <c r="J46" i="29"/>
  <c r="G47" i="29"/>
  <c r="I47" i="29"/>
  <c r="G48" i="29"/>
  <c r="I48" i="29"/>
  <c r="G49" i="29"/>
  <c r="I49" i="29"/>
  <c r="G50" i="29"/>
  <c r="I50" i="29"/>
  <c r="D51" i="29"/>
  <c r="E51" i="29"/>
  <c r="F51" i="29"/>
  <c r="G51" i="29" s="1"/>
  <c r="J51" i="29"/>
  <c r="G52" i="29"/>
  <c r="I52" i="29"/>
  <c r="G53" i="29"/>
  <c r="I53" i="29"/>
  <c r="G54" i="29"/>
  <c r="I54" i="29"/>
  <c r="G55" i="29"/>
  <c r="I55" i="29"/>
  <c r="G56" i="29"/>
  <c r="I56" i="29"/>
  <c r="D57" i="29"/>
  <c r="E57" i="29"/>
  <c r="F57" i="29"/>
  <c r="I57" i="29" s="1"/>
  <c r="J57" i="29"/>
  <c r="G58" i="29"/>
  <c r="I58" i="29"/>
  <c r="G59" i="29"/>
  <c r="I59" i="29"/>
  <c r="D60" i="29"/>
  <c r="E60" i="29"/>
  <c r="F60" i="29"/>
  <c r="G60" i="29" s="1"/>
  <c r="J60" i="29"/>
  <c r="G61" i="29"/>
  <c r="I61" i="29"/>
  <c r="D62" i="29"/>
  <c r="E62" i="29"/>
  <c r="F62" i="29"/>
  <c r="G62" i="29" s="1"/>
  <c r="J62" i="29"/>
  <c r="G63" i="29"/>
  <c r="I63" i="29"/>
  <c r="D64" i="29"/>
  <c r="E64" i="29"/>
  <c r="F64" i="29"/>
  <c r="G64" i="29" s="1"/>
  <c r="J64" i="29"/>
  <c r="G65" i="29"/>
  <c r="I65" i="29"/>
  <c r="G66" i="29"/>
  <c r="I66" i="29"/>
  <c r="D67" i="29"/>
  <c r="H21" i="29" s="1"/>
  <c r="J67" i="29"/>
  <c r="H67" i="29" l="1"/>
  <c r="I51" i="29"/>
  <c r="I43" i="29"/>
  <c r="I36" i="29"/>
  <c r="I22" i="29"/>
  <c r="F67" i="29"/>
  <c r="G57" i="29"/>
  <c r="G18" i="29"/>
  <c r="E67" i="29"/>
  <c r="E69" i="29" s="1"/>
  <c r="G16" i="29"/>
  <c r="D66" i="12"/>
  <c r="I64" i="29"/>
  <c r="I18" i="29"/>
  <c r="G46" i="29"/>
  <c r="G29" i="29"/>
  <c r="I67" i="29"/>
  <c r="H65" i="29"/>
  <c r="H64" i="29"/>
  <c r="H63" i="29"/>
  <c r="H62" i="29"/>
  <c r="H61" i="29"/>
  <c r="H60" i="29"/>
  <c r="H59" i="29"/>
  <c r="H55" i="29"/>
  <c r="H53" i="29"/>
  <c r="H49" i="29"/>
  <c r="H47" i="29"/>
  <c r="H46" i="29"/>
  <c r="H45" i="29"/>
  <c r="H41" i="29"/>
  <c r="H39" i="29"/>
  <c r="H37" i="29"/>
  <c r="H35" i="29"/>
  <c r="H32" i="29"/>
  <c r="H29" i="29"/>
  <c r="H28" i="29"/>
  <c r="H26" i="29"/>
  <c r="H24" i="29"/>
  <c r="H23" i="29"/>
  <c r="H19" i="29"/>
  <c r="H66" i="29"/>
  <c r="I62" i="29"/>
  <c r="I60" i="29"/>
  <c r="H58" i="29"/>
  <c r="H57" i="29"/>
  <c r="H56" i="29"/>
  <c r="H54" i="29"/>
  <c r="H52" i="29"/>
  <c r="H51" i="29"/>
  <c r="H50" i="29"/>
  <c r="H48" i="29"/>
  <c r="I46" i="29"/>
  <c r="H44" i="29"/>
  <c r="H43" i="29"/>
  <c r="H42" i="29"/>
  <c r="H40" i="29"/>
  <c r="H38" i="29"/>
  <c r="H36" i="29"/>
  <c r="H34" i="29"/>
  <c r="H33" i="29"/>
  <c r="H31" i="29"/>
  <c r="H30" i="29"/>
  <c r="I29" i="29"/>
  <c r="H22" i="29"/>
  <c r="I16" i="29"/>
  <c r="H7" i="29" l="1"/>
  <c r="F69" i="29"/>
  <c r="H8" i="29"/>
  <c r="H15" i="29"/>
  <c r="H12" i="29"/>
  <c r="H11" i="29"/>
  <c r="H17" i="29"/>
  <c r="H10" i="29"/>
  <c r="H14" i="29"/>
  <c r="H9" i="29"/>
  <c r="H13" i="29"/>
  <c r="H16" i="29"/>
  <c r="H18" i="29"/>
  <c r="H20" i="29"/>
  <c r="G67" i="29"/>
  <c r="K36" i="29"/>
  <c r="G21" i="22" l="1"/>
  <c r="F21" i="22"/>
  <c r="D30" i="22"/>
  <c r="G30" i="22"/>
  <c r="F30" i="22"/>
  <c r="J15" i="24"/>
  <c r="O15" i="24"/>
  <c r="F25" i="24"/>
  <c r="F26" i="24"/>
  <c r="F23" i="24"/>
  <c r="F24" i="24"/>
  <c r="F17" i="24"/>
  <c r="F15" i="24" l="1"/>
  <c r="F16" i="24"/>
  <c r="F18" i="24"/>
  <c r="F19" i="24"/>
  <c r="F20" i="24"/>
  <c r="F21" i="24"/>
  <c r="F22" i="24"/>
  <c r="G19" i="12" l="1"/>
  <c r="G24" i="12"/>
  <c r="G46" i="12"/>
  <c r="G47" i="12"/>
  <c r="G48" i="12"/>
  <c r="I30" i="22"/>
  <c r="J30" i="22"/>
  <c r="I31" i="22"/>
  <c r="J31" i="22"/>
  <c r="J29" i="22"/>
  <c r="I29" i="22"/>
  <c r="J28" i="22"/>
  <c r="I28" i="22"/>
  <c r="I25" i="22"/>
  <c r="J25" i="22"/>
  <c r="I24" i="22"/>
  <c r="J21" i="22"/>
  <c r="I21" i="22"/>
  <c r="H34" i="22"/>
  <c r="H251" i="4" l="1"/>
  <c r="G251" i="4"/>
  <c r="H525" i="4"/>
  <c r="G525" i="4"/>
  <c r="H106" i="4"/>
  <c r="I594" i="4"/>
  <c r="H568" i="4"/>
  <c r="H566" i="4"/>
  <c r="H563" i="4"/>
  <c r="H559" i="4"/>
  <c r="H557" i="4"/>
  <c r="H551" i="4"/>
  <c r="H533" i="4"/>
  <c r="H516" i="4"/>
  <c r="H406" i="4"/>
  <c r="H399" i="4"/>
  <c r="H394" i="4"/>
  <c r="H389" i="4"/>
  <c r="H323" i="4"/>
  <c r="H319" i="4"/>
  <c r="H298" i="4"/>
  <c r="H291" i="4"/>
  <c r="H290" i="4"/>
  <c r="H280" i="4"/>
  <c r="H264" i="4"/>
  <c r="H259" i="4"/>
  <c r="H254" i="4"/>
  <c r="H250" i="4"/>
  <c r="H244" i="4"/>
  <c r="H241" i="4"/>
  <c r="H237" i="4"/>
  <c r="H156" i="4"/>
  <c r="H140" i="4"/>
  <c r="H133" i="4"/>
  <c r="H130" i="4"/>
  <c r="H138" i="4"/>
  <c r="H126" i="4"/>
  <c r="H121" i="4"/>
  <c r="H108" i="4"/>
  <c r="H100" i="4"/>
  <c r="H96" i="4"/>
  <c r="H63" i="4"/>
  <c r="H61" i="4"/>
  <c r="H75" i="4"/>
  <c r="H73" i="4"/>
  <c r="H65" i="4"/>
  <c r="H59" i="4"/>
  <c r="H57" i="4"/>
  <c r="H53" i="4" l="1"/>
  <c r="I53" i="4" s="1"/>
  <c r="H33" i="4"/>
  <c r="I33" i="4" s="1"/>
  <c r="H30" i="4"/>
  <c r="I30" i="4" s="1"/>
  <c r="H28" i="4"/>
  <c r="I28" i="4" s="1"/>
  <c r="H24" i="4"/>
  <c r="I24" i="4" s="1"/>
  <c r="H20" i="4"/>
  <c r="H16" i="4"/>
  <c r="I16" i="4" s="1"/>
  <c r="I18" i="4"/>
  <c r="I20" i="4"/>
  <c r="I22" i="4"/>
  <c r="I26" i="4"/>
  <c r="I36" i="4"/>
  <c r="I39" i="4"/>
  <c r="I42" i="4"/>
  <c r="I48" i="4"/>
  <c r="I55" i="4"/>
  <c r="I57" i="4"/>
  <c r="I59" i="4"/>
  <c r="I61" i="4"/>
  <c r="I63" i="4"/>
  <c r="I65" i="4"/>
  <c r="I67" i="4"/>
  <c r="I69" i="4"/>
  <c r="I71" i="4"/>
  <c r="I73" i="4"/>
  <c r="I75" i="4"/>
  <c r="I78" i="4"/>
  <c r="I80" i="4"/>
  <c r="I83" i="4"/>
  <c r="I85" i="4"/>
  <c r="I88" i="4"/>
  <c r="I90" i="4"/>
  <c r="I98" i="4"/>
  <c r="I102" i="4"/>
  <c r="I104" i="4"/>
  <c r="I106" i="4"/>
  <c r="I108" i="4"/>
  <c r="I111" i="4"/>
  <c r="I113" i="4"/>
  <c r="I115" i="4"/>
  <c r="I121" i="4"/>
  <c r="I123" i="4"/>
  <c r="I124" i="4"/>
  <c r="I130" i="4"/>
  <c r="I131" i="4"/>
  <c r="I133" i="4"/>
  <c r="I134" i="4"/>
  <c r="I136" i="4"/>
  <c r="I140" i="4"/>
  <c r="I147" i="4"/>
  <c r="I148" i="4"/>
  <c r="I156" i="4"/>
  <c r="I158" i="4"/>
  <c r="I159" i="4"/>
  <c r="I167" i="4"/>
  <c r="I174" i="4"/>
  <c r="I180" i="4"/>
  <c r="I187" i="4"/>
  <c r="I194" i="4"/>
  <c r="I199" i="4"/>
  <c r="I202" i="4"/>
  <c r="I209" i="4"/>
  <c r="I216" i="4"/>
  <c r="I218" i="4"/>
  <c r="I224" i="4"/>
  <c r="I226" i="4"/>
  <c r="I229" i="4"/>
  <c r="I231" i="4"/>
  <c r="I237" i="4"/>
  <c r="I241" i="4"/>
  <c r="I244" i="4"/>
  <c r="I250" i="4"/>
  <c r="I252" i="4"/>
  <c r="I254" i="4"/>
  <c r="I259" i="4"/>
  <c r="I264" i="4"/>
  <c r="I265" i="4"/>
  <c r="I269" i="4"/>
  <c r="I275" i="4"/>
  <c r="I280" i="4"/>
  <c r="I284" i="4"/>
  <c r="I290" i="4"/>
  <c r="I291" i="4"/>
  <c r="I296" i="4"/>
  <c r="I303" i="4"/>
  <c r="I307" i="4"/>
  <c r="I314" i="4"/>
  <c r="I319" i="4"/>
  <c r="I321" i="4"/>
  <c r="I323" i="4"/>
  <c r="I327" i="4"/>
  <c r="I330" i="4"/>
  <c r="I332" i="4"/>
  <c r="I338" i="4"/>
  <c r="I341" i="4"/>
  <c r="I343" i="4"/>
  <c r="I350" i="4"/>
  <c r="I351" i="4"/>
  <c r="I353" i="4"/>
  <c r="I355" i="4"/>
  <c r="I357" i="4"/>
  <c r="I363" i="4"/>
  <c r="I369" i="4"/>
  <c r="I371" i="4"/>
  <c r="I377" i="4"/>
  <c r="I384" i="4"/>
  <c r="I391" i="4"/>
  <c r="I392" i="4"/>
  <c r="I394" i="4"/>
  <c r="I398" i="4"/>
  <c r="I399" i="4"/>
  <c r="I403" i="4"/>
  <c r="I406" i="4"/>
  <c r="I408" i="4"/>
  <c r="I410" i="4"/>
  <c r="I416" i="4"/>
  <c r="I422" i="4"/>
  <c r="I424" i="4"/>
  <c r="I426" i="4"/>
  <c r="I431" i="4"/>
  <c r="I432" i="4"/>
  <c r="I434" i="4"/>
  <c r="I437" i="4"/>
  <c r="I439" i="4"/>
  <c r="I441" i="4"/>
  <c r="I443" i="4"/>
  <c r="I446" i="4"/>
  <c r="I448" i="4"/>
  <c r="I451" i="4"/>
  <c r="I456" i="4"/>
  <c r="I462" i="4"/>
  <c r="I463" i="4"/>
  <c r="I465" i="4"/>
  <c r="I468" i="4"/>
  <c r="I471" i="4"/>
  <c r="I478" i="4"/>
  <c r="I484" i="4"/>
  <c r="I489" i="4"/>
  <c r="I492" i="4"/>
  <c r="I499" i="4"/>
  <c r="I501" i="4"/>
  <c r="I508" i="4"/>
  <c r="I516" i="4"/>
  <c r="I518" i="4"/>
  <c r="I520" i="4"/>
  <c r="I526" i="4"/>
  <c r="I533" i="4"/>
  <c r="I535" i="4"/>
  <c r="I537" i="4"/>
  <c r="I539" i="4"/>
  <c r="I541" i="4"/>
  <c r="I546" i="4"/>
  <c r="I548" i="4"/>
  <c r="I551" i="4"/>
  <c r="I557" i="4"/>
  <c r="I559" i="4"/>
  <c r="I563" i="4"/>
  <c r="I565" i="4"/>
  <c r="I568" i="4"/>
  <c r="I571" i="4"/>
  <c r="I578" i="4"/>
  <c r="I581" i="4"/>
  <c r="I588" i="4"/>
  <c r="I589" i="4"/>
  <c r="I592" i="4"/>
  <c r="G389" i="4"/>
  <c r="I389" i="4" s="1"/>
  <c r="G100" i="4"/>
  <c r="I100" i="4" s="1"/>
  <c r="G96" i="4"/>
  <c r="I96" i="4" s="1"/>
  <c r="H72" i="4" l="1"/>
  <c r="G564" i="4" l="1"/>
  <c r="F34" i="24"/>
  <c r="F33" i="24"/>
  <c r="F32" i="24"/>
  <c r="F31" i="24"/>
  <c r="L30" i="24"/>
  <c r="I30" i="24"/>
  <c r="P29" i="24"/>
  <c r="F29" i="24" s="1"/>
  <c r="O28" i="24"/>
  <c r="N28" i="24"/>
  <c r="M28" i="24"/>
  <c r="L28" i="24"/>
  <c r="K28" i="24"/>
  <c r="J28" i="24"/>
  <c r="H28" i="24"/>
  <c r="G28" i="24"/>
  <c r="F27" i="24"/>
  <c r="P14" i="24"/>
  <c r="O14" i="24"/>
  <c r="N14" i="24"/>
  <c r="M14" i="24"/>
  <c r="L14" i="24"/>
  <c r="K14" i="24"/>
  <c r="J14" i="24"/>
  <c r="I14" i="24"/>
  <c r="H14" i="24"/>
  <c r="H11" i="24" s="1"/>
  <c r="G14" i="24"/>
  <c r="F14" i="24"/>
  <c r="P13" i="24"/>
  <c r="F13" i="24"/>
  <c r="P12" i="24"/>
  <c r="O12" i="24"/>
  <c r="N12" i="24"/>
  <c r="M12" i="24"/>
  <c r="M11" i="24" s="1"/>
  <c r="L12" i="24"/>
  <c r="K12" i="24"/>
  <c r="J12" i="24"/>
  <c r="I12" i="24"/>
  <c r="H12" i="24"/>
  <c r="G12" i="24"/>
  <c r="F12" i="24" s="1"/>
  <c r="S11" i="24"/>
  <c r="S7" i="24" s="1"/>
  <c r="R11" i="24"/>
  <c r="Q11" i="24"/>
  <c r="Q7" i="24" s="1"/>
  <c r="O11" i="24"/>
  <c r="K11" i="24"/>
  <c r="I11" i="24"/>
  <c r="G11" i="24"/>
  <c r="F10" i="24"/>
  <c r="F9" i="24"/>
  <c r="P8" i="24"/>
  <c r="O8" i="24"/>
  <c r="N8" i="24"/>
  <c r="M8" i="24"/>
  <c r="L8" i="24"/>
  <c r="K8" i="24"/>
  <c r="J8" i="24"/>
  <c r="I8" i="24"/>
  <c r="H8" i="24"/>
  <c r="G8" i="24"/>
  <c r="F8" i="24" s="1"/>
  <c r="R7" i="24"/>
  <c r="H6" i="24"/>
  <c r="I6" i="24" s="1"/>
  <c r="J6" i="24" s="1"/>
  <c r="K6" i="24" s="1"/>
  <c r="L6" i="24" s="1"/>
  <c r="M6" i="24" s="1"/>
  <c r="N6" i="24" s="1"/>
  <c r="O6" i="24" s="1"/>
  <c r="D6" i="23"/>
  <c r="E6" i="23" s="1"/>
  <c r="H31" i="22"/>
  <c r="E31" i="22"/>
  <c r="B31" i="22"/>
  <c r="H30" i="22"/>
  <c r="B30" i="22"/>
  <c r="H29" i="22"/>
  <c r="E29" i="22"/>
  <c r="B29" i="22"/>
  <c r="H28" i="22"/>
  <c r="E28" i="22"/>
  <c r="B28" i="22"/>
  <c r="J27" i="22"/>
  <c r="J26" i="22" s="1"/>
  <c r="G27" i="22"/>
  <c r="G26" i="22" s="1"/>
  <c r="F27" i="22"/>
  <c r="F26" i="22" s="1"/>
  <c r="D27" i="22"/>
  <c r="D26" i="22" s="1"/>
  <c r="C27" i="22"/>
  <c r="C26" i="22" s="1"/>
  <c r="B27" i="22"/>
  <c r="B26" i="22" s="1"/>
  <c r="H25" i="22"/>
  <c r="E25" i="22"/>
  <c r="B25" i="22"/>
  <c r="E24" i="22"/>
  <c r="D24" i="22"/>
  <c r="I23" i="22"/>
  <c r="G23" i="22"/>
  <c r="F23" i="22"/>
  <c r="F22" i="22" s="1"/>
  <c r="D23" i="22"/>
  <c r="D22" i="22" s="1"/>
  <c r="C23" i="22"/>
  <c r="I22" i="22"/>
  <c r="G22" i="22"/>
  <c r="C22" i="22"/>
  <c r="H21" i="22"/>
  <c r="H20" i="22" s="1"/>
  <c r="H19" i="22" s="1"/>
  <c r="E21" i="22"/>
  <c r="E20" i="22" s="1"/>
  <c r="E18" i="22" s="1"/>
  <c r="B21" i="22"/>
  <c r="J20" i="22"/>
  <c r="J19" i="22" s="1"/>
  <c r="I20" i="22"/>
  <c r="I18" i="22" s="1"/>
  <c r="G20" i="22"/>
  <c r="G18" i="22" s="1"/>
  <c r="F20" i="22"/>
  <c r="F19" i="22" s="1"/>
  <c r="D20" i="22"/>
  <c r="D19" i="22" s="1"/>
  <c r="C20" i="22"/>
  <c r="C18" i="22" s="1"/>
  <c r="B20" i="22"/>
  <c r="B19" i="22" s="1"/>
  <c r="I19" i="22"/>
  <c r="G19" i="22"/>
  <c r="C19" i="22"/>
  <c r="D18" i="22"/>
  <c r="H17" i="22"/>
  <c r="E17" i="22"/>
  <c r="B17" i="22"/>
  <c r="H16" i="22"/>
  <c r="H15" i="22" s="1"/>
  <c r="H14" i="22" s="1"/>
  <c r="E16" i="22"/>
  <c r="B16" i="22"/>
  <c r="B15" i="22" s="1"/>
  <c r="B14" i="22" s="1"/>
  <c r="J15" i="22"/>
  <c r="I15" i="22"/>
  <c r="I14" i="22" s="1"/>
  <c r="G15" i="22"/>
  <c r="G14" i="22" s="1"/>
  <c r="F15" i="22"/>
  <c r="F14" i="22" s="1"/>
  <c r="E15" i="22"/>
  <c r="E14" i="22" s="1"/>
  <c r="D15" i="22"/>
  <c r="C15" i="22"/>
  <c r="C14" i="22" s="1"/>
  <c r="J14" i="22"/>
  <c r="D14" i="22"/>
  <c r="H13" i="22"/>
  <c r="E13" i="22"/>
  <c r="B13" i="22"/>
  <c r="H12" i="22"/>
  <c r="E12" i="22"/>
  <c r="B12" i="22"/>
  <c r="H11" i="22"/>
  <c r="E11" i="22"/>
  <c r="B11" i="22"/>
  <c r="H10" i="22"/>
  <c r="E10" i="22"/>
  <c r="B10" i="22"/>
  <c r="H9" i="22"/>
  <c r="E9" i="22"/>
  <c r="E8" i="22" s="1"/>
  <c r="B9" i="22"/>
  <c r="J8" i="22"/>
  <c r="J7" i="22" s="1"/>
  <c r="I8" i="22"/>
  <c r="H8" i="22"/>
  <c r="H7" i="22" s="1"/>
  <c r="G8" i="22"/>
  <c r="F8" i="22"/>
  <c r="F7" i="22" s="1"/>
  <c r="E7" i="22" s="1"/>
  <c r="D8" i="22"/>
  <c r="D7" i="22" s="1"/>
  <c r="C8" i="22"/>
  <c r="B8" i="22"/>
  <c r="B7" i="22" s="1"/>
  <c r="I7" i="22"/>
  <c r="G7" i="22"/>
  <c r="C7" i="22"/>
  <c r="B18" i="22" l="1"/>
  <c r="B24" i="22"/>
  <c r="B23" i="22" s="1"/>
  <c r="B22" i="22" s="1"/>
  <c r="J24" i="22"/>
  <c r="B32" i="22"/>
  <c r="D32" i="22"/>
  <c r="E23" i="22"/>
  <c r="E22" i="22" s="1"/>
  <c r="M7" i="24"/>
  <c r="M35" i="24" s="1"/>
  <c r="K7" i="24"/>
  <c r="K35" i="24" s="1"/>
  <c r="O7" i="24"/>
  <c r="O35" i="24" s="1"/>
  <c r="H7" i="24"/>
  <c r="H35" i="24" s="1"/>
  <c r="J11" i="24"/>
  <c r="J7" i="24" s="1"/>
  <c r="J35" i="24" s="1"/>
  <c r="L11" i="24"/>
  <c r="L7" i="24" s="1"/>
  <c r="L35" i="24" s="1"/>
  <c r="N11" i="24"/>
  <c r="N7" i="24" s="1"/>
  <c r="N35" i="24" s="1"/>
  <c r="P11" i="24"/>
  <c r="P28" i="24"/>
  <c r="F30" i="24"/>
  <c r="G32" i="22"/>
  <c r="C32" i="22"/>
  <c r="F18" i="22"/>
  <c r="J18" i="22"/>
  <c r="H18" i="22"/>
  <c r="F11" i="24"/>
  <c r="G7" i="24"/>
  <c r="I28" i="24"/>
  <c r="F28" i="24" s="1"/>
  <c r="F32" i="22"/>
  <c r="E19" i="22"/>
  <c r="H27" i="22"/>
  <c r="H26" i="22" s="1"/>
  <c r="I27" i="22"/>
  <c r="I26" i="22" s="1"/>
  <c r="I32" i="22" s="1"/>
  <c r="E30" i="22"/>
  <c r="E27" i="22" s="1"/>
  <c r="E26" i="22" l="1"/>
  <c r="E32" i="22" s="1"/>
  <c r="E35" i="22" s="1"/>
  <c r="P7" i="24"/>
  <c r="P35" i="24" s="1"/>
  <c r="I7" i="24"/>
  <c r="I35" i="24" s="1"/>
  <c r="G35" i="24"/>
  <c r="F7" i="24"/>
  <c r="F35" i="24" s="1"/>
  <c r="F37" i="24" s="1"/>
  <c r="H24" i="22"/>
  <c r="H23" i="22" s="1"/>
  <c r="H22" i="22" s="1"/>
  <c r="H32" i="22" s="1"/>
  <c r="H35" i="22" s="1"/>
  <c r="J23" i="22"/>
  <c r="J22" i="22" s="1"/>
  <c r="J32" i="22" s="1"/>
  <c r="J14" i="20" l="1"/>
  <c r="I14" i="20"/>
  <c r="H14" i="20"/>
  <c r="G14" i="20"/>
  <c r="F14" i="20"/>
  <c r="E14" i="20"/>
  <c r="D13" i="20"/>
  <c r="D12" i="20"/>
  <c r="D14" i="20" s="1"/>
  <c r="J11" i="20"/>
  <c r="I11" i="20"/>
  <c r="H11" i="20"/>
  <c r="H15" i="20" s="1"/>
  <c r="G11" i="20"/>
  <c r="F11" i="20"/>
  <c r="E11" i="20"/>
  <c r="E15" i="20" s="1"/>
  <c r="D10" i="20"/>
  <c r="D9" i="20"/>
  <c r="D8" i="20"/>
  <c r="D7" i="20"/>
  <c r="I15" i="20" l="1"/>
  <c r="D11" i="20"/>
  <c r="F15" i="20"/>
  <c r="J15" i="20"/>
  <c r="G15" i="20"/>
  <c r="D15" i="20"/>
  <c r="J389" i="4" l="1"/>
  <c r="H421" i="4" l="1"/>
  <c r="G421" i="4"/>
  <c r="I421" i="4" l="1"/>
  <c r="H440" i="4"/>
  <c r="G440" i="4"/>
  <c r="I440" i="4" l="1"/>
  <c r="J130" i="4" l="1"/>
  <c r="J121" i="4"/>
  <c r="J53" i="4"/>
  <c r="J391" i="4"/>
  <c r="J568" i="4"/>
  <c r="J566" i="4"/>
  <c r="J565" i="4"/>
  <c r="J563" i="4"/>
  <c r="J559" i="4"/>
  <c r="J557" i="4"/>
  <c r="J533" i="4"/>
  <c r="J516" i="4"/>
  <c r="J174" i="4"/>
  <c r="J158" i="4"/>
  <c r="J156" i="4"/>
  <c r="J465" i="4"/>
  <c r="J462" i="4"/>
  <c r="J406" i="4"/>
  <c r="J403" i="4"/>
  <c r="J399" i="4"/>
  <c r="J394" i="4"/>
  <c r="J369" i="4"/>
  <c r="J323" i="4"/>
  <c r="J319" i="4"/>
  <c r="J298" i="4"/>
  <c r="J290" i="4"/>
  <c r="J280" i="4"/>
  <c r="J265" i="4"/>
  <c r="J264" i="4"/>
  <c r="J259" i="4"/>
  <c r="J254" i="4"/>
  <c r="J252" i="4"/>
  <c r="J250" i="4"/>
  <c r="J244" i="4"/>
  <c r="J241" i="4"/>
  <c r="J237" i="4"/>
  <c r="J83" i="4"/>
  <c r="J147" i="4"/>
  <c r="J140" i="4"/>
  <c r="J138" i="4"/>
  <c r="J133" i="4"/>
  <c r="J126" i="4"/>
  <c r="J108" i="4"/>
  <c r="J106" i="4"/>
  <c r="J104" i="4"/>
  <c r="J100" i="4"/>
  <c r="J96" i="4"/>
  <c r="J65" i="4"/>
  <c r="J57" i="4"/>
  <c r="J33" i="4"/>
  <c r="J16" i="4"/>
  <c r="J30" i="4"/>
  <c r="J28" i="4"/>
  <c r="J24" i="4"/>
  <c r="J22" i="4"/>
  <c r="J20" i="4"/>
  <c r="H320" i="4" l="1"/>
  <c r="G320" i="4"/>
  <c r="G95" i="4"/>
  <c r="I320" i="4" l="1"/>
  <c r="K241" i="4" l="1"/>
  <c r="M406" i="4"/>
  <c r="L405" i="4"/>
  <c r="L404" i="4"/>
  <c r="L231" i="4"/>
  <c r="K227" i="4"/>
  <c r="L227" i="4" s="1"/>
  <c r="L202" i="4"/>
  <c r="K90" i="4"/>
  <c r="L90" i="4" s="1"/>
  <c r="L89" i="4"/>
  <c r="L88" i="4"/>
  <c r="L228" i="4" l="1"/>
  <c r="I544" i="4"/>
  <c r="G550" i="4" l="1"/>
  <c r="G549" i="4" s="1"/>
  <c r="H550" i="4"/>
  <c r="G519" i="4"/>
  <c r="H519" i="4"/>
  <c r="H447" i="4"/>
  <c r="G447" i="4"/>
  <c r="I381" i="4"/>
  <c r="H179" i="4"/>
  <c r="G179" i="4"/>
  <c r="G178" i="4" s="1"/>
  <c r="G177" i="4" s="1"/>
  <c r="G176" i="4" s="1"/>
  <c r="G175" i="4" s="1"/>
  <c r="H105" i="4"/>
  <c r="G105" i="4"/>
  <c r="H95" i="4"/>
  <c r="I95" i="4" s="1"/>
  <c r="H25" i="4"/>
  <c r="G25" i="4"/>
  <c r="I519" i="4" l="1"/>
  <c r="K519" i="4" s="1"/>
  <c r="I105" i="4"/>
  <c r="H178" i="4"/>
  <c r="I179" i="4"/>
  <c r="H549" i="4"/>
  <c r="I549" i="4" s="1"/>
  <c r="I550" i="4"/>
  <c r="I25" i="4"/>
  <c r="I447" i="4"/>
  <c r="K180" i="4"/>
  <c r="K520" i="4"/>
  <c r="H425" i="4"/>
  <c r="G425" i="4"/>
  <c r="I425" i="4" l="1"/>
  <c r="H177" i="4"/>
  <c r="I178" i="4"/>
  <c r="K426" i="4"/>
  <c r="K179" i="4"/>
  <c r="H436" i="4"/>
  <c r="G436" i="4"/>
  <c r="H342" i="4"/>
  <c r="G342" i="4"/>
  <c r="H173" i="4"/>
  <c r="H172" i="4" s="1"/>
  <c r="G173" i="4"/>
  <c r="G172" i="4" s="1"/>
  <c r="H54" i="4"/>
  <c r="G54" i="4"/>
  <c r="H15" i="4"/>
  <c r="I54" i="4" l="1"/>
  <c r="I173" i="4"/>
  <c r="I342" i="4"/>
  <c r="I436" i="4"/>
  <c r="H176" i="4"/>
  <c r="I177" i="4"/>
  <c r="K425" i="4"/>
  <c r="K173" i="4"/>
  <c r="K174" i="4"/>
  <c r="K178" i="4"/>
  <c r="H409" i="4"/>
  <c r="G409" i="4"/>
  <c r="G407" i="4" s="1"/>
  <c r="H591" i="4"/>
  <c r="G591" i="4"/>
  <c r="G590" i="4" s="1"/>
  <c r="H467" i="4"/>
  <c r="G467" i="4"/>
  <c r="G466" i="4" s="1"/>
  <c r="H103" i="4"/>
  <c r="G103" i="4"/>
  <c r="H84" i="4"/>
  <c r="G84" i="4"/>
  <c r="G72" i="4"/>
  <c r="I72" i="4" s="1"/>
  <c r="K39" i="4"/>
  <c r="H38" i="4"/>
  <c r="H37" i="4" s="1"/>
  <c r="G38" i="4"/>
  <c r="G37" i="4" s="1"/>
  <c r="H41" i="4"/>
  <c r="G41" i="4"/>
  <c r="G40" i="4" s="1"/>
  <c r="I38" i="4" l="1"/>
  <c r="K38" i="4" s="1"/>
  <c r="I84" i="4"/>
  <c r="I103" i="4"/>
  <c r="H466" i="4"/>
  <c r="I466" i="4" s="1"/>
  <c r="I467" i="4"/>
  <c r="H590" i="4"/>
  <c r="I590" i="4" s="1"/>
  <c r="I591" i="4"/>
  <c r="H407" i="4"/>
  <c r="I407" i="4" s="1"/>
  <c r="I409" i="4"/>
  <c r="H175" i="4"/>
  <c r="I175" i="4" s="1"/>
  <c r="I176" i="4"/>
  <c r="H40" i="4"/>
  <c r="I40" i="4" s="1"/>
  <c r="I41" i="4"/>
  <c r="K42" i="4"/>
  <c r="K177" i="4"/>
  <c r="K175" i="4" l="1"/>
  <c r="K176" i="4"/>
  <c r="K40" i="4"/>
  <c r="K41" i="4"/>
  <c r="G132" i="4"/>
  <c r="H442" i="4"/>
  <c r="G442" i="4"/>
  <c r="K209" i="4"/>
  <c r="H208" i="4"/>
  <c r="G208" i="4"/>
  <c r="G207" i="4" s="1"/>
  <c r="G206" i="4" s="1"/>
  <c r="G205" i="4" s="1"/>
  <c r="G204" i="4" s="1"/>
  <c r="G203" i="4" s="1"/>
  <c r="H545" i="4"/>
  <c r="G545" i="4"/>
  <c r="H538" i="4"/>
  <c r="G538" i="4"/>
  <c r="I442" i="4" l="1"/>
  <c r="I538" i="4"/>
  <c r="I545" i="4"/>
  <c r="I208" i="4"/>
  <c r="K539" i="4"/>
  <c r="K546" i="4"/>
  <c r="K443" i="4"/>
  <c r="H207" i="4"/>
  <c r="H206" i="4" l="1"/>
  <c r="I207" i="4"/>
  <c r="K208" i="4"/>
  <c r="H205" i="4" l="1"/>
  <c r="I206" i="4"/>
  <c r="K207" i="4"/>
  <c r="H204" i="4" l="1"/>
  <c r="I205" i="4"/>
  <c r="K206" i="4"/>
  <c r="H203" i="4" l="1"/>
  <c r="I203" i="4" s="1"/>
  <c r="I204" i="4"/>
  <c r="K205" i="4"/>
  <c r="H193" i="4" l="1"/>
  <c r="G193" i="4"/>
  <c r="G192" i="4" s="1"/>
  <c r="G191" i="4" s="1"/>
  <c r="K194" i="4"/>
  <c r="H192" i="4" l="1"/>
  <c r="I193" i="4"/>
  <c r="G190" i="4"/>
  <c r="H135" i="4"/>
  <c r="G135" i="4"/>
  <c r="H101" i="4"/>
  <c r="G101" i="4"/>
  <c r="G99" i="4" s="1"/>
  <c r="K98" i="4"/>
  <c r="H97" i="4"/>
  <c r="G97" i="4"/>
  <c r="H79" i="4"/>
  <c r="G79" i="4"/>
  <c r="H68" i="4"/>
  <c r="G68" i="4"/>
  <c r="G74" i="4"/>
  <c r="H17" i="4"/>
  <c r="G17" i="4"/>
  <c r="I68" i="4" l="1"/>
  <c r="I79" i="4"/>
  <c r="I97" i="4"/>
  <c r="I17" i="4"/>
  <c r="I101" i="4"/>
  <c r="I135" i="4"/>
  <c r="H191" i="4"/>
  <c r="I192" i="4"/>
  <c r="K193" i="4"/>
  <c r="G171" i="4"/>
  <c r="G170" i="4" s="1"/>
  <c r="G169" i="4" s="1"/>
  <c r="K75" i="4"/>
  <c r="K80" i="4"/>
  <c r="K136" i="4"/>
  <c r="K18" i="4"/>
  <c r="K69" i="4"/>
  <c r="K102" i="4"/>
  <c r="H74" i="4"/>
  <c r="I74" i="4" s="1"/>
  <c r="H99" i="4"/>
  <c r="I99" i="4" s="1"/>
  <c r="H171" i="4" l="1"/>
  <c r="I172" i="4"/>
  <c r="H190" i="4"/>
  <c r="I190" i="4" s="1"/>
  <c r="I191" i="4"/>
  <c r="I37" i="4"/>
  <c r="K192" i="4"/>
  <c r="G438" i="4"/>
  <c r="K33" i="4"/>
  <c r="H438" i="4"/>
  <c r="I438" i="4" s="1"/>
  <c r="H461" i="4"/>
  <c r="G461" i="4"/>
  <c r="K462" i="4"/>
  <c r="I461" i="4" l="1"/>
  <c r="H170" i="4"/>
  <c r="I171" i="4"/>
  <c r="K172" i="4"/>
  <c r="K191" i="4"/>
  <c r="K190" i="4"/>
  <c r="H169" i="4" l="1"/>
  <c r="I169" i="4" s="1"/>
  <c r="I170" i="4"/>
  <c r="K171" i="4"/>
  <c r="H580" i="4"/>
  <c r="G580" i="4"/>
  <c r="G579" i="4" s="1"/>
  <c r="H579" i="4"/>
  <c r="H313" i="4"/>
  <c r="G313" i="4"/>
  <c r="G312" i="4" s="1"/>
  <c r="H312" i="4" l="1"/>
  <c r="I313" i="4"/>
  <c r="I579" i="4"/>
  <c r="I580" i="4"/>
  <c r="K169" i="4"/>
  <c r="K170" i="4"/>
  <c r="K314" i="4"/>
  <c r="H570" i="4"/>
  <c r="G570" i="4"/>
  <c r="G569" i="4" s="1"/>
  <c r="H569" i="4"/>
  <c r="I566" i="4"/>
  <c r="K330" i="4"/>
  <c r="L330" i="4" s="1"/>
  <c r="K332" i="4"/>
  <c r="L332" i="4" s="1"/>
  <c r="E332" i="4"/>
  <c r="H331" i="4"/>
  <c r="G331" i="4"/>
  <c r="E331" i="4"/>
  <c r="E330" i="4"/>
  <c r="H329" i="4"/>
  <c r="G329" i="4"/>
  <c r="G328" i="4" s="1"/>
  <c r="E329" i="4"/>
  <c r="E328" i="4"/>
  <c r="G311" i="4"/>
  <c r="H230" i="4"/>
  <c r="G230" i="4"/>
  <c r="H201" i="4"/>
  <c r="G201" i="4"/>
  <c r="G200" i="4" s="1"/>
  <c r="G129" i="4"/>
  <c r="G128" i="4" s="1"/>
  <c r="K131" i="4"/>
  <c r="H129" i="4"/>
  <c r="I129" i="4" s="1"/>
  <c r="H89" i="4"/>
  <c r="G89" i="4"/>
  <c r="K61" i="4"/>
  <c r="H60" i="4"/>
  <c r="G60" i="4"/>
  <c r="K28" i="4"/>
  <c r="H27" i="4"/>
  <c r="G27" i="4"/>
  <c r="I27" i="4" l="1"/>
  <c r="I89" i="4"/>
  <c r="I329" i="4"/>
  <c r="K329" i="4" s="1"/>
  <c r="L329" i="4" s="1"/>
  <c r="I331" i="4"/>
  <c r="I60" i="4"/>
  <c r="I201" i="4"/>
  <c r="I230" i="4"/>
  <c r="I569" i="4"/>
  <c r="I570" i="4"/>
  <c r="H311" i="4"/>
  <c r="I312" i="4"/>
  <c r="G310" i="4"/>
  <c r="H328" i="4"/>
  <c r="I328" i="4" s="1"/>
  <c r="K328" i="4" s="1"/>
  <c r="L328" i="4" s="1"/>
  <c r="K331" i="4"/>
  <c r="L331" i="4" s="1"/>
  <c r="H200" i="4"/>
  <c r="I200" i="4" s="1"/>
  <c r="I311" i="4" l="1"/>
  <c r="H310" i="4"/>
  <c r="I310" i="4" s="1"/>
  <c r="L406" i="4"/>
  <c r="H567" i="4" l="1"/>
  <c r="H132" i="4" l="1"/>
  <c r="I132" i="4" s="1"/>
  <c r="K134" i="4"/>
  <c r="K594" i="4"/>
  <c r="K605" i="4"/>
  <c r="K606" i="4"/>
  <c r="K608" i="4"/>
  <c r="K610" i="4"/>
  <c r="K613" i="4"/>
  <c r="K622" i="4"/>
  <c r="K623" i="4"/>
  <c r="K628" i="4"/>
  <c r="K634" i="4"/>
  <c r="K635" i="4"/>
  <c r="K636" i="4"/>
  <c r="K637" i="4"/>
  <c r="K638" i="4"/>
  <c r="K641" i="4"/>
  <c r="K647" i="4"/>
  <c r="K669" i="4"/>
  <c r="K674" i="4"/>
  <c r="K677" i="4"/>
  <c r="K684" i="4"/>
  <c r="K687" i="4"/>
  <c r="K696" i="4"/>
  <c r="K697" i="4"/>
  <c r="H35" i="4" l="1"/>
  <c r="G35" i="4"/>
  <c r="G34" i="4" s="1"/>
  <c r="K36" i="4"/>
  <c r="H34" i="4" l="1"/>
  <c r="I34" i="4" s="1"/>
  <c r="I35" i="4"/>
  <c r="K35" i="4" s="1"/>
  <c r="H32" i="4"/>
  <c r="G32" i="4"/>
  <c r="H31" i="4"/>
  <c r="G31" i="4"/>
  <c r="K658" i="4"/>
  <c r="G298" i="4"/>
  <c r="I298" i="4" s="1"/>
  <c r="H430" i="4"/>
  <c r="G430" i="4"/>
  <c r="K431" i="4"/>
  <c r="H352" i="4"/>
  <c r="G352" i="4"/>
  <c r="K353" i="4"/>
  <c r="K224" i="4"/>
  <c r="H223" i="4"/>
  <c r="G223" i="4"/>
  <c r="K187" i="4"/>
  <c r="H186" i="4"/>
  <c r="G186" i="4"/>
  <c r="G185" i="4" s="1"/>
  <c r="G184" i="4" s="1"/>
  <c r="G183" i="4" s="1"/>
  <c r="G182" i="4" s="1"/>
  <c r="G82" i="4"/>
  <c r="G81" i="4" s="1"/>
  <c r="H82" i="4"/>
  <c r="K83" i="4"/>
  <c r="I223" i="4" l="1"/>
  <c r="K223" i="4" s="1"/>
  <c r="I352" i="4"/>
  <c r="H185" i="4"/>
  <c r="I186" i="4"/>
  <c r="K186" i="4" s="1"/>
  <c r="I430" i="4"/>
  <c r="I31" i="4"/>
  <c r="I32" i="4"/>
  <c r="K32" i="4" s="1"/>
  <c r="H81" i="4"/>
  <c r="I81" i="4" s="1"/>
  <c r="I82" i="4"/>
  <c r="K34" i="4"/>
  <c r="K352" i="4"/>
  <c r="G181" i="4"/>
  <c r="H491" i="4"/>
  <c r="G491" i="4"/>
  <c r="G490" i="4" s="1"/>
  <c r="K484" i="4"/>
  <c r="H483" i="4"/>
  <c r="G483" i="4"/>
  <c r="G482" i="4" s="1"/>
  <c r="H470" i="4"/>
  <c r="G470" i="4"/>
  <c r="G469" i="4" s="1"/>
  <c r="H464" i="4"/>
  <c r="G464" i="4"/>
  <c r="G460" i="4" s="1"/>
  <c r="G459" i="4" s="1"/>
  <c r="K465" i="4"/>
  <c r="H450" i="4"/>
  <c r="G450" i="4"/>
  <c r="G449" i="4" s="1"/>
  <c r="K424" i="4"/>
  <c r="H423" i="4"/>
  <c r="G423" i="4"/>
  <c r="G420" i="4" s="1"/>
  <c r="K416" i="4"/>
  <c r="H415" i="4"/>
  <c r="G415" i="4"/>
  <c r="G414" i="4" s="1"/>
  <c r="G413" i="4" s="1"/>
  <c r="G412" i="4" s="1"/>
  <c r="G619" i="4" s="1"/>
  <c r="H414" i="4" l="1"/>
  <c r="I415" i="4"/>
  <c r="H449" i="4"/>
  <c r="I449" i="4" s="1"/>
  <c r="I450" i="4"/>
  <c r="H490" i="4"/>
  <c r="I490" i="4" s="1"/>
  <c r="I491" i="4"/>
  <c r="I423" i="4"/>
  <c r="H420" i="4"/>
  <c r="I420" i="4" s="1"/>
  <c r="H460" i="4"/>
  <c r="I464" i="4"/>
  <c r="K464" i="4" s="1"/>
  <c r="H469" i="4"/>
  <c r="I469" i="4" s="1"/>
  <c r="I470" i="4"/>
  <c r="H482" i="4"/>
  <c r="I482" i="4" s="1"/>
  <c r="I483" i="4"/>
  <c r="H184" i="4"/>
  <c r="I185" i="4"/>
  <c r="K185" i="4" s="1"/>
  <c r="K82" i="4"/>
  <c r="K81" i="4"/>
  <c r="K415" i="4"/>
  <c r="H183" i="4" l="1"/>
  <c r="I184" i="4"/>
  <c r="H459" i="4"/>
  <c r="I459" i="4" s="1"/>
  <c r="I460" i="4"/>
  <c r="H413" i="4"/>
  <c r="I414" i="4"/>
  <c r="K414" i="4" s="1"/>
  <c r="K483" i="4"/>
  <c r="K31" i="4"/>
  <c r="K423" i="4"/>
  <c r="K184" i="4"/>
  <c r="H404" i="4"/>
  <c r="G404" i="4"/>
  <c r="G228" i="4"/>
  <c r="G227" i="4" s="1"/>
  <c r="H405" i="4"/>
  <c r="G405" i="4"/>
  <c r="K371" i="4"/>
  <c r="H370" i="4"/>
  <c r="G370" i="4"/>
  <c r="H228" i="4"/>
  <c r="H122" i="4"/>
  <c r="G122" i="4"/>
  <c r="K123" i="4"/>
  <c r="K124" i="4"/>
  <c r="H87" i="4"/>
  <c r="G87" i="4"/>
  <c r="G86" i="4" s="1"/>
  <c r="G138" i="4"/>
  <c r="I138" i="4" s="1"/>
  <c r="G126" i="4"/>
  <c r="I126" i="4" s="1"/>
  <c r="G8" i="4"/>
  <c r="H8" i="4" s="1"/>
  <c r="I8" i="4" s="1"/>
  <c r="G326" i="4"/>
  <c r="I122" i="4" l="1"/>
  <c r="I404" i="4"/>
  <c r="I370" i="4"/>
  <c r="K370" i="4" s="1"/>
  <c r="H227" i="4"/>
  <c r="I227" i="4" s="1"/>
  <c r="I228" i="4"/>
  <c r="I405" i="4"/>
  <c r="H412" i="4"/>
  <c r="I413" i="4"/>
  <c r="K413" i="4" s="1"/>
  <c r="H182" i="4"/>
  <c r="I183" i="4"/>
  <c r="K183" i="4" s="1"/>
  <c r="H86" i="4"/>
  <c r="I86" i="4" s="1"/>
  <c r="I87" i="4"/>
  <c r="K122" i="4"/>
  <c r="H181" i="4" l="1"/>
  <c r="I181" i="4" s="1"/>
  <c r="I182" i="4"/>
  <c r="K182" i="4" s="1"/>
  <c r="H619" i="4"/>
  <c r="I412" i="4"/>
  <c r="K412" i="4" s="1"/>
  <c r="K432" i="4"/>
  <c r="I619" i="4" l="1"/>
  <c r="K619" i="4" s="1"/>
  <c r="K181" i="4"/>
  <c r="K430" i="4"/>
  <c r="K327" i="4" l="1"/>
  <c r="H326" i="4" l="1"/>
  <c r="I326" i="4" s="1"/>
  <c r="K326" i="4" s="1"/>
  <c r="K463" i="4" l="1"/>
  <c r="K434" i="4"/>
  <c r="H325" i="4"/>
  <c r="G325" i="4"/>
  <c r="G324" i="4" s="1"/>
  <c r="H324" i="4" l="1"/>
  <c r="I324" i="4" s="1"/>
  <c r="I325" i="4"/>
  <c r="K324" i="4"/>
  <c r="K325" i="4"/>
  <c r="G458" i="4"/>
  <c r="G457" i="4" s="1"/>
  <c r="H458" i="4"/>
  <c r="H198" i="4"/>
  <c r="K199" i="4"/>
  <c r="G198" i="4"/>
  <c r="G197" i="4" s="1"/>
  <c r="G196" i="4" s="1"/>
  <c r="G195" i="4" s="1"/>
  <c r="I458" i="4" l="1"/>
  <c r="H197" i="4"/>
  <c r="I198" i="4"/>
  <c r="K461" i="4"/>
  <c r="G189" i="4"/>
  <c r="G188" i="4" s="1"/>
  <c r="K460" i="4"/>
  <c r="H196" i="4" l="1"/>
  <c r="I197" i="4"/>
  <c r="K458" i="4"/>
  <c r="K459" i="4"/>
  <c r="K198" i="4"/>
  <c r="K535" i="4"/>
  <c r="H534" i="4"/>
  <c r="G534" i="4"/>
  <c r="I534" i="4" l="1"/>
  <c r="K534" i="4" s="1"/>
  <c r="H195" i="4"/>
  <c r="I196" i="4"/>
  <c r="K197" i="4"/>
  <c r="K501" i="4"/>
  <c r="H500" i="4"/>
  <c r="G500" i="4"/>
  <c r="H189" i="4" l="1"/>
  <c r="I195" i="4"/>
  <c r="I500" i="4"/>
  <c r="K500" i="4" s="1"/>
  <c r="K196" i="4"/>
  <c r="I189" i="4" l="1"/>
  <c r="H188" i="4"/>
  <c r="I188" i="4" s="1"/>
  <c r="K189" i="4"/>
  <c r="K195" i="4"/>
  <c r="K115" i="4"/>
  <c r="H114" i="4"/>
  <c r="G114" i="4"/>
  <c r="K113" i="4"/>
  <c r="H112" i="4"/>
  <c r="G112" i="4"/>
  <c r="K111" i="4"/>
  <c r="H110" i="4"/>
  <c r="G110" i="4"/>
  <c r="I112" i="4" l="1"/>
  <c r="K112" i="4" s="1"/>
  <c r="I110" i="4"/>
  <c r="K110" i="4" s="1"/>
  <c r="I114" i="4"/>
  <c r="K114" i="4" s="1"/>
  <c r="H109" i="4"/>
  <c r="G109" i="4"/>
  <c r="K188" i="4"/>
  <c r="I109" i="4" l="1"/>
  <c r="K109" i="4" s="1"/>
  <c r="G283" i="4" l="1"/>
  <c r="G282" i="4" s="1"/>
  <c r="H283" i="4"/>
  <c r="H282" i="4" l="1"/>
  <c r="I282" i="4" s="1"/>
  <c r="I283" i="4"/>
  <c r="K71" i="4"/>
  <c r="H70" i="4"/>
  <c r="G70" i="4"/>
  <c r="K394" i="4"/>
  <c r="H393" i="4"/>
  <c r="G393" i="4"/>
  <c r="K392" i="4"/>
  <c r="K391" i="4"/>
  <c r="H390" i="4"/>
  <c r="G390" i="4"/>
  <c r="K389" i="4"/>
  <c r="H388" i="4"/>
  <c r="G388" i="4"/>
  <c r="I388" i="4" l="1"/>
  <c r="I390" i="4"/>
  <c r="I393" i="4"/>
  <c r="K393" i="4" s="1"/>
  <c r="I70" i="4"/>
  <c r="K70" i="4" s="1"/>
  <c r="H387" i="4"/>
  <c r="G387" i="4"/>
  <c r="G386" i="4" s="1"/>
  <c r="G692" i="4" s="1"/>
  <c r="K390" i="4"/>
  <c r="H386" i="4" l="1"/>
  <c r="I387" i="4"/>
  <c r="K388" i="4"/>
  <c r="H692" i="4" l="1"/>
  <c r="I386" i="4"/>
  <c r="K387" i="4"/>
  <c r="I692" i="4" l="1"/>
  <c r="K692" i="4" s="1"/>
  <c r="K386" i="4"/>
  <c r="H455" i="4" l="1"/>
  <c r="G455" i="4"/>
  <c r="K456" i="4"/>
  <c r="G454" i="4"/>
  <c r="G453" i="4" s="1"/>
  <c r="G621" i="4" s="1"/>
  <c r="H445" i="4"/>
  <c r="K446" i="4"/>
  <c r="G445" i="4"/>
  <c r="G444" i="4" s="1"/>
  <c r="H281" i="4"/>
  <c r="G281" i="4"/>
  <c r="G602" i="4" s="1"/>
  <c r="K363" i="4"/>
  <c r="H362" i="4"/>
  <c r="G362" i="4"/>
  <c r="G361" i="4" s="1"/>
  <c r="H361" i="4" l="1"/>
  <c r="I361" i="4" s="1"/>
  <c r="I362" i="4"/>
  <c r="I281" i="4"/>
  <c r="K281" i="4" s="1"/>
  <c r="H444" i="4"/>
  <c r="I444" i="4" s="1"/>
  <c r="I445" i="4"/>
  <c r="H454" i="4"/>
  <c r="I455" i="4"/>
  <c r="G452" i="4"/>
  <c r="I602" i="4"/>
  <c r="K602" i="4" s="1"/>
  <c r="H602" i="4"/>
  <c r="K499" i="4"/>
  <c r="H498" i="4"/>
  <c r="G498" i="4"/>
  <c r="G497" i="4" s="1"/>
  <c r="G496" i="4" s="1"/>
  <c r="H453" i="4" l="1"/>
  <c r="I454" i="4"/>
  <c r="H497" i="4"/>
  <c r="I498" i="4"/>
  <c r="K362" i="4"/>
  <c r="K455" i="4"/>
  <c r="K444" i="4"/>
  <c r="K445" i="4"/>
  <c r="G663" i="4"/>
  <c r="G494" i="4"/>
  <c r="G495" i="4"/>
  <c r="K140" i="4"/>
  <c r="H139" i="4"/>
  <c r="G139" i="4"/>
  <c r="I139" i="4" l="1"/>
  <c r="K139" i="4" s="1"/>
  <c r="H496" i="4"/>
  <c r="I497" i="4"/>
  <c r="K497" i="4" s="1"/>
  <c r="H621" i="4"/>
  <c r="I453" i="4"/>
  <c r="H452" i="4"/>
  <c r="I452" i="4" s="1"/>
  <c r="K498" i="4"/>
  <c r="K454" i="4"/>
  <c r="K518" i="4"/>
  <c r="H517" i="4"/>
  <c r="G517" i="4"/>
  <c r="G532" i="4"/>
  <c r="K541" i="4"/>
  <c r="H540" i="4"/>
  <c r="G540" i="4"/>
  <c r="K568" i="4"/>
  <c r="G567" i="4"/>
  <c r="K566" i="4"/>
  <c r="K565" i="4"/>
  <c r="H564" i="4"/>
  <c r="I564" i="4" s="1"/>
  <c r="K563" i="4"/>
  <c r="H562" i="4"/>
  <c r="G562" i="4"/>
  <c r="I567" i="4" l="1"/>
  <c r="K567" i="4" s="1"/>
  <c r="I562" i="4"/>
  <c r="K562" i="4" s="1"/>
  <c r="I540" i="4"/>
  <c r="K540" i="4" s="1"/>
  <c r="I517" i="4"/>
  <c r="K517" i="4" s="1"/>
  <c r="I496" i="4"/>
  <c r="I663" i="4" s="1"/>
  <c r="K663" i="4" s="1"/>
  <c r="H494" i="4"/>
  <c r="I494" i="4" s="1"/>
  <c r="K494" i="4" s="1"/>
  <c r="H663" i="4"/>
  <c r="H495" i="4"/>
  <c r="I495" i="4" s="1"/>
  <c r="K495" i="4" s="1"/>
  <c r="H561" i="4"/>
  <c r="G561" i="4"/>
  <c r="G560" i="4" s="1"/>
  <c r="K564" i="4"/>
  <c r="I621" i="4"/>
  <c r="K621" i="4" s="1"/>
  <c r="K453" i="4"/>
  <c r="K452" i="4"/>
  <c r="K559" i="4"/>
  <c r="H558" i="4"/>
  <c r="G558" i="4"/>
  <c r="I558" i="4" l="1"/>
  <c r="K496" i="4"/>
  <c r="H560" i="4"/>
  <c r="I561" i="4"/>
  <c r="K561" i="4" s="1"/>
  <c r="K558" i="4"/>
  <c r="G666" i="4"/>
  <c r="K226" i="4"/>
  <c r="H225" i="4"/>
  <c r="G225" i="4"/>
  <c r="K323" i="4"/>
  <c r="H322" i="4"/>
  <c r="G322" i="4"/>
  <c r="K254" i="4"/>
  <c r="H253" i="4"/>
  <c r="G253" i="4"/>
  <c r="K108" i="4"/>
  <c r="H107" i="4"/>
  <c r="G107" i="4"/>
  <c r="G94" i="4" s="1"/>
  <c r="K126" i="4"/>
  <c r="H125" i="4"/>
  <c r="G125" i="4"/>
  <c r="K30" i="4"/>
  <c r="H29" i="4"/>
  <c r="G29" i="4"/>
  <c r="I125" i="4" l="1"/>
  <c r="K125" i="4" s="1"/>
  <c r="I253" i="4"/>
  <c r="K253" i="4" s="1"/>
  <c r="I29" i="4"/>
  <c r="K29" i="4" s="1"/>
  <c r="I322" i="4"/>
  <c r="I225" i="4"/>
  <c r="K225" i="4" s="1"/>
  <c r="H666" i="4"/>
  <c r="I560" i="4"/>
  <c r="K560" i="4" s="1"/>
  <c r="H94" i="4"/>
  <c r="I94" i="4" s="1"/>
  <c r="I107" i="4"/>
  <c r="K107" i="4" s="1"/>
  <c r="K322" i="4"/>
  <c r="I666" i="4"/>
  <c r="K666" i="4" s="1"/>
  <c r="G222" i="4"/>
  <c r="G221" i="4" s="1"/>
  <c r="H222" i="4"/>
  <c r="K377" i="4"/>
  <c r="H376" i="4"/>
  <c r="G376" i="4"/>
  <c r="G375" i="4" s="1"/>
  <c r="G374" i="4" s="1"/>
  <c r="G661" i="4" s="1"/>
  <c r="K269" i="4"/>
  <c r="H268" i="4"/>
  <c r="G268" i="4"/>
  <c r="G267" i="4" s="1"/>
  <c r="G266" i="4" s="1"/>
  <c r="K48" i="4"/>
  <c r="H47" i="4"/>
  <c r="G47" i="4"/>
  <c r="G46" i="4" s="1"/>
  <c r="G45" i="4" s="1"/>
  <c r="G44" i="4" s="1"/>
  <c r="K489" i="4"/>
  <c r="H488" i="4"/>
  <c r="G488" i="4"/>
  <c r="G487" i="4" s="1"/>
  <c r="K78" i="4"/>
  <c r="H77" i="4"/>
  <c r="G77" i="4"/>
  <c r="G76" i="4" s="1"/>
  <c r="K439" i="4"/>
  <c r="K303" i="4"/>
  <c r="H302" i="4"/>
  <c r="G302" i="4"/>
  <c r="G301" i="4" s="1"/>
  <c r="G300" i="4" s="1"/>
  <c r="H301" i="4"/>
  <c r="I302" i="4" l="1"/>
  <c r="H300" i="4"/>
  <c r="I300" i="4" s="1"/>
  <c r="I301" i="4"/>
  <c r="H375" i="4"/>
  <c r="H374" i="4" s="1"/>
  <c r="I376" i="4"/>
  <c r="H487" i="4"/>
  <c r="I487" i="4" s="1"/>
  <c r="I488" i="4"/>
  <c r="H267" i="4"/>
  <c r="I268" i="4"/>
  <c r="H221" i="4"/>
  <c r="I221" i="4" s="1"/>
  <c r="K221" i="4" s="1"/>
  <c r="I222" i="4"/>
  <c r="K222" i="4" s="1"/>
  <c r="H76" i="4"/>
  <c r="I76" i="4" s="1"/>
  <c r="I77" i="4"/>
  <c r="H46" i="4"/>
  <c r="I47" i="4"/>
  <c r="K47" i="4" s="1"/>
  <c r="G486" i="4"/>
  <c r="G485" i="4" s="1"/>
  <c r="G219" i="4"/>
  <c r="G654" i="4" s="1"/>
  <c r="K302" i="4"/>
  <c r="G220" i="4"/>
  <c r="H219" i="4"/>
  <c r="G360" i="4"/>
  <c r="G359" i="4" s="1"/>
  <c r="H360" i="4"/>
  <c r="I374" i="4" l="1"/>
  <c r="I661" i="4" s="1"/>
  <c r="H661" i="4"/>
  <c r="H220" i="4"/>
  <c r="I220" i="4" s="1"/>
  <c r="K220" i="4" s="1"/>
  <c r="H486" i="4"/>
  <c r="H485" i="4" s="1"/>
  <c r="I485" i="4" s="1"/>
  <c r="H654" i="4"/>
  <c r="I219" i="4"/>
  <c r="K219" i="4" s="1"/>
  <c r="H359" i="4"/>
  <c r="I359" i="4" s="1"/>
  <c r="I360" i="4"/>
  <c r="H266" i="4"/>
  <c r="I266" i="4" s="1"/>
  <c r="K266" i="4" s="1"/>
  <c r="I267" i="4"/>
  <c r="I375" i="4"/>
  <c r="H45" i="4"/>
  <c r="I46" i="4"/>
  <c r="K46" i="4" s="1"/>
  <c r="K268" i="4"/>
  <c r="K300" i="4"/>
  <c r="K77" i="4"/>
  <c r="K76" i="4"/>
  <c r="K376" i="4"/>
  <c r="K301" i="4"/>
  <c r="I682" i="4"/>
  <c r="K682" i="4" s="1"/>
  <c r="K361" i="4"/>
  <c r="I654" i="4"/>
  <c r="K654" i="4" s="1"/>
  <c r="K267" i="4"/>
  <c r="K488" i="4"/>
  <c r="G682" i="4"/>
  <c r="G358" i="4"/>
  <c r="G615" i="4" s="1"/>
  <c r="E26" i="12" s="1"/>
  <c r="H358" i="4"/>
  <c r="H682" i="4"/>
  <c r="K537" i="4"/>
  <c r="I486" i="4" l="1"/>
  <c r="H615" i="4"/>
  <c r="F26" i="12" s="1"/>
  <c r="I358" i="4"/>
  <c r="I615" i="4" s="1"/>
  <c r="H44" i="4"/>
  <c r="I44" i="4" s="1"/>
  <c r="K44" i="4" s="1"/>
  <c r="I45" i="4"/>
  <c r="K45" i="4" s="1"/>
  <c r="K375" i="4"/>
  <c r="K374" i="4"/>
  <c r="K487" i="4"/>
  <c r="K359" i="4"/>
  <c r="K360" i="4"/>
  <c r="G26" i="12" l="1"/>
  <c r="I26" i="12"/>
  <c r="K358" i="4"/>
  <c r="K486" i="4"/>
  <c r="K615" i="4"/>
  <c r="H536" i="4"/>
  <c r="G536" i="4"/>
  <c r="G531" i="4" s="1"/>
  <c r="K548" i="4"/>
  <c r="H547" i="4"/>
  <c r="G547" i="4"/>
  <c r="H419" i="4"/>
  <c r="H685" i="4"/>
  <c r="I685" i="4"/>
  <c r="K685" i="4" s="1"/>
  <c r="I536" i="4" l="1"/>
  <c r="K536" i="4" s="1"/>
  <c r="H418" i="4"/>
  <c r="I547" i="4"/>
  <c r="K547" i="4" s="1"/>
  <c r="G419" i="4"/>
  <c r="G418" i="4" s="1"/>
  <c r="I418" i="4" l="1"/>
  <c r="I419" i="4"/>
  <c r="K420" i="4" l="1"/>
  <c r="K418" i="4"/>
  <c r="K419" i="4"/>
  <c r="F698" i="4" l="1"/>
  <c r="D696" i="4" l="1"/>
  <c r="C696" i="4" s="1"/>
  <c r="D697" i="4"/>
  <c r="C697" i="4" s="1"/>
  <c r="D692" i="4"/>
  <c r="C692" i="4" s="1"/>
  <c r="H532" i="4"/>
  <c r="E21" i="12"/>
  <c r="F21" i="12"/>
  <c r="I21" i="12" l="1"/>
  <c r="G21" i="12"/>
  <c r="H531" i="4"/>
  <c r="I531" i="4" s="1"/>
  <c r="I532" i="4"/>
  <c r="K482" i="4"/>
  <c r="I525" i="4" l="1"/>
  <c r="K533" i="4" l="1"/>
  <c r="K216" i="4" l="1"/>
  <c r="K531" i="4" l="1"/>
  <c r="K532" i="4"/>
  <c r="K53" i="4"/>
  <c r="K699" i="4" l="1"/>
  <c r="K655" i="4"/>
  <c r="K589" i="4" l="1"/>
  <c r="K588" i="4"/>
  <c r="H587" i="4"/>
  <c r="G587" i="4"/>
  <c r="G586" i="4" s="1"/>
  <c r="G585" i="4" s="1"/>
  <c r="G583" i="4" s="1"/>
  <c r="K544" i="4"/>
  <c r="H543" i="4"/>
  <c r="G543" i="4"/>
  <c r="G542" i="4" s="1"/>
  <c r="G530" i="4" s="1"/>
  <c r="G528" i="4" s="1"/>
  <c r="K516" i="4"/>
  <c r="H515" i="4"/>
  <c r="H514" i="4" s="1"/>
  <c r="G515" i="4"/>
  <c r="G514" i="4" s="1"/>
  <c r="K508" i="4"/>
  <c r="H507" i="4"/>
  <c r="H506" i="4" s="1"/>
  <c r="G507" i="4"/>
  <c r="G506" i="4" s="1"/>
  <c r="G505" i="4" s="1"/>
  <c r="I507" i="4" l="1"/>
  <c r="H542" i="4"/>
  <c r="I543" i="4"/>
  <c r="H505" i="4"/>
  <c r="I505" i="4" s="1"/>
  <c r="I506" i="4"/>
  <c r="I514" i="4"/>
  <c r="I515" i="4"/>
  <c r="H586" i="4"/>
  <c r="I587" i="4"/>
  <c r="K587" i="4" s="1"/>
  <c r="G584" i="4"/>
  <c r="K507" i="4"/>
  <c r="G632" i="4"/>
  <c r="G529" i="4"/>
  <c r="G503" i="4"/>
  <c r="G504" i="4"/>
  <c r="H504" i="4"/>
  <c r="G646" i="4"/>
  <c r="G645" i="4" s="1"/>
  <c r="G513" i="4"/>
  <c r="H513" i="4" l="1"/>
  <c r="I513" i="4" s="1"/>
  <c r="K513" i="4" s="1"/>
  <c r="I504" i="4"/>
  <c r="H503" i="4"/>
  <c r="I503" i="4" s="1"/>
  <c r="H585" i="4"/>
  <c r="I586" i="4"/>
  <c r="K586" i="4" s="1"/>
  <c r="H530" i="4"/>
  <c r="I542" i="4"/>
  <c r="K543" i="4"/>
  <c r="K542" i="4"/>
  <c r="K515" i="4"/>
  <c r="K514" i="4"/>
  <c r="K506" i="4"/>
  <c r="H512" i="4"/>
  <c r="G511" i="4"/>
  <c r="G512" i="4"/>
  <c r="H435" i="4"/>
  <c r="G435" i="4"/>
  <c r="H433" i="4"/>
  <c r="G433" i="4"/>
  <c r="G429" i="4" s="1"/>
  <c r="K403" i="4"/>
  <c r="H402" i="4"/>
  <c r="G402" i="4"/>
  <c r="G401" i="4" s="1"/>
  <c r="G400" i="4" s="1"/>
  <c r="K399" i="4"/>
  <c r="K398" i="4"/>
  <c r="H397" i="4"/>
  <c r="G397" i="4"/>
  <c r="G396" i="4" s="1"/>
  <c r="G395" i="4" s="1"/>
  <c r="G693" i="4" s="1"/>
  <c r="K369" i="4"/>
  <c r="H368" i="4"/>
  <c r="G368" i="4"/>
  <c r="H511" i="4" l="1"/>
  <c r="H396" i="4"/>
  <c r="I397" i="4"/>
  <c r="H401" i="4"/>
  <c r="I402" i="4"/>
  <c r="I512" i="4"/>
  <c r="H528" i="4"/>
  <c r="I530" i="4"/>
  <c r="K530" i="4" s="1"/>
  <c r="H529" i="4"/>
  <c r="I529" i="4" s="1"/>
  <c r="K529" i="4" s="1"/>
  <c r="H583" i="4"/>
  <c r="I585" i="4"/>
  <c r="K585" i="4" s="1"/>
  <c r="H584" i="4"/>
  <c r="I584" i="4" s="1"/>
  <c r="I368" i="4"/>
  <c r="H429" i="4"/>
  <c r="I429" i="4" s="1"/>
  <c r="I433" i="4"/>
  <c r="I435" i="4"/>
  <c r="I511" i="4"/>
  <c r="K511" i="4" s="1"/>
  <c r="K441" i="4"/>
  <c r="G367" i="4"/>
  <c r="G366" i="4" s="1"/>
  <c r="H367" i="4"/>
  <c r="G694" i="4"/>
  <c r="K512" i="4"/>
  <c r="K402" i="4"/>
  <c r="G428" i="4"/>
  <c r="K505" i="4"/>
  <c r="K504" i="4"/>
  <c r="K503" i="4"/>
  <c r="K584" i="4"/>
  <c r="K433" i="4"/>
  <c r="D680" i="4"/>
  <c r="C680" i="4" s="1"/>
  <c r="D695" i="4"/>
  <c r="D693" i="4"/>
  <c r="C693" i="4" s="1"/>
  <c r="D694" i="4"/>
  <c r="C694" i="4" s="1"/>
  <c r="K307" i="4"/>
  <c r="H306" i="4"/>
  <c r="G306" i="4"/>
  <c r="G305" i="4" s="1"/>
  <c r="G304" i="4" s="1"/>
  <c r="K298" i="4"/>
  <c r="H297" i="4"/>
  <c r="G297" i="4"/>
  <c r="K296" i="4"/>
  <c r="H295" i="4"/>
  <c r="G295" i="4"/>
  <c r="K291" i="4"/>
  <c r="K290" i="4"/>
  <c r="H289" i="4"/>
  <c r="G289" i="4"/>
  <c r="G288" i="4" s="1"/>
  <c r="G287" i="4" s="1"/>
  <c r="K275" i="4"/>
  <c r="H274" i="4"/>
  <c r="G274" i="4"/>
  <c r="G273" i="4" s="1"/>
  <c r="G272" i="4" s="1"/>
  <c r="H273" i="4"/>
  <c r="K265" i="4"/>
  <c r="K264" i="4"/>
  <c r="H263" i="4"/>
  <c r="G263" i="4"/>
  <c r="G262" i="4" s="1"/>
  <c r="G261" i="4" s="1"/>
  <c r="G260" i="4" s="1"/>
  <c r="K218" i="4"/>
  <c r="H217" i="4"/>
  <c r="G217" i="4"/>
  <c r="H215" i="4"/>
  <c r="G215" i="4"/>
  <c r="H428" i="4" l="1"/>
  <c r="I428" i="4" s="1"/>
  <c r="G286" i="4"/>
  <c r="I217" i="4"/>
  <c r="I274" i="4"/>
  <c r="K274" i="4" s="1"/>
  <c r="I297" i="4"/>
  <c r="I401" i="4"/>
  <c r="K401" i="4" s="1"/>
  <c r="H400" i="4"/>
  <c r="H694" i="4" s="1"/>
  <c r="H272" i="4"/>
  <c r="I272" i="4" s="1"/>
  <c r="I273" i="4"/>
  <c r="I528" i="4"/>
  <c r="I632" i="4" s="1"/>
  <c r="K632" i="4" s="1"/>
  <c r="H632" i="4"/>
  <c r="I215" i="4"/>
  <c r="K215" i="4" s="1"/>
  <c r="H262" i="4"/>
  <c r="I263" i="4"/>
  <c r="H288" i="4"/>
  <c r="I289" i="4"/>
  <c r="I295" i="4"/>
  <c r="H305" i="4"/>
  <c r="I306" i="4"/>
  <c r="H366" i="4"/>
  <c r="I366" i="4" s="1"/>
  <c r="I680" i="4" s="1"/>
  <c r="I367" i="4"/>
  <c r="K367" i="4" s="1"/>
  <c r="I583" i="4"/>
  <c r="K583" i="4" s="1"/>
  <c r="H646" i="4"/>
  <c r="H645" i="4" s="1"/>
  <c r="H395" i="4"/>
  <c r="I396" i="4"/>
  <c r="H385" i="4"/>
  <c r="G679" i="4"/>
  <c r="G417" i="4"/>
  <c r="G411" i="4" s="1"/>
  <c r="G618" i="4" s="1"/>
  <c r="H679" i="4"/>
  <c r="H417" i="4"/>
  <c r="G365" i="4"/>
  <c r="G364" i="4"/>
  <c r="G616" i="4" s="1"/>
  <c r="G680" i="4"/>
  <c r="K368" i="4"/>
  <c r="G695" i="4"/>
  <c r="K440" i="4"/>
  <c r="G385" i="4"/>
  <c r="H214" i="4"/>
  <c r="G214" i="4"/>
  <c r="G213" i="4" s="1"/>
  <c r="G211" i="4" s="1"/>
  <c r="G210" i="4" s="1"/>
  <c r="G168" i="4" s="1"/>
  <c r="G294" i="4"/>
  <c r="G293" i="4" s="1"/>
  <c r="G292" i="4" s="1"/>
  <c r="H427" i="4"/>
  <c r="K289" i="4"/>
  <c r="H294" i="4"/>
  <c r="K297" i="4"/>
  <c r="K438" i="4"/>
  <c r="K435" i="4"/>
  <c r="K429" i="4"/>
  <c r="K397" i="4"/>
  <c r="G427" i="4"/>
  <c r="G681" i="4"/>
  <c r="G299" i="4"/>
  <c r="G270" i="4"/>
  <c r="G271" i="4"/>
  <c r="H270" i="4"/>
  <c r="C695" i="4"/>
  <c r="D681" i="4"/>
  <c r="C681" i="4" s="1"/>
  <c r="K167" i="4"/>
  <c r="H166" i="4"/>
  <c r="G166" i="4"/>
  <c r="G165" i="4" s="1"/>
  <c r="G164" i="4" s="1"/>
  <c r="K159" i="4"/>
  <c r="K158" i="4"/>
  <c r="H157" i="4"/>
  <c r="G157" i="4"/>
  <c r="K156" i="4"/>
  <c r="H155" i="4"/>
  <c r="G155" i="4"/>
  <c r="G146" i="4"/>
  <c r="G145" i="4" s="1"/>
  <c r="G144" i="4" s="1"/>
  <c r="H146" i="4"/>
  <c r="K148" i="4"/>
  <c r="K147" i="4"/>
  <c r="K138" i="4"/>
  <c r="H137" i="4"/>
  <c r="G137" i="4"/>
  <c r="G127" i="4" s="1"/>
  <c r="K133" i="4"/>
  <c r="K130" i="4"/>
  <c r="H128" i="4"/>
  <c r="D688" i="4"/>
  <c r="C688" i="4" s="1"/>
  <c r="K121" i="4"/>
  <c r="H120" i="4"/>
  <c r="G120" i="4"/>
  <c r="G119" i="4" s="1"/>
  <c r="G118" i="4" s="1"/>
  <c r="G93" i="4"/>
  <c r="G690" i="4" s="1"/>
  <c r="K67" i="4"/>
  <c r="H66" i="4"/>
  <c r="G66" i="4"/>
  <c r="K65" i="4"/>
  <c r="H64" i="4"/>
  <c r="G64" i="4"/>
  <c r="K63" i="4"/>
  <c r="H62" i="4"/>
  <c r="G62" i="4"/>
  <c r="K59" i="4"/>
  <c r="H58" i="4"/>
  <c r="G58" i="4"/>
  <c r="K57" i="4"/>
  <c r="H56" i="4"/>
  <c r="G56" i="4"/>
  <c r="H52" i="4"/>
  <c r="I52" i="4" s="1"/>
  <c r="G52" i="4"/>
  <c r="I400" i="4" l="1"/>
  <c r="I694" i="4" s="1"/>
  <c r="G285" i="4"/>
  <c r="I56" i="4"/>
  <c r="I62" i="4"/>
  <c r="I66" i="4"/>
  <c r="I120" i="4"/>
  <c r="H271" i="4"/>
  <c r="I271" i="4" s="1"/>
  <c r="K528" i="4"/>
  <c r="I646" i="4"/>
  <c r="I645" i="4" s="1"/>
  <c r="H365" i="4"/>
  <c r="I365" i="4" s="1"/>
  <c r="K365" i="4" s="1"/>
  <c r="H364" i="4"/>
  <c r="H616" i="4" s="1"/>
  <c r="H680" i="4"/>
  <c r="I58" i="4"/>
  <c r="K58" i="4" s="1"/>
  <c r="I64" i="4"/>
  <c r="H127" i="4"/>
  <c r="I127" i="4" s="1"/>
  <c r="I128" i="4"/>
  <c r="I137" i="4"/>
  <c r="K137" i="4" s="1"/>
  <c r="H145" i="4"/>
  <c r="I146" i="4"/>
  <c r="I157" i="4"/>
  <c r="K157" i="4" s="1"/>
  <c r="H165" i="4"/>
  <c r="I166" i="4"/>
  <c r="I427" i="4"/>
  <c r="I364" i="4"/>
  <c r="H287" i="4"/>
  <c r="I288" i="4"/>
  <c r="K288" i="4" s="1"/>
  <c r="H261" i="4"/>
  <c r="I262" i="4"/>
  <c r="I155" i="4"/>
  <c r="H600" i="4"/>
  <c r="I270" i="4"/>
  <c r="H293" i="4"/>
  <c r="I294" i="4"/>
  <c r="H213" i="4"/>
  <c r="H212" i="4" s="1"/>
  <c r="I214" i="4"/>
  <c r="H411" i="4"/>
  <c r="I417" i="4"/>
  <c r="I385" i="4"/>
  <c r="H693" i="4"/>
  <c r="H695" i="4" s="1"/>
  <c r="I395" i="4"/>
  <c r="I693" i="4" s="1"/>
  <c r="H304" i="4"/>
  <c r="I305" i="4"/>
  <c r="K96" i="4"/>
  <c r="G212" i="4"/>
  <c r="G51" i="4"/>
  <c r="G50" i="4" s="1"/>
  <c r="G49" i="4" s="1"/>
  <c r="G43" i="4" s="1"/>
  <c r="G673" i="4"/>
  <c r="H51" i="4"/>
  <c r="K100" i="4"/>
  <c r="G154" i="4"/>
  <c r="G153" i="4" s="1"/>
  <c r="H93" i="4"/>
  <c r="K129" i="4"/>
  <c r="K56" i="4"/>
  <c r="K64" i="4"/>
  <c r="H154" i="4"/>
  <c r="H153" i="4" s="1"/>
  <c r="K273" i="4"/>
  <c r="K217" i="4"/>
  <c r="G117" i="4"/>
  <c r="G116" i="4" s="1"/>
  <c r="K306" i="4"/>
  <c r="K295" i="4"/>
  <c r="K263" i="4"/>
  <c r="K52" i="4"/>
  <c r="K120" i="4"/>
  <c r="K366" i="4"/>
  <c r="K680" i="4"/>
  <c r="K396" i="4"/>
  <c r="K694" i="4"/>
  <c r="K400" i="4"/>
  <c r="H119" i="4"/>
  <c r="G162" i="4"/>
  <c r="G163" i="4"/>
  <c r="G143" i="4"/>
  <c r="G142" i="4" s="1"/>
  <c r="G688" i="4"/>
  <c r="D690" i="4"/>
  <c r="K24" i="4"/>
  <c r="H23" i="4"/>
  <c r="G23" i="4"/>
  <c r="H21" i="4"/>
  <c r="G21" i="4"/>
  <c r="H19" i="4"/>
  <c r="G19" i="4"/>
  <c r="G15" i="4"/>
  <c r="I15" i="4" s="1"/>
  <c r="H285" i="4" l="1"/>
  <c r="I212" i="4"/>
  <c r="I93" i="4"/>
  <c r="I690" i="4" s="1"/>
  <c r="H690" i="4"/>
  <c r="H688" i="4"/>
  <c r="H118" i="4"/>
  <c r="I118" i="4" s="1"/>
  <c r="I119" i="4"/>
  <c r="H618" i="4"/>
  <c r="I411" i="4"/>
  <c r="H260" i="4"/>
  <c r="I260" i="4" s="1"/>
  <c r="I261" i="4"/>
  <c r="H286" i="4"/>
  <c r="I286" i="4" s="1"/>
  <c r="I287" i="4"/>
  <c r="H144" i="4"/>
  <c r="I145" i="4"/>
  <c r="I19" i="4"/>
  <c r="K19" i="4" s="1"/>
  <c r="I21" i="4"/>
  <c r="I23" i="4"/>
  <c r="H152" i="4"/>
  <c r="I154" i="4"/>
  <c r="I304" i="4"/>
  <c r="H681" i="4"/>
  <c r="H299" i="4"/>
  <c r="I299" i="4" s="1"/>
  <c r="H211" i="4"/>
  <c r="I213" i="4"/>
  <c r="H292" i="4"/>
  <c r="I292" i="4" s="1"/>
  <c r="I293" i="4"/>
  <c r="H164" i="4"/>
  <c r="I165" i="4"/>
  <c r="H50" i="4"/>
  <c r="I51" i="4"/>
  <c r="K427" i="4"/>
  <c r="K16" i="4"/>
  <c r="G14" i="4"/>
  <c r="K94" i="4"/>
  <c r="H14" i="4"/>
  <c r="K21" i="4"/>
  <c r="K22" i="4"/>
  <c r="K20" i="4"/>
  <c r="K364" i="4"/>
  <c r="I616" i="4"/>
  <c r="K99" i="4"/>
  <c r="K66" i="4"/>
  <c r="K62" i="4"/>
  <c r="K286" i="4"/>
  <c r="K428" i="4"/>
  <c r="I679" i="4"/>
  <c r="K679" i="4" s="1"/>
  <c r="K272" i="4"/>
  <c r="K119" i="4"/>
  <c r="K214" i="4"/>
  <c r="K262" i="4"/>
  <c r="K166" i="4"/>
  <c r="K294" i="4"/>
  <c r="K305" i="4"/>
  <c r="L57" i="4"/>
  <c r="L59" i="4"/>
  <c r="K146" i="4"/>
  <c r="G152" i="4"/>
  <c r="G151" i="4" s="1"/>
  <c r="G672" i="4"/>
  <c r="G675" i="4" s="1"/>
  <c r="K95" i="4"/>
  <c r="K395" i="4"/>
  <c r="K385" i="4"/>
  <c r="K155" i="4"/>
  <c r="K132" i="4"/>
  <c r="H117" i="4"/>
  <c r="G92" i="4"/>
  <c r="G91" i="4" s="1"/>
  <c r="H92" i="4"/>
  <c r="H91" i="4" s="1"/>
  <c r="G686" i="4"/>
  <c r="D687" i="4"/>
  <c r="C687" i="4" s="1"/>
  <c r="C690" i="4"/>
  <c r="H686" i="4" l="1"/>
  <c r="H116" i="4"/>
  <c r="I117" i="4"/>
  <c r="I164" i="4"/>
  <c r="I673" i="4" s="1"/>
  <c r="H673" i="4"/>
  <c r="H162" i="4"/>
  <c r="I162" i="4" s="1"/>
  <c r="H163" i="4"/>
  <c r="I163" i="4" s="1"/>
  <c r="H672" i="4"/>
  <c r="I153" i="4"/>
  <c r="H151" i="4"/>
  <c r="I152" i="4"/>
  <c r="I211" i="4"/>
  <c r="H653" i="4"/>
  <c r="H210" i="4"/>
  <c r="H143" i="4"/>
  <c r="I144" i="4"/>
  <c r="H603" i="4"/>
  <c r="F14" i="12" s="1"/>
  <c r="I91" i="4"/>
  <c r="I92" i="4"/>
  <c r="H49" i="4"/>
  <c r="I50" i="4"/>
  <c r="H13" i="4"/>
  <c r="I14" i="4"/>
  <c r="G13" i="4"/>
  <c r="G689" i="4" s="1"/>
  <c r="G691" i="4" s="1"/>
  <c r="K287" i="4"/>
  <c r="K23" i="4"/>
  <c r="K271" i="4"/>
  <c r="K118" i="4"/>
  <c r="I600" i="4"/>
  <c r="K600" i="4" s="1"/>
  <c r="K15" i="4"/>
  <c r="K51" i="4"/>
  <c r="K213" i="4"/>
  <c r="K212" i="4"/>
  <c r="K93" i="4"/>
  <c r="K304" i="4"/>
  <c r="K299" i="4"/>
  <c r="I681" i="4"/>
  <c r="K681" i="4" s="1"/>
  <c r="K292" i="4"/>
  <c r="K293" i="4"/>
  <c r="K260" i="4"/>
  <c r="K261" i="4"/>
  <c r="K165" i="4"/>
  <c r="I695" i="4"/>
  <c r="K695" i="4" s="1"/>
  <c r="K693" i="4"/>
  <c r="K128" i="4"/>
  <c r="K154" i="4"/>
  <c r="K417" i="4"/>
  <c r="K145" i="4"/>
  <c r="D686" i="4"/>
  <c r="C686" i="4" s="1"/>
  <c r="I14" i="12" l="1"/>
  <c r="I13" i="4"/>
  <c r="H142" i="4"/>
  <c r="I143" i="4"/>
  <c r="H168" i="4"/>
  <c r="I168" i="4" s="1"/>
  <c r="I210" i="4"/>
  <c r="H150" i="4"/>
  <c r="I151" i="4"/>
  <c r="H675" i="4"/>
  <c r="H630" i="4"/>
  <c r="I116" i="4"/>
  <c r="H43" i="4"/>
  <c r="I49" i="4"/>
  <c r="H12" i="4"/>
  <c r="H11" i="4" s="1"/>
  <c r="H689" i="4"/>
  <c r="H691" i="4" s="1"/>
  <c r="G12" i="4"/>
  <c r="G11" i="4" s="1"/>
  <c r="K14" i="4"/>
  <c r="K270" i="4"/>
  <c r="I686" i="4"/>
  <c r="K686" i="4" s="1"/>
  <c r="K690" i="4"/>
  <c r="K211" i="4"/>
  <c r="I653" i="4"/>
  <c r="K653" i="4" s="1"/>
  <c r="K50" i="4"/>
  <c r="K92" i="4"/>
  <c r="K673" i="4"/>
  <c r="K163" i="4"/>
  <c r="K164" i="4"/>
  <c r="K162" i="4"/>
  <c r="K13" i="4"/>
  <c r="I689" i="4"/>
  <c r="K689" i="4" s="1"/>
  <c r="K144" i="4"/>
  <c r="I618" i="4"/>
  <c r="K618" i="4" s="1"/>
  <c r="K411" i="4"/>
  <c r="I672" i="4"/>
  <c r="K153" i="4"/>
  <c r="K127" i="4"/>
  <c r="I688" i="4"/>
  <c r="D691" i="4"/>
  <c r="C691" i="4" s="1"/>
  <c r="D689" i="4"/>
  <c r="C689" i="4" s="1"/>
  <c r="F52" i="12"/>
  <c r="F39" i="12"/>
  <c r="F58" i="12"/>
  <c r="K646" i="4"/>
  <c r="K578" i="4"/>
  <c r="H577" i="4"/>
  <c r="K557" i="4"/>
  <c r="H556" i="4"/>
  <c r="K526" i="4"/>
  <c r="H524" i="4"/>
  <c r="H481" i="4"/>
  <c r="K478" i="4"/>
  <c r="H477" i="4"/>
  <c r="F49" i="12"/>
  <c r="F34" i="12"/>
  <c r="F32" i="12"/>
  <c r="F30" i="12"/>
  <c r="K384" i="4"/>
  <c r="H383" i="4"/>
  <c r="K381" i="4"/>
  <c r="H380" i="4"/>
  <c r="K357" i="4"/>
  <c r="H356" i="4"/>
  <c r="K355" i="4"/>
  <c r="H354" i="4"/>
  <c r="K351" i="4"/>
  <c r="K350" i="4"/>
  <c r="H349" i="4"/>
  <c r="K341" i="4"/>
  <c r="H340" i="4"/>
  <c r="K338" i="4"/>
  <c r="H337" i="4"/>
  <c r="K319" i="4"/>
  <c r="H318" i="4"/>
  <c r="K661" i="4"/>
  <c r="F13" i="12"/>
  <c r="H279" i="4"/>
  <c r="F11" i="12"/>
  <c r="K259" i="4"/>
  <c r="H258" i="4"/>
  <c r="H249" i="4"/>
  <c r="K244" i="4"/>
  <c r="H243" i="4"/>
  <c r="H240" i="4"/>
  <c r="K237" i="4"/>
  <c r="H236" i="4"/>
  <c r="F65" i="12"/>
  <c r="I65" i="12" l="1"/>
  <c r="I34" i="12"/>
  <c r="I58" i="12"/>
  <c r="I52" i="12"/>
  <c r="I13" i="12"/>
  <c r="I32" i="12"/>
  <c r="I49" i="12"/>
  <c r="I39" i="12"/>
  <c r="F45" i="12"/>
  <c r="G625" i="4"/>
  <c r="G10" i="4"/>
  <c r="I43" i="4"/>
  <c r="K43" i="4" s="1"/>
  <c r="H10" i="4"/>
  <c r="H257" i="4"/>
  <c r="H278" i="4"/>
  <c r="H379" i="4"/>
  <c r="H382" i="4"/>
  <c r="H476" i="4"/>
  <c r="H479" i="4"/>
  <c r="I142" i="4"/>
  <c r="H643" i="4"/>
  <c r="H242" i="4"/>
  <c r="H238" i="4" s="1"/>
  <c r="H336" i="4"/>
  <c r="H339" i="4"/>
  <c r="H555" i="4"/>
  <c r="H576" i="4"/>
  <c r="I12" i="4"/>
  <c r="H625" i="4"/>
  <c r="I11" i="4"/>
  <c r="K321" i="4"/>
  <c r="H523" i="4"/>
  <c r="H234" i="4"/>
  <c r="H248" i="4"/>
  <c r="K49" i="4"/>
  <c r="K210" i="4"/>
  <c r="K168" i="4"/>
  <c r="K91" i="4"/>
  <c r="I627" i="4"/>
  <c r="K117" i="4"/>
  <c r="K688" i="4"/>
  <c r="I691" i="4"/>
  <c r="K691" i="4" s="1"/>
  <c r="K152" i="4"/>
  <c r="K151" i="4"/>
  <c r="K672" i="4"/>
  <c r="I675" i="4"/>
  <c r="K675" i="4" s="1"/>
  <c r="K143" i="4"/>
  <c r="K12" i="4"/>
  <c r="H235" i="4"/>
  <c r="H348" i="4"/>
  <c r="H480" i="4"/>
  <c r="H670" i="4"/>
  <c r="H493" i="4"/>
  <c r="H239" i="4"/>
  <c r="I649" i="4"/>
  <c r="K649" i="4" s="1"/>
  <c r="H457" i="4"/>
  <c r="I457" i="4" s="1"/>
  <c r="H626" i="4"/>
  <c r="K457" i="4"/>
  <c r="H649" i="4"/>
  <c r="F60" i="12" s="1"/>
  <c r="H502" i="4"/>
  <c r="H651" i="4"/>
  <c r="F62" i="12" s="1"/>
  <c r="I651" i="4"/>
  <c r="K651" i="4" s="1"/>
  <c r="H627" i="4"/>
  <c r="F38" i="12" s="1"/>
  <c r="H317" i="4"/>
  <c r="F54" i="12"/>
  <c r="H141" i="4"/>
  <c r="H161" i="4"/>
  <c r="F17" i="12"/>
  <c r="I652" i="4"/>
  <c r="K652" i="4" s="1"/>
  <c r="H652" i="4"/>
  <c r="F64" i="12"/>
  <c r="F43" i="12"/>
  <c r="F57" i="12"/>
  <c r="H582" i="4"/>
  <c r="H698" i="4" l="1"/>
  <c r="I43" i="12"/>
  <c r="I64" i="12"/>
  <c r="I54" i="12"/>
  <c r="I38" i="12"/>
  <c r="I62" i="12"/>
  <c r="I60" i="12"/>
  <c r="I57" i="12"/>
  <c r="I17" i="12"/>
  <c r="I45" i="12"/>
  <c r="F61" i="12"/>
  <c r="F59" i="12"/>
  <c r="F63" i="12"/>
  <c r="F56" i="12"/>
  <c r="F16" i="12"/>
  <c r="H378" i="4"/>
  <c r="H598" i="4"/>
  <c r="F9" i="12" s="1"/>
  <c r="H347" i="4"/>
  <c r="H660" i="4" s="1"/>
  <c r="H667" i="4"/>
  <c r="H475" i="4"/>
  <c r="H256" i="4"/>
  <c r="H316" i="4"/>
  <c r="H315" i="4" s="1"/>
  <c r="H604" i="4"/>
  <c r="F15" i="12" s="1"/>
  <c r="H648" i="4"/>
  <c r="H372" i="4"/>
  <c r="H247" i="4"/>
  <c r="H659" i="4" s="1"/>
  <c r="H597" i="4"/>
  <c r="F8" i="12" s="1"/>
  <c r="H575" i="4"/>
  <c r="H554" i="4"/>
  <c r="H335" i="4"/>
  <c r="H521" i="4"/>
  <c r="H629" i="4" s="1"/>
  <c r="H522" i="4"/>
  <c r="H662" i="4"/>
  <c r="H676" i="4"/>
  <c r="H650" i="4"/>
  <c r="H373" i="4"/>
  <c r="I626" i="4"/>
  <c r="K626" i="4" s="1"/>
  <c r="K645" i="4"/>
  <c r="K11" i="4"/>
  <c r="I625" i="4"/>
  <c r="K625" i="4" s="1"/>
  <c r="K142" i="4"/>
  <c r="I643" i="4"/>
  <c r="K116" i="4"/>
  <c r="I630" i="4"/>
  <c r="K630" i="4" s="1"/>
  <c r="K525" i="4"/>
  <c r="K320" i="4"/>
  <c r="K627" i="4"/>
  <c r="H276" i="4"/>
  <c r="H277" i="4"/>
  <c r="H642" i="4"/>
  <c r="F53" i="12" s="1"/>
  <c r="I620" i="4"/>
  <c r="K620" i="4" s="1"/>
  <c r="H620" i="4"/>
  <c r="F31" i="12" s="1"/>
  <c r="F27" i="12"/>
  <c r="F36" i="12"/>
  <c r="F37" i="12"/>
  <c r="F41" i="12"/>
  <c r="F33" i="12"/>
  <c r="I33" i="12" l="1"/>
  <c r="I41" i="12"/>
  <c r="I36" i="12"/>
  <c r="I31" i="12"/>
  <c r="I53" i="12"/>
  <c r="I8" i="12"/>
  <c r="I15" i="12"/>
  <c r="I9" i="12"/>
  <c r="I56" i="12"/>
  <c r="I59" i="12"/>
  <c r="I37" i="12"/>
  <c r="I16" i="12"/>
  <c r="I63" i="12"/>
  <c r="I61" i="12"/>
  <c r="F29" i="12"/>
  <c r="H346" i="4"/>
  <c r="H345" i="4"/>
  <c r="H614" i="4" s="1"/>
  <c r="F25" i="12" s="1"/>
  <c r="H245" i="4"/>
  <c r="H599" i="4" s="1"/>
  <c r="F10" i="12" s="1"/>
  <c r="F40" i="12"/>
  <c r="H678" i="4"/>
  <c r="H683" i="4" s="1"/>
  <c r="H334" i="4"/>
  <c r="H333" i="4"/>
  <c r="H474" i="4"/>
  <c r="H473" i="4"/>
  <c r="H601" i="4"/>
  <c r="F12" i="12" s="1"/>
  <c r="H665" i="4"/>
  <c r="H553" i="4"/>
  <c r="H552" i="4"/>
  <c r="H573" i="4"/>
  <c r="H574" i="4"/>
  <c r="H246" i="4"/>
  <c r="H617" i="4"/>
  <c r="H309" i="4"/>
  <c r="H255" i="4"/>
  <c r="H668" i="4"/>
  <c r="H510" i="4"/>
  <c r="H664" i="4"/>
  <c r="K616" i="4"/>
  <c r="K643" i="4"/>
  <c r="H344" i="4"/>
  <c r="H527" i="4"/>
  <c r="H149" i="4"/>
  <c r="K149" i="4" s="1"/>
  <c r="H9" i="4"/>
  <c r="K9" i="4" s="1"/>
  <c r="I10" i="12" l="1"/>
  <c r="I29" i="12"/>
  <c r="I12" i="12"/>
  <c r="I40" i="12"/>
  <c r="I25" i="12"/>
  <c r="F35" i="12"/>
  <c r="F7" i="12"/>
  <c r="H233" i="4"/>
  <c r="H596" i="4" s="1"/>
  <c r="H572" i="4"/>
  <c r="H644" i="4"/>
  <c r="F55" i="12" s="1"/>
  <c r="H640" i="4"/>
  <c r="F51" i="12" s="1"/>
  <c r="H472" i="4"/>
  <c r="H624" i="4"/>
  <c r="H308" i="4"/>
  <c r="H609" i="4"/>
  <c r="F20" i="12" s="1"/>
  <c r="H633" i="4"/>
  <c r="F44" i="12" s="1"/>
  <c r="H671" i="4"/>
  <c r="H700" i="4" s="1"/>
  <c r="H611" i="4"/>
  <c r="F22" i="12" s="1"/>
  <c r="F28" i="12"/>
  <c r="H612" i="4"/>
  <c r="K485" i="4"/>
  <c r="H631" i="4"/>
  <c r="H509" i="4"/>
  <c r="K509" i="4" s="1"/>
  <c r="J39" i="12" l="1"/>
  <c r="J38" i="12"/>
  <c r="J41" i="12"/>
  <c r="J36" i="12"/>
  <c r="J37" i="12"/>
  <c r="J40" i="12"/>
  <c r="I51" i="12"/>
  <c r="I7" i="12"/>
  <c r="I28" i="12"/>
  <c r="I20" i="12"/>
  <c r="I22" i="12"/>
  <c r="I44" i="12"/>
  <c r="I55" i="12"/>
  <c r="I35" i="12"/>
  <c r="F42" i="12"/>
  <c r="J42" i="12" s="1"/>
  <c r="F23" i="12"/>
  <c r="F50" i="12"/>
  <c r="H232" i="4"/>
  <c r="K232" i="4" s="1"/>
  <c r="H607" i="4"/>
  <c r="H639" i="4"/>
  <c r="F18" i="12"/>
  <c r="H593" i="4"/>
  <c r="I50" i="12" l="1"/>
  <c r="I18" i="12"/>
  <c r="I42" i="12"/>
  <c r="I23" i="12"/>
  <c r="F66" i="12"/>
  <c r="H50" i="12" s="1"/>
  <c r="H656" i="4"/>
  <c r="H657" i="4" s="1"/>
  <c r="H595" i="4"/>
  <c r="H701" i="4"/>
  <c r="K252" i="4"/>
  <c r="K250" i="4"/>
  <c r="H23" i="12" l="1"/>
  <c r="H42" i="12"/>
  <c r="H18" i="12"/>
  <c r="F68" i="12"/>
  <c r="I66" i="12"/>
  <c r="H19" i="12"/>
  <c r="H24" i="12"/>
  <c r="H46" i="12"/>
  <c r="H47" i="12"/>
  <c r="H48" i="12"/>
  <c r="H66" i="12"/>
  <c r="H26" i="12"/>
  <c r="H21" i="12"/>
  <c r="H14" i="12"/>
  <c r="H30" i="12"/>
  <c r="H34" i="12"/>
  <c r="H58" i="12"/>
  <c r="H52" i="12"/>
  <c r="H65" i="12"/>
  <c r="H11" i="12"/>
  <c r="H13" i="12"/>
  <c r="H32" i="12"/>
  <c r="H49" i="12"/>
  <c r="H39" i="12"/>
  <c r="H43" i="12"/>
  <c r="H64" i="12"/>
  <c r="H54" i="12"/>
  <c r="H38" i="12"/>
  <c r="H62" i="12"/>
  <c r="H60" i="12"/>
  <c r="H57" i="12"/>
  <c r="H17" i="12"/>
  <c r="H45" i="12"/>
  <c r="H8" i="12"/>
  <c r="H9" i="12"/>
  <c r="H27" i="12"/>
  <c r="H16" i="12"/>
  <c r="H63" i="12"/>
  <c r="H61" i="12"/>
  <c r="H33" i="12"/>
  <c r="H41" i="12"/>
  <c r="H36" i="12"/>
  <c r="H31" i="12"/>
  <c r="H53" i="12"/>
  <c r="H15" i="12"/>
  <c r="H56" i="12"/>
  <c r="H59" i="12"/>
  <c r="H37" i="12"/>
  <c r="H10" i="12"/>
  <c r="H29" i="12"/>
  <c r="H12" i="12"/>
  <c r="H40" i="12"/>
  <c r="H25" i="12"/>
  <c r="H7" i="12"/>
  <c r="H20" i="12"/>
  <c r="H22" i="12"/>
  <c r="H44" i="12"/>
  <c r="H55" i="12"/>
  <c r="H35" i="12"/>
  <c r="H51" i="12"/>
  <c r="H28" i="12"/>
  <c r="I251" i="4"/>
  <c r="K251" i="4" s="1"/>
  <c r="J35" i="12" l="1"/>
  <c r="G150" i="4" l="1"/>
  <c r="I150" i="4" s="1"/>
  <c r="I160" i="4"/>
  <c r="I603" i="4" l="1"/>
  <c r="K160" i="4"/>
  <c r="K150" i="4"/>
  <c r="E52" i="12"/>
  <c r="G52" i="12" s="1"/>
  <c r="E39" i="12"/>
  <c r="G39" i="12" s="1"/>
  <c r="K603" i="4" l="1"/>
  <c r="G337" i="4" l="1"/>
  <c r="G336" i="4" l="1"/>
  <c r="I336" i="4" s="1"/>
  <c r="K336" i="4" s="1"/>
  <c r="I337" i="4"/>
  <c r="K337" i="4" s="1"/>
  <c r="G577" i="4"/>
  <c r="G524" i="4"/>
  <c r="I524" i="4" s="1"/>
  <c r="K524" i="4" s="1"/>
  <c r="G477" i="4"/>
  <c r="E49" i="12"/>
  <c r="E30" i="12"/>
  <c r="G30" i="12" s="1"/>
  <c r="G383" i="4"/>
  <c r="G380" i="4"/>
  <c r="G349" i="4"/>
  <c r="I349" i="4" s="1"/>
  <c r="K349" i="4" s="1"/>
  <c r="G340" i="4"/>
  <c r="G685" i="4"/>
  <c r="E45" i="12" l="1"/>
  <c r="G45" i="12" s="1"/>
  <c r="G49" i="12"/>
  <c r="G382" i="4"/>
  <c r="I382" i="4" s="1"/>
  <c r="K382" i="4" s="1"/>
  <c r="I383" i="4"/>
  <c r="K383" i="4" s="1"/>
  <c r="G339" i="4"/>
  <c r="I339" i="4" s="1"/>
  <c r="K339" i="4" s="1"/>
  <c r="I340" i="4"/>
  <c r="K340" i="4" s="1"/>
  <c r="G379" i="4"/>
  <c r="I379" i="4" s="1"/>
  <c r="K379" i="4" s="1"/>
  <c r="I380" i="4"/>
  <c r="K380" i="4" s="1"/>
  <c r="G476" i="4"/>
  <c r="I477" i="4"/>
  <c r="K477" i="4" s="1"/>
  <c r="G576" i="4"/>
  <c r="I577" i="4"/>
  <c r="K577" i="4" s="1"/>
  <c r="G523" i="4"/>
  <c r="G649" i="4"/>
  <c r="E60" i="12" s="1"/>
  <c r="E57" i="12"/>
  <c r="G57" i="12" s="1"/>
  <c r="G582" i="4"/>
  <c r="I582" i="4" s="1"/>
  <c r="K582" i="4" s="1"/>
  <c r="E32" i="12"/>
  <c r="G32" i="12" s="1"/>
  <c r="E33" i="12"/>
  <c r="G33" i="12" s="1"/>
  <c r="E34" i="12"/>
  <c r="G34" i="12" s="1"/>
  <c r="E59" i="12" l="1"/>
  <c r="G59" i="12" s="1"/>
  <c r="G60" i="12"/>
  <c r="G378" i="4"/>
  <c r="I378" i="4" s="1"/>
  <c r="K378" i="4" s="1"/>
  <c r="G667" i="4"/>
  <c r="I523" i="4"/>
  <c r="G575" i="4"/>
  <c r="I576" i="4"/>
  <c r="K576" i="4" s="1"/>
  <c r="G475" i="4"/>
  <c r="I476" i="4"/>
  <c r="K476" i="4" s="1"/>
  <c r="G521" i="4"/>
  <c r="G629" i="4" s="1"/>
  <c r="G522" i="4"/>
  <c r="I522" i="4" s="1"/>
  <c r="K522" i="4" s="1"/>
  <c r="G670" i="4"/>
  <c r="G373" i="4"/>
  <c r="I373" i="4" s="1"/>
  <c r="K373" i="4" s="1"/>
  <c r="I285" i="4"/>
  <c r="G236" i="4"/>
  <c r="G662" i="4" l="1"/>
  <c r="I662" i="4"/>
  <c r="K662" i="4" s="1"/>
  <c r="G372" i="4"/>
  <c r="I372" i="4" s="1"/>
  <c r="I236" i="4"/>
  <c r="I667" i="4"/>
  <c r="K667" i="4" s="1"/>
  <c r="I670" i="4"/>
  <c r="K670" i="4" s="1"/>
  <c r="K523" i="4"/>
  <c r="K285" i="4"/>
  <c r="I604" i="4"/>
  <c r="K236" i="4"/>
  <c r="G617" i="4"/>
  <c r="E28" i="12" s="1"/>
  <c r="G28" i="12" s="1"/>
  <c r="I521" i="4"/>
  <c r="I629" i="4" s="1"/>
  <c r="I475" i="4"/>
  <c r="K475" i="4" s="1"/>
  <c r="G474" i="4"/>
  <c r="I474" i="4" s="1"/>
  <c r="K474" i="4" s="1"/>
  <c r="G473" i="4"/>
  <c r="I473" i="4" s="1"/>
  <c r="G573" i="4"/>
  <c r="I575" i="4"/>
  <c r="K575" i="4" s="1"/>
  <c r="G574" i="4"/>
  <c r="I574" i="4" s="1"/>
  <c r="K574" i="4" s="1"/>
  <c r="G235" i="4"/>
  <c r="I235" i="4" s="1"/>
  <c r="E43" i="12"/>
  <c r="G43" i="12" s="1"/>
  <c r="D677" i="4"/>
  <c r="C677" i="4" s="1"/>
  <c r="K473" i="4" l="1"/>
  <c r="I640" i="4"/>
  <c r="I573" i="4"/>
  <c r="G644" i="4"/>
  <c r="E55" i="12" s="1"/>
  <c r="G55" i="12" s="1"/>
  <c r="K521" i="4"/>
  <c r="I617" i="4"/>
  <c r="K372" i="4"/>
  <c r="K604" i="4"/>
  <c r="G600" i="4"/>
  <c r="E11" i="12" s="1"/>
  <c r="G11" i="12" s="1"/>
  <c r="K629" i="4" l="1"/>
  <c r="K640" i="4"/>
  <c r="K617" i="4"/>
  <c r="I644" i="4"/>
  <c r="K573" i="4"/>
  <c r="D699" i="4"/>
  <c r="C699" i="4" s="1"/>
  <c r="G234" i="4"/>
  <c r="I234" i="4" s="1"/>
  <c r="G240" i="4"/>
  <c r="G243" i="4"/>
  <c r="G249" i="4"/>
  <c r="I249" i="4" s="1"/>
  <c r="K249" i="4" s="1"/>
  <c r="G258" i="4"/>
  <c r="G279" i="4"/>
  <c r="G318" i="4"/>
  <c r="I318" i="4" s="1"/>
  <c r="K318" i="4" s="1"/>
  <c r="G354" i="4"/>
  <c r="I354" i="4" s="1"/>
  <c r="K354" i="4" s="1"/>
  <c r="G356" i="4"/>
  <c r="I356" i="4" s="1"/>
  <c r="K356" i="4" s="1"/>
  <c r="G556" i="4"/>
  <c r="I240" i="4" l="1"/>
  <c r="G257" i="4"/>
  <c r="I258" i="4"/>
  <c r="K258" i="4" s="1"/>
  <c r="G242" i="4"/>
  <c r="I242" i="4" s="1"/>
  <c r="K242" i="4" s="1"/>
  <c r="I243" i="4"/>
  <c r="K243" i="4" s="1"/>
  <c r="I597" i="4"/>
  <c r="K234" i="4"/>
  <c r="G555" i="4"/>
  <c r="I555" i="4" s="1"/>
  <c r="K555" i="4" s="1"/>
  <c r="I556" i="4"/>
  <c r="K556" i="4" s="1"/>
  <c r="G278" i="4"/>
  <c r="I278" i="4" s="1"/>
  <c r="I279" i="4"/>
  <c r="K644" i="4"/>
  <c r="G348" i="4"/>
  <c r="G239" i="4"/>
  <c r="I239" i="4" s="1"/>
  <c r="K239" i="4" s="1"/>
  <c r="G627" i="4"/>
  <c r="D670" i="4"/>
  <c r="D673" i="4"/>
  <c r="C673" i="4" s="1"/>
  <c r="D665" i="4"/>
  <c r="C665" i="4" s="1"/>
  <c r="G335" i="4"/>
  <c r="G481" i="4"/>
  <c r="G630" i="4"/>
  <c r="E27" i="12"/>
  <c r="G27" i="12" s="1"/>
  <c r="G643" i="4"/>
  <c r="E54" i="12" s="1"/>
  <c r="G54" i="12" s="1"/>
  <c r="G597" i="4"/>
  <c r="E8" i="12" s="1"/>
  <c r="G8" i="12" s="1"/>
  <c r="G603" i="4"/>
  <c r="E14" i="12" s="1"/>
  <c r="G14" i="12" s="1"/>
  <c r="G640" i="4"/>
  <c r="E51" i="12" s="1"/>
  <c r="G51" i="12" s="1"/>
  <c r="E13" i="12"/>
  <c r="G13" i="12" s="1"/>
  <c r="G248" i="4"/>
  <c r="I248" i="4" s="1"/>
  <c r="K248" i="4" s="1"/>
  <c r="E65" i="12"/>
  <c r="G65" i="12" s="1"/>
  <c r="E40" i="12"/>
  <c r="G40" i="12" s="1"/>
  <c r="D679" i="4"/>
  <c r="C679" i="4" s="1"/>
  <c r="G510" i="4"/>
  <c r="I510" i="4" s="1"/>
  <c r="K510" i="4" s="1"/>
  <c r="G317" i="4"/>
  <c r="I317" i="4" s="1"/>
  <c r="K317" i="4" s="1"/>
  <c r="E58" i="12"/>
  <c r="G141" i="4"/>
  <c r="I141" i="4" s="1"/>
  <c r="G502" i="4"/>
  <c r="I502" i="4" s="1"/>
  <c r="K502" i="4" s="1"/>
  <c r="G493" i="4"/>
  <c r="G572" i="4"/>
  <c r="I572" i="4" s="1"/>
  <c r="K572" i="4" s="1"/>
  <c r="K240" i="4" l="1"/>
  <c r="I698" i="4"/>
  <c r="G698" i="4"/>
  <c r="E56" i="12"/>
  <c r="G56" i="12" s="1"/>
  <c r="G58" i="12"/>
  <c r="G554" i="4"/>
  <c r="I554" i="4" s="1"/>
  <c r="G678" i="4"/>
  <c r="I335" i="4"/>
  <c r="G648" i="4"/>
  <c r="I493" i="4"/>
  <c r="K141" i="4"/>
  <c r="G479" i="4"/>
  <c r="I479" i="4" s="1"/>
  <c r="I481" i="4"/>
  <c r="K481" i="4" s="1"/>
  <c r="G552" i="4"/>
  <c r="I552" i="4" s="1"/>
  <c r="G347" i="4"/>
  <c r="I347" i="4" s="1"/>
  <c r="I348" i="4"/>
  <c r="K348" i="4" s="1"/>
  <c r="K597" i="4"/>
  <c r="G256" i="4"/>
  <c r="I257" i="4"/>
  <c r="K257" i="4" s="1"/>
  <c r="G480" i="4"/>
  <c r="I480" i="4" s="1"/>
  <c r="K480" i="4" s="1"/>
  <c r="G276" i="4"/>
  <c r="G277" i="4"/>
  <c r="I277" i="4" s="1"/>
  <c r="G334" i="4"/>
  <c r="I334" i="4" s="1"/>
  <c r="K334" i="4" s="1"/>
  <c r="G316" i="4"/>
  <c r="G247" i="4"/>
  <c r="G626" i="4"/>
  <c r="E37" i="12" s="1"/>
  <c r="G37" i="12" s="1"/>
  <c r="C670" i="4"/>
  <c r="D660" i="4"/>
  <c r="C660" i="4" s="1"/>
  <c r="D684" i="4"/>
  <c r="C684" i="4" s="1"/>
  <c r="G333" i="4"/>
  <c r="D668" i="4"/>
  <c r="C668" i="4" s="1"/>
  <c r="G238" i="4"/>
  <c r="I238" i="4" s="1"/>
  <c r="G604" i="4"/>
  <c r="E15" i="12" s="1"/>
  <c r="G15" i="12" s="1"/>
  <c r="E17" i="12"/>
  <c r="G17" i="12" s="1"/>
  <c r="G161" i="4"/>
  <c r="I161" i="4" s="1"/>
  <c r="G651" i="4"/>
  <c r="E62" i="12" s="1"/>
  <c r="G620" i="4"/>
  <c r="E31" i="12" s="1"/>
  <c r="E41" i="12"/>
  <c r="G41" i="12" s="1"/>
  <c r="G665" i="4" l="1"/>
  <c r="G642" i="4"/>
  <c r="E53" i="12" s="1"/>
  <c r="G53" i="12" s="1"/>
  <c r="G553" i="4"/>
  <c r="I553" i="4" s="1"/>
  <c r="K553" i="4" s="1"/>
  <c r="E61" i="12"/>
  <c r="G61" i="12" s="1"/>
  <c r="G62" i="12"/>
  <c r="E29" i="12"/>
  <c r="G29" i="12" s="1"/>
  <c r="G31" i="12"/>
  <c r="E50" i="12"/>
  <c r="G50" i="12" s="1"/>
  <c r="E16" i="12"/>
  <c r="G16" i="12" s="1"/>
  <c r="G345" i="4"/>
  <c r="I345" i="4" s="1"/>
  <c r="K345" i="4" s="1"/>
  <c r="G346" i="4"/>
  <c r="I346" i="4" s="1"/>
  <c r="K346" i="4" s="1"/>
  <c r="G660" i="4"/>
  <c r="G611" i="4"/>
  <c r="E22" i="12" s="1"/>
  <c r="G22" i="12" s="1"/>
  <c r="I333" i="4"/>
  <c r="G309" i="4"/>
  <c r="I309" i="4" s="1"/>
  <c r="I316" i="4"/>
  <c r="G601" i="4"/>
  <c r="E12" i="12" s="1"/>
  <c r="G12" i="12" s="1"/>
  <c r="I276" i="4"/>
  <c r="K554" i="4"/>
  <c r="I665" i="4"/>
  <c r="K493" i="4"/>
  <c r="I648" i="4"/>
  <c r="K648" i="4" s="1"/>
  <c r="I678" i="4"/>
  <c r="K678" i="4" s="1"/>
  <c r="K335" i="4"/>
  <c r="K161" i="4"/>
  <c r="I650" i="4"/>
  <c r="K650" i="4" s="1"/>
  <c r="I614" i="4"/>
  <c r="K238" i="4"/>
  <c r="I598" i="4"/>
  <c r="G245" i="4"/>
  <c r="G233" i="4" s="1"/>
  <c r="I233" i="4" s="1"/>
  <c r="I247" i="4"/>
  <c r="I256" i="4"/>
  <c r="G255" i="4"/>
  <c r="I255" i="4" s="1"/>
  <c r="K255" i="4" s="1"/>
  <c r="G668" i="4"/>
  <c r="I660" i="4"/>
  <c r="K660" i="4" s="1"/>
  <c r="K347" i="4"/>
  <c r="I633" i="4"/>
  <c r="K552" i="4"/>
  <c r="I642" i="4"/>
  <c r="K479" i="4"/>
  <c r="G676" i="4"/>
  <c r="G683" i="4" s="1"/>
  <c r="G671" i="4"/>
  <c r="G659" i="4"/>
  <c r="G664" i="4" s="1"/>
  <c r="G609" i="4"/>
  <c r="E20" i="12" s="1"/>
  <c r="G20" i="12" s="1"/>
  <c r="G315" i="4"/>
  <c r="I315" i="4" s="1"/>
  <c r="K315" i="4" s="1"/>
  <c r="G246" i="4"/>
  <c r="I246" i="4" s="1"/>
  <c r="K246" i="4" s="1"/>
  <c r="G527" i="4"/>
  <c r="G633" i="4"/>
  <c r="E44" i="12" s="1"/>
  <c r="G308" i="4"/>
  <c r="G614" i="4"/>
  <c r="G344" i="4"/>
  <c r="I344" i="4" s="1"/>
  <c r="K344" i="4" s="1"/>
  <c r="G598" i="4"/>
  <c r="E9" i="12" s="1"/>
  <c r="G9" i="12" s="1"/>
  <c r="G653" i="4"/>
  <c r="E64" i="12" s="1"/>
  <c r="G149" i="4"/>
  <c r="I149" i="4" s="1"/>
  <c r="D676" i="4"/>
  <c r="C676" i="4" s="1"/>
  <c r="G650" i="4"/>
  <c r="E38" i="12"/>
  <c r="G38" i="12" s="1"/>
  <c r="G652" i="4"/>
  <c r="G472" i="4"/>
  <c r="E42" i="12" l="1"/>
  <c r="G42" i="12" s="1"/>
  <c r="G44" i="12"/>
  <c r="E63" i="12"/>
  <c r="G63" i="12" s="1"/>
  <c r="G64" i="12"/>
  <c r="E18" i="12"/>
  <c r="G18" i="12" s="1"/>
  <c r="G607" i="4"/>
  <c r="I308" i="4"/>
  <c r="G631" i="4"/>
  <c r="I527" i="4"/>
  <c r="K642" i="4"/>
  <c r="K633" i="4"/>
  <c r="I659" i="4"/>
  <c r="K247" i="4"/>
  <c r="K598" i="4"/>
  <c r="I612" i="4"/>
  <c r="K612" i="4" s="1"/>
  <c r="K614" i="4"/>
  <c r="K665" i="4"/>
  <c r="K276" i="4"/>
  <c r="I601" i="4"/>
  <c r="K316" i="4"/>
  <c r="I676" i="4"/>
  <c r="K333" i="4"/>
  <c r="K406" i="4" s="1"/>
  <c r="I611" i="4"/>
  <c r="G639" i="4"/>
  <c r="I472" i="4"/>
  <c r="K233" i="4"/>
  <c r="I596" i="4"/>
  <c r="I668" i="4"/>
  <c r="K668" i="4" s="1"/>
  <c r="K256" i="4"/>
  <c r="G599" i="4"/>
  <c r="E10" i="12" s="1"/>
  <c r="G10" i="12" s="1"/>
  <c r="I245" i="4"/>
  <c r="I609" i="4"/>
  <c r="K309" i="4"/>
  <c r="E25" i="12"/>
  <c r="G612" i="4"/>
  <c r="G509" i="4"/>
  <c r="I509" i="4" s="1"/>
  <c r="G232" i="4"/>
  <c r="I232" i="4" s="1"/>
  <c r="G700" i="4"/>
  <c r="E36" i="12"/>
  <c r="I10" i="4"/>
  <c r="G596" i="4"/>
  <c r="E23" i="12" l="1"/>
  <c r="G23" i="12" s="1"/>
  <c r="G25" i="12"/>
  <c r="E35" i="12"/>
  <c r="G35" i="12" s="1"/>
  <c r="G36" i="12"/>
  <c r="E7" i="12"/>
  <c r="G7" i="12" s="1"/>
  <c r="K609" i="4"/>
  <c r="I631" i="4"/>
  <c r="K631" i="4" s="1"/>
  <c r="K527" i="4"/>
  <c r="K308" i="4"/>
  <c r="I607" i="4"/>
  <c r="K607" i="4" s="1"/>
  <c r="L233" i="4"/>
  <c r="I624" i="4"/>
  <c r="K624" i="4" s="1"/>
  <c r="K10" i="4"/>
  <c r="L510" i="4"/>
  <c r="K245" i="4"/>
  <c r="I599" i="4"/>
  <c r="K596" i="4"/>
  <c r="K472" i="4"/>
  <c r="I639" i="4"/>
  <c r="K639" i="4" s="1"/>
  <c r="K611" i="4"/>
  <c r="I683" i="4"/>
  <c r="K683" i="4" s="1"/>
  <c r="K676" i="4"/>
  <c r="K601" i="4"/>
  <c r="I671" i="4"/>
  <c r="K671" i="4" s="1"/>
  <c r="I664" i="4"/>
  <c r="K659" i="4"/>
  <c r="E66" i="12"/>
  <c r="G9" i="4"/>
  <c r="G624" i="4"/>
  <c r="G656" i="4" s="1"/>
  <c r="E68" i="12" l="1"/>
  <c r="G66" i="12"/>
  <c r="I700" i="4"/>
  <c r="K700" i="4" s="1"/>
  <c r="K664" i="4"/>
  <c r="I656" i="4"/>
  <c r="K656" i="4" s="1"/>
  <c r="K599" i="4"/>
  <c r="G593" i="4"/>
  <c r="I593" i="4" s="1"/>
  <c r="I9" i="4"/>
  <c r="G595" i="4" l="1"/>
  <c r="G657" i="4"/>
  <c r="G701" i="4"/>
  <c r="G68" i="12"/>
  <c r="I701" i="4"/>
  <c r="K701" i="4" s="1"/>
  <c r="I657" i="4"/>
  <c r="K657" i="4" s="1"/>
  <c r="K593" i="4"/>
  <c r="K595" i="4"/>
  <c r="D698" i="4"/>
  <c r="C698" i="4" s="1"/>
  <c r="D662" i="4" l="1"/>
  <c r="C662" i="4" s="1"/>
  <c r="D674" i="4"/>
  <c r="C674" i="4" s="1"/>
  <c r="D661" i="4"/>
  <c r="C661" i="4" s="1"/>
  <c r="D672" i="4"/>
  <c r="C672" i="4" s="1"/>
  <c r="D675" i="4"/>
  <c r="C675" i="4" s="1"/>
  <c r="D683" i="4" l="1"/>
  <c r="C683" i="4" s="1"/>
  <c r="D666" i="4"/>
  <c r="C666" i="4" s="1"/>
  <c r="D678" i="4"/>
  <c r="C678" i="4" s="1"/>
  <c r="D659" i="4"/>
  <c r="C659" i="4" s="1"/>
  <c r="D669" i="4"/>
  <c r="C669" i="4" s="1"/>
  <c r="D664" i="4" l="1"/>
  <c r="C664" i="4" s="1"/>
  <c r="D667" i="4" l="1"/>
  <c r="C667" i="4" s="1"/>
  <c r="D671" i="4" l="1"/>
  <c r="C671" i="4" s="1"/>
</calcChain>
</file>

<file path=xl/comments1.xml><?xml version="1.0" encoding="utf-8"?>
<comments xmlns="http://schemas.openxmlformats.org/spreadsheetml/2006/main">
  <authors>
    <author>Автор</author>
  </authors>
  <commentList>
    <comment ref="D4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<sst xmlns="http://schemas.openxmlformats.org/spreadsheetml/2006/main" count="4017" uniqueCount="920">
  <si>
    <t>9900000000</t>
  </si>
  <si>
    <t>0400000000</t>
  </si>
  <si>
    <t>0300000000</t>
  </si>
  <si>
    <t>0200000000</t>
  </si>
  <si>
    <t>0100000000</t>
  </si>
  <si>
    <t>500</t>
  </si>
  <si>
    <t>03</t>
  </si>
  <si>
    <t>14</t>
  </si>
  <si>
    <t>Межбюджетные трансферты</t>
  </si>
  <si>
    <t>0310100000</t>
  </si>
  <si>
    <t xml:space="preserve">Основное мероприятие Обеспечение сбалансированности и устойчивости местного бюджета муниципального образования "Онгудайский район" </t>
  </si>
  <si>
    <t>0310000000</t>
  </si>
  <si>
    <t>03101 45900</t>
  </si>
  <si>
    <t>01</t>
  </si>
  <si>
    <t>0310120000</t>
  </si>
  <si>
    <t xml:space="preserve">Дотации на выравнивание бюджетной обеспеченности субъектов РФ и муниципальных образований </t>
  </si>
  <si>
    <t>00</t>
  </si>
  <si>
    <t>Межбюджетные трансферты бюджетам субъектов РФ и муниципальных образований общего характера</t>
  </si>
  <si>
    <t>700</t>
  </si>
  <si>
    <t>Обслуживание государственного (муниципального) долга</t>
  </si>
  <si>
    <t>0310110000</t>
  </si>
  <si>
    <t>13</t>
  </si>
  <si>
    <t>Обслуживание внутреннего государственного и муниципального долга</t>
  </si>
  <si>
    <t>600</t>
  </si>
  <si>
    <t>02</t>
  </si>
  <si>
    <t>12</t>
  </si>
  <si>
    <t>Предоставление субсидий бюджетным, автономным учреждениям и иным некоммерческим организациям</t>
  </si>
  <si>
    <t>0120000000</t>
  </si>
  <si>
    <t>Периодическая печать и издательства</t>
  </si>
  <si>
    <t>Средства массовой информации</t>
  </si>
  <si>
    <t>100</t>
  </si>
  <si>
    <t>05</t>
  </si>
  <si>
    <t>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</si>
  <si>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</si>
  <si>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0210110000</t>
  </si>
  <si>
    <t>0210000000</t>
  </si>
  <si>
    <t>Другие вопросы в области физической культуры и спорта.</t>
  </si>
  <si>
    <t>300</t>
  </si>
  <si>
    <t>990000Ш500</t>
  </si>
  <si>
    <t>Социальное обеспечение и иные выплаты населению</t>
  </si>
  <si>
    <t>Резервный фонд местной администрации</t>
  </si>
  <si>
    <t>Закупка товаров, работ и услуг для обеспечения государственных (муниципальных) нужд</t>
  </si>
  <si>
    <t>Основное мероприятие Развитие физической культуры, спорта  и формирование здорового образа жизни в муниципальном образовании "Онгудайский район"</t>
  </si>
  <si>
    <t xml:space="preserve">Физическая культура </t>
  </si>
  <si>
    <t>Физическая культура и спорт</t>
  </si>
  <si>
    <t>200</t>
  </si>
  <si>
    <t>0220110000</t>
  </si>
  <si>
    <t>06</t>
  </si>
  <si>
    <t>10</t>
  </si>
  <si>
    <t>Основное мероприятие Социальная защита населения  в муниципальном образовании "Онгудайский район"</t>
  </si>
  <si>
    <t>0220143400</t>
  </si>
  <si>
    <t>0220000000</t>
  </si>
  <si>
    <t>Другие вопросы в области социальной политики</t>
  </si>
  <si>
    <t>04</t>
  </si>
  <si>
    <t>0230000000</t>
  </si>
  <si>
    <t>Охрана семьи и детства</t>
  </si>
  <si>
    <t>0110000000</t>
  </si>
  <si>
    <t>Социальное обеспечение населения</t>
  </si>
  <si>
    <t>Пенсионное обеспечение</t>
  </si>
  <si>
    <t>Социальная политика</t>
  </si>
  <si>
    <t>09</t>
  </si>
  <si>
    <t>Другие вопросы в области здравоохранения</t>
  </si>
  <si>
    <t>Капитальные вложения в объекты государственной (муниципальной) собственности</t>
  </si>
  <si>
    <t>Стационарная медицинская помощь</t>
  </si>
  <si>
    <t>08</t>
  </si>
  <si>
    <t xml:space="preserve">Иные бюджетные ассигнования
</t>
  </si>
  <si>
    <t>Расходы на выплаты по оплате труда работников   Отдела культуры  МО "Онгудайский район"</t>
  </si>
  <si>
    <t>Другие вопросы в области культуры, кинематографии</t>
  </si>
  <si>
    <t>Культура</t>
  </si>
  <si>
    <t>Культура и кинематография</t>
  </si>
  <si>
    <t>07</t>
  </si>
  <si>
    <t>800</t>
  </si>
  <si>
    <t>Расходы на выплаты по оплате труда работников   Отдела образования МО "Онгудайский район"</t>
  </si>
  <si>
    <t>Другие вопросы в области образования</t>
  </si>
  <si>
    <t>Молодежная политика и оздоровление детей</t>
  </si>
  <si>
    <t xml:space="preserve">Основное мероприятие Развитие дополнительного образования </t>
  </si>
  <si>
    <t xml:space="preserve">Совершенствование организации питания в   организованных детских коллективах Онгудайского района
</t>
  </si>
  <si>
    <t xml:space="preserve">Основное мероприятие Устойчивое развитие сельских территорий  </t>
  </si>
  <si>
    <t>Общее образование</t>
  </si>
  <si>
    <t>Дошкольное образование</t>
  </si>
  <si>
    <t xml:space="preserve">Образование </t>
  </si>
  <si>
    <t>0420000000</t>
  </si>
  <si>
    <t>0420241900</t>
  </si>
  <si>
    <t>Основное мероприятие: Обеспечение населения муниципального образования "Онгудайским район" качественной питьевой водой</t>
  </si>
  <si>
    <t>0410000000</t>
  </si>
  <si>
    <t>0320000000</t>
  </si>
  <si>
    <t>Коммунальное хозяйство</t>
  </si>
  <si>
    <t>Жилищное хозяйство</t>
  </si>
  <si>
    <t>Жилищно-коммунальное хозяйство</t>
  </si>
  <si>
    <t>Основное мероприятие территориальное планирование  в муниципальном образовании "Онгудайский район"</t>
  </si>
  <si>
    <t>0130110000</t>
  </si>
  <si>
    <t>0130000000</t>
  </si>
  <si>
    <t>Другие вопросы в области  национальной экономики</t>
  </si>
  <si>
    <t>Дорожное хояйство (дорожные фонды)</t>
  </si>
  <si>
    <t>0110140300</t>
  </si>
  <si>
    <t>0110140100</t>
  </si>
  <si>
    <t>0110110000</t>
  </si>
  <si>
    <t>Основное мероприятие Развитие  агропромышленного комплекса территории  муниципального образования "Онгудайский район"</t>
  </si>
  <si>
    <t>Сельское хозяйство и рыболовство</t>
  </si>
  <si>
    <t>Национальная экономика</t>
  </si>
  <si>
    <t xml:space="preserve">Основное мероприятие"Профилактика правонарушений и обеспечение безопасности и правопорядка в муниципальном образовании "Онгудайский район" </t>
  </si>
  <si>
    <t>0410110000</t>
  </si>
  <si>
    <t>Основное мероприятиеКомплексные меры по противодействию терроризму   и незаконному обороту  и потреблению  наркотических средств, психотропных веществ и их прекурсоров в муниципальном образовании "Онгудайский район</t>
  </si>
  <si>
    <t>Другие вопросы в области национальной безопасности и правоохранительной деятельности</t>
  </si>
  <si>
    <t>040К110190</t>
  </si>
  <si>
    <t>040К100110</t>
  </si>
  <si>
    <t>040К100100</t>
  </si>
  <si>
    <t xml:space="preserve">Защита населения  и территории от последствий чрезвычайных ситуаций природного и техногенного  характера, гражданская оборона </t>
  </si>
  <si>
    <t>Национальная безопасность и правоохранительная деятельность</t>
  </si>
  <si>
    <t>Национальная оборона</t>
  </si>
  <si>
    <t xml:space="preserve"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</si>
  <si>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>0210244900</t>
  </si>
  <si>
    <t>0120142900</t>
  </si>
  <si>
    <t xml:space="preserve">Субвенции на осуществление государственных полномочий по лицензированию розничной продажи алкогольной продукции </t>
  </si>
  <si>
    <t>Другие общегосударственные вопросы</t>
  </si>
  <si>
    <t>Резервные фонды</t>
  </si>
  <si>
    <t>Обеспечение проведения выборов и референдумов</t>
  </si>
  <si>
    <t>990А000310</t>
  </si>
  <si>
    <t>Расходы на выплаты по оплате труда работников Контрольно-счетной палаты МО "Онгудайский район"</t>
  </si>
  <si>
    <t>990А000300</t>
  </si>
  <si>
    <t>Непрограммные направления деятельности Контрольно-счетной палаты МО "Онгудайский район"</t>
  </si>
  <si>
    <t>030А192110</t>
  </si>
  <si>
    <t>030А192000</t>
  </si>
  <si>
    <t>Обеспечение деятельности  финансовых, налоговых и таможенных  органов и органов финансового надзора</t>
  </si>
  <si>
    <t>010А100190</t>
  </si>
  <si>
    <t>Расходы на обеспечение функций    Администрации МО "Онгудайский район"</t>
  </si>
  <si>
    <t>010А100110</t>
  </si>
  <si>
    <t>Расходы на выплаты по оплате труда работников   Администрации МО "Онгудайский район"</t>
  </si>
  <si>
    <t>010А100000</t>
  </si>
  <si>
    <t>Функционирование Правительства Российской Федерации, высших органов испонительной власти субъектов Российской Федерации, местных администраций</t>
  </si>
  <si>
    <t>990А000410</t>
  </si>
  <si>
    <t>Расходы на выплаты по оплате труда работниковСовета депутатов МО "Онгудайский район"</t>
  </si>
  <si>
    <t>990А000400</t>
  </si>
  <si>
    <t>Непрограммные направления деятельности Совета депутатов МО "Онгудайский район"</t>
  </si>
  <si>
    <t>990А000200</t>
  </si>
  <si>
    <t>Председатель представительного органа муниципального образования</t>
  </si>
  <si>
    <t>Функционирование законодательных (представительных) органов государственной власти и  представительных органов муниципальных образований</t>
  </si>
  <si>
    <t>990А000100</t>
  </si>
  <si>
    <t xml:space="preserve">Высшее должностное лицо муниципального образования </t>
  </si>
  <si>
    <t>Функционирование высшего должностного лица субъекта Российской Федерации и органа местного самоуправления</t>
  </si>
  <si>
    <t>Общегосударственные вопросы</t>
  </si>
  <si>
    <t>Целевая статья</t>
  </si>
  <si>
    <t>Подраздел</t>
  </si>
  <si>
    <t>Раздел</t>
  </si>
  <si>
    <t>(тыс.рублей)</t>
  </si>
  <si>
    <t>ВСЕГО РАСХОДОВ</t>
  </si>
  <si>
    <t>Прочие межбюджетные трансферты бюджетам субъектов РФ и муниципальных образований общего характера</t>
  </si>
  <si>
    <t>Дотации на выравнивание бюджетной обеспеченности субъектов РФ и муниципальных образований</t>
  </si>
  <si>
    <t>1400</t>
  </si>
  <si>
    <t xml:space="preserve">Межбюджетные трансферты бюджетам субъектов РФ и муниципальных образований </t>
  </si>
  <si>
    <t>1300</t>
  </si>
  <si>
    <t>Обслуживание государственного и муниципального долга</t>
  </si>
  <si>
    <t>1200</t>
  </si>
  <si>
    <t>Физическая культура</t>
  </si>
  <si>
    <t>1100</t>
  </si>
  <si>
    <t>Охрана семьи  и детства</t>
  </si>
  <si>
    <t>Социальное обеспечение население</t>
  </si>
  <si>
    <t>Социальное обслуживание населения</t>
  </si>
  <si>
    <t>1000</t>
  </si>
  <si>
    <t>Скорая медицинская помощь</t>
  </si>
  <si>
    <t>Амбулаторная помощь</t>
  </si>
  <si>
    <t>0900</t>
  </si>
  <si>
    <t xml:space="preserve">Здравоохранение </t>
  </si>
  <si>
    <t xml:space="preserve">Другие вопросы в области культуры, кинематографии </t>
  </si>
  <si>
    <t>0800</t>
  </si>
  <si>
    <t xml:space="preserve">Культура и кинематография </t>
  </si>
  <si>
    <t>Профессиональная подготовка, переподготовка и повышение квалификации</t>
  </si>
  <si>
    <t>0700</t>
  </si>
  <si>
    <t>Образование</t>
  </si>
  <si>
    <t>Охрана объектов  растительного и животного мира и среды их обитания</t>
  </si>
  <si>
    <t>0600</t>
  </si>
  <si>
    <t>Охрана окружающей среды</t>
  </si>
  <si>
    <t>Благоустройство</t>
  </si>
  <si>
    <t>0500</t>
  </si>
  <si>
    <t>Жилищно- коммунальное хозяйство</t>
  </si>
  <si>
    <t>Другие вопросы в области национальной экономики</t>
  </si>
  <si>
    <t>Дорожное хозяйство ( дорожные фонды)</t>
  </si>
  <si>
    <t>Общеэкономические вопросы</t>
  </si>
  <si>
    <t>0400</t>
  </si>
  <si>
    <t>Защита населения  и территории от  чрезвычайных ситуаций природного  и техногенного характера, гражданская оборона</t>
  </si>
  <si>
    <t>Органы внутренних дел</t>
  </si>
  <si>
    <t>0300</t>
  </si>
  <si>
    <t>Мобилизационная и вневойсковая подготовка</t>
  </si>
  <si>
    <t>0200</t>
  </si>
  <si>
    <t>Обеспечение деятельности финансовых,органов финансового (финансово-бюджетного) надзора</t>
  </si>
  <si>
    <t>Судебная система</t>
  </si>
  <si>
    <t>Функционирование местных администраций</t>
  </si>
  <si>
    <t>Функционирование представительных органов муниципальных образований</t>
  </si>
  <si>
    <t>Функционирование высшего должностного лица муниципального образования</t>
  </si>
  <si>
    <t>0100</t>
  </si>
  <si>
    <t>Раздел, подраздел</t>
  </si>
  <si>
    <t>Наименование показателя</t>
  </si>
  <si>
    <t xml:space="preserve">Всего </t>
  </si>
  <si>
    <t>810</t>
  </si>
  <si>
    <t>Основное мероприятие Поддержка малого и среднего предпринимательства на территории МО "Онгудайский  район"</t>
  </si>
  <si>
    <t>092</t>
  </si>
  <si>
    <t>Ощегосударственные вопросы</t>
  </si>
  <si>
    <t>074</t>
  </si>
  <si>
    <t xml:space="preserve">Предоставление муниципальных  услуг в  муниципальных образовательных организациях   дошкольного образования в муниципальном образовании "Онгудайский район" </t>
  </si>
  <si>
    <t>Вид расхода</t>
  </si>
  <si>
    <t>Ведомства</t>
  </si>
  <si>
    <t xml:space="preserve">Коды бюджетной классификации </t>
  </si>
  <si>
    <t xml:space="preserve">Наименование </t>
  </si>
  <si>
    <t>Итого</t>
  </si>
  <si>
    <t>99</t>
  </si>
  <si>
    <t>Расходы на выплаты по оплате труда работников   МКУ ГОЧС</t>
  </si>
  <si>
    <t>Расходы на обеспечение функций   МКУ ГО ЧС</t>
  </si>
  <si>
    <t>Муниципальная программа "Развитие систем жизнеобеспечения и повышение безопасности населения муниципального образования "Онгудайский  район"</t>
  </si>
  <si>
    <t>Выплата ежемесячной надбавки к заработной плате педагогическим работникам, отнесенным к категории молодых специалистов</t>
  </si>
  <si>
    <t>040К100000</t>
  </si>
  <si>
    <t>Основное мероприятие Развитие библиотечного обслуживания в муниципальном образовании"Онгудайский район"</t>
  </si>
  <si>
    <t>Дополнительное  образование детей</t>
  </si>
  <si>
    <t>0500000000</t>
  </si>
  <si>
    <t>Отдел образования Администрации района (аймака) муниципального образования "Онгудайский район"</t>
  </si>
  <si>
    <t>030А192190</t>
  </si>
  <si>
    <t>Основное мероприятие Оказание дополнительных мер социальной поддержки отдельным категориям  граждан муниципального образования "Онгудайский район"</t>
  </si>
  <si>
    <t>030А192100</t>
  </si>
  <si>
    <t>Основное мерпориятие: Материально-техническое обеспечение Администрации МО "Онгудайский район"</t>
  </si>
  <si>
    <t>010А100100</t>
  </si>
  <si>
    <t xml:space="preserve">Подпрограмма "Развитие систем социальной поддержки населения "муниципальной программы" Социальное развитие муниципального образования  «Онгудайский район» </t>
  </si>
  <si>
    <t>0220100000</t>
  </si>
  <si>
    <t>Основное мероприятие  «Защита от жестокого обращения и профилактика насилия детей»</t>
  </si>
  <si>
    <t xml:space="preserve"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</t>
  </si>
  <si>
    <t xml:space="preserve">Подпрограмма "Развитие конкурентоспособной экономики" муницпального образования "Онгудайский район" муниципальной программы "Развитие экономического потенциала и предпринимательства  МО  "Онгудайский район" </t>
  </si>
  <si>
    <t xml:space="preserve">Подпрограмма "Создание условий для развития инвестиционного, инновационного, информационного и имиджевого потенциала"муниципальной программы "Развитие экономического потенциала и предпринимательства  МО  "Онгудайский район" </t>
  </si>
  <si>
    <t>Основное мероприятие Внедрение стандарта деятельности органов местного самоуправления по обеспечению благоприятного инвестиционного климата в муниципальном образовании "Онгудайский район"</t>
  </si>
  <si>
    <t>0120100000</t>
  </si>
  <si>
    <t>0210200000</t>
  </si>
  <si>
    <t>Подпрограмма " Обеспечение безопасности населения " муниципальной программы "Развитие систем жизнеобеспечения и повышение безопасности населения муниципального образования «Онгудайский  район"</t>
  </si>
  <si>
    <t>Основное мероприятие: Комплексные меры по противодействию терроризму   и незаконному обороту  и потреблению  наркотических средств, психотропных веществ и их прекурсоров в муниципальном образовании "Онгудайский район</t>
  </si>
  <si>
    <t>0410100000</t>
  </si>
  <si>
    <t xml:space="preserve">Проведение агротехнических мероприятий в рамках основного мепоприятия </t>
  </si>
  <si>
    <t>0410200000</t>
  </si>
  <si>
    <t>0410210000</t>
  </si>
  <si>
    <t>Информационно-пропагандистское сопровождение деятельности в сфере обеспечения общественной безопасности и профилактики правонарушений</t>
  </si>
  <si>
    <t>0110100000</t>
  </si>
  <si>
    <t xml:space="preserve"> Развитие малых форм хозяйствования и кооперации на селе </t>
  </si>
  <si>
    <t xml:space="preserve">Подпрограмма "Развитие малого и среднего предпринимательства" муниципальной программы  "Развитие экономического потенциала и предпринимательства  МО  "Онгудайский район" </t>
  </si>
  <si>
    <t>0130100000</t>
  </si>
  <si>
    <t>Проведение мероприятий в рамках основного мероприятия "Поддержка малого и среднего предпринимательства на территории МО "Онгудайский  район"</t>
  </si>
  <si>
    <t>0130200000</t>
  </si>
  <si>
    <t>0130220000</t>
  </si>
  <si>
    <t>Основное мероприятие : Формирование внешней  среды малого и среднего предпринимательства на территории МО "Онгудайский район"</t>
  </si>
  <si>
    <t>Оказание информационно-консультативной поддержки предпринимательства;</t>
  </si>
  <si>
    <t>0110200000</t>
  </si>
  <si>
    <t>Программа производственного контроля за соблюдением  санитарных правил и выполнением санитарно-противоэпидемических и профилактических мероприятий</t>
  </si>
  <si>
    <t>Основное мероприятие "Организация теплоснабжения населения муниципального образования "Онгудайский район"</t>
  </si>
  <si>
    <t>0420200000</t>
  </si>
  <si>
    <t xml:space="preserve">Подпрограмма "Развитие систем социальной поддержки населения "муниципальной  программы " Социальное развитие муниципального образования  «Онгудайский район» </t>
  </si>
  <si>
    <t>0220200000</t>
  </si>
  <si>
    <t>Доплата к пенсии отдельным категориям  граждан муниципального образования "Онгудайский район"</t>
  </si>
  <si>
    <t>0220220000</t>
  </si>
  <si>
    <t>Основное мероприятие :Устойчивое развитие сельских территорий</t>
  </si>
  <si>
    <t>0210100000</t>
  </si>
  <si>
    <t xml:space="preserve">Реализация молодежной политики муниципального образования "Онгудайский район" </t>
  </si>
  <si>
    <t>0210600000</t>
  </si>
  <si>
    <t>0210610000</t>
  </si>
  <si>
    <t>Основное мероприятие :Материально–техническое обеспечение Отдела культуры МО "Онгудайский район"</t>
  </si>
  <si>
    <t>Провдение мероприятий в  рамках социальной защиты  населения  в муниципальном образовании "Онгудайский район"</t>
  </si>
  <si>
    <t>010А10000</t>
  </si>
  <si>
    <t>0510000000</t>
  </si>
  <si>
    <t>УУР</t>
  </si>
  <si>
    <t>Основное направление Архивное дело в рамках подпрограммы "Развитие культуры" муниципальной программы МО "Онгудайский район" "Социальное развитие"</t>
  </si>
  <si>
    <t>Обеспечивающая подпрограмма  Материально – техническое обеспечение МКУ ГОЧС муниципальной программы "Развитие систем жизнеобеспечения и повышение безопасности населения муниципального образования "Онгудайский  район"</t>
  </si>
  <si>
    <t>Основное мероприятие:Материально – техническое обеспечение МКУ ГОЧС</t>
  </si>
  <si>
    <t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</si>
  <si>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Субвенции на выплату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</si>
  <si>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 xml:space="preserve">Субвенции на осуществление государственных полномочий Республики Алтай по уведомительной регистрации территориальных соглашений и коллективных договоров </t>
  </si>
  <si>
    <t xml:space="preserve">Субвенции на осуществление государственных полномочий Республики Алтай в области законодательства об административных правонарушениях  </t>
  </si>
  <si>
    <t xml:space="preserve"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</t>
  </si>
  <si>
    <t>Субвенции на 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</t>
  </si>
  <si>
    <t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</si>
  <si>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>Субвенции на реализацию отдельных государственных полномочий Республики Алтай по расчету и предоставлению дотаций на выравнивание бюджетам поселений</t>
  </si>
  <si>
    <t>Меры по противодействию коррупции в границах муниципального района</t>
  </si>
  <si>
    <t>Субсидии на осуществление энергосберегающих технических мероприятий на системах теплоснабжения и водоотведения и модернизацииоборудования на объектах, участвующих в предоставл.коммун.услуг</t>
  </si>
  <si>
    <t>Уточненный план 2020г</t>
  </si>
  <si>
    <t>Подпрограмма  "Развитие дошкольного и общего образования" муниципальной программы" «Развитие образования в муниципальном образовании «Онгудайский район»</t>
  </si>
  <si>
    <t>Основное мероприятие Развитие системы содержания и обучения детей в общеобразовательных организациях образования в муниципальном образовании "Онгудайский район"</t>
  </si>
  <si>
    <t>Выплата заработной платы прочему персоналу общеобразовательных организаций  образования в муниципальном образовании "Онгудайский район"</t>
  </si>
  <si>
    <t>Субсидии на софинансирование мероприятий, направленных на обеспечение горячим питанием учащихся муниципальных общеобразовательных организаций в Республике Алтай из малообеспеченных семей</t>
  </si>
  <si>
    <t>Подпрограмма  "Развитие системы дополнительного образования детей"  муниципальной программы" «Развитие образования в муниципальном образовании «Онгудайский район»</t>
  </si>
  <si>
    <t xml:space="preserve">Развитие дополнительного образования детей в сфере физической культуры и спорта </t>
  </si>
  <si>
    <t xml:space="preserve">Развитие дополнительного образования детей в  центрах детского творчества </t>
  </si>
  <si>
    <t xml:space="preserve">Обеспечивающая подпрограмма «Создание условий реализации муниципальной программы муниципального образования «Управление муниципальными финансами в муниципальном образовании «Онгудайский район» </t>
  </si>
  <si>
    <t>030А100000</t>
  </si>
  <si>
    <t>Подпрограмма "Повышение эффективности бюджетных расходов в муниципальном образовании «Онгудайский район»</t>
  </si>
  <si>
    <t>Подпрограмма "Повышение эффективности бюджетных расходов в муниципальном образовании «Онгудайский район» муниципальной программы «Управление муниципальными финансами в муниципальном образовании  «Онгудайский район»</t>
  </si>
  <si>
    <t xml:space="preserve">Обслуживание государственного (муниципального) долга </t>
  </si>
  <si>
    <t>Подпрограмма  "Повышение безопасности населения" муниципальной программы«Развитие систем жизнеобеспечения и повышение безопасности населения в муниципальном образовании «Онгудайский район»</t>
  </si>
  <si>
    <t>0410300000</t>
  </si>
  <si>
    <t>0410345500</t>
  </si>
  <si>
    <t xml:space="preserve">Подпрограмма "Развитие культуры" муниципальной программы " Социальное развитие муниципального образования  «Онгудайский район» </t>
  </si>
  <si>
    <t>Субвенции на осуществление государственных полномочий Республики Алтай по хранению, комплектованию, учету и использованию архивных документов, относящихся к государственной собственности Республики Алтай и находящихся на территории муниципальных образований в Республике Алтай</t>
  </si>
  <si>
    <t>Основное мероприятие Обеспечение сбалансированности и устойчивости местного бюджета муниципального образования "Онгудайский район"</t>
  </si>
  <si>
    <t>0310145300</t>
  </si>
  <si>
    <t>0310145400</t>
  </si>
  <si>
    <t>Подпрограмма «Противодействие  коррупции» муниципальной программы "Развитие систем жизнеобеспечения и повышение безопасности населения муниципального образования «Онгудайский  район"</t>
  </si>
  <si>
    <t>Основное мероприятие Осуществление мер по противодействию коррупции в границах муниципального района</t>
  </si>
  <si>
    <t>Подпрограмма "Развитие транспортной инфраструктуры"муниципальной программы "Развитие систем жизнеобеспечения и повышение безопасности населения муниципального образования «Онгудайский  район"</t>
  </si>
  <si>
    <t>0430000000</t>
  </si>
  <si>
    <t>0430100000</t>
  </si>
  <si>
    <t>04301200Д0</t>
  </si>
  <si>
    <t xml:space="preserve">Подпрограмма  " Управление муниципальной собственностью"муниципальной программы  «Управление муниципальной собственностью и градостроительной деятельностью в муниципальном образовании «Онгудайский район» </t>
  </si>
  <si>
    <t>061000000</t>
  </si>
  <si>
    <t>0610100000</t>
  </si>
  <si>
    <t>0610110000</t>
  </si>
  <si>
    <t>0620000000</t>
  </si>
  <si>
    <t>0620100000</t>
  </si>
  <si>
    <t>0620110000</t>
  </si>
  <si>
    <t>коррупция</t>
  </si>
  <si>
    <t>0610000000</t>
  </si>
  <si>
    <t>0600000000</t>
  </si>
  <si>
    <t>Подпрограмма  " Развитие жилищно-коммунального комплекса"муниципальной программы «Развитие систем жизнеобеспечения и повышение безопасности населения в муниципальном образовании «Онгудайский район»</t>
  </si>
  <si>
    <t>Реализация мероприятий по устойчивому развитию сельских территорий (капитальные вложения в объекты муиципальной собственности)</t>
  </si>
  <si>
    <t>Подпрограмма " Развитие жилищно-коммунального комплекса" муниципальной программы "Развитие систем жизнеобеспечения и повышение безопасности населения муниципального образования «Онгудайский  район"</t>
  </si>
  <si>
    <t>0420400000</t>
  </si>
  <si>
    <t>0420420000</t>
  </si>
  <si>
    <t>Реализация мероприятий по устойчивому развитию сельских территорий (субсидии на улучшение жилищных условий граждан, проживающих в сельской местности, в том числе молодых семей и молодых специалистов)</t>
  </si>
  <si>
    <t>Развитие дополнительного образования детей в области искусства</t>
  </si>
  <si>
    <t xml:space="preserve">Подпрограмма "Развитие спорта и молодежной политики" муниципальной программы " Социальное развитие муниципального образования  «Онгудайский район» </t>
  </si>
  <si>
    <t xml:space="preserve">Основное мероприятие Реализация молодежной политики </t>
  </si>
  <si>
    <t>0440000000</t>
  </si>
  <si>
    <t>040К2</t>
  </si>
  <si>
    <t>040К1</t>
  </si>
  <si>
    <t>0710100000</t>
  </si>
  <si>
    <t>0710000000</t>
  </si>
  <si>
    <t>0710110000</t>
  </si>
  <si>
    <t>0710110001</t>
  </si>
  <si>
    <t>0710120000</t>
  </si>
  <si>
    <t>07101S4400</t>
  </si>
  <si>
    <t>0710144300</t>
  </si>
  <si>
    <t>07101S4500</t>
  </si>
  <si>
    <t>0720000000</t>
  </si>
  <si>
    <t>0720100000</t>
  </si>
  <si>
    <t>0720110000</t>
  </si>
  <si>
    <t>070А100000</t>
  </si>
  <si>
    <t>070А174100</t>
  </si>
  <si>
    <t>070А174110</t>
  </si>
  <si>
    <t>070Ц200000</t>
  </si>
  <si>
    <t>070Ц274100</t>
  </si>
  <si>
    <t>070Ц274110</t>
  </si>
  <si>
    <t>070Ц274190</t>
  </si>
  <si>
    <t>070Ц244300</t>
  </si>
  <si>
    <t>0710143895</t>
  </si>
  <si>
    <t>0720130000</t>
  </si>
  <si>
    <t>070А174000</t>
  </si>
  <si>
    <t>070Ц174000</t>
  </si>
  <si>
    <t>070Ц274000</t>
  </si>
  <si>
    <t>0700000000</t>
  </si>
  <si>
    <t>0240000000</t>
  </si>
  <si>
    <t>0240100000</t>
  </si>
  <si>
    <t>0240110000</t>
  </si>
  <si>
    <t>0240200000</t>
  </si>
  <si>
    <t>0240210000</t>
  </si>
  <si>
    <t>0310151200</t>
  </si>
  <si>
    <t>0440100000</t>
  </si>
  <si>
    <t>0440110000</t>
  </si>
  <si>
    <t>04202S1300</t>
  </si>
  <si>
    <t>0720120000</t>
  </si>
  <si>
    <t>020А210100</t>
  </si>
  <si>
    <t>020А210110</t>
  </si>
  <si>
    <t>"Дорожный фонд муниципального образования "Онгудайский район"</t>
  </si>
  <si>
    <t>Основное мероприятие Развитие транспортной инфраструктуры</t>
  </si>
  <si>
    <t>Обеспечение пожарной безопасности</t>
  </si>
  <si>
    <t>Подключение мун.общедоступных библиотек к информационно-телекоммнуникационной сети "Интернет"</t>
  </si>
  <si>
    <t>02106L5194</t>
  </si>
  <si>
    <t>Cубсидии на обеспечение развития и укрепления материально-технической базы домов культуры в населенных пунктах с числом жителей до 50 тыс.чел.</t>
  </si>
  <si>
    <t>02101L4670</t>
  </si>
  <si>
    <t>Подпрограмма  "Обеспечение безопасности населения" муниципальной программы«Развитие систем жизнеобеспечения и повышение безопасности населения в муниципальном образовании «Онгудайский район»</t>
  </si>
  <si>
    <t xml:space="preserve">Выплата вознаграждения за добровольную сдачу незаконно хранящегося оружия, боеприпасов, взрывчатых веществ и взрывчатых устройств  </t>
  </si>
  <si>
    <t>04101S2400</t>
  </si>
  <si>
    <t>Основное мероприятие «Реализация регионального проекта «Успех каждого ребенка»</t>
  </si>
  <si>
    <t>071E200000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</si>
  <si>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</si>
  <si>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071E250972</t>
  </si>
  <si>
    <t>02401L4970</t>
  </si>
  <si>
    <t>Субвенции на осуществление государственных полномочий Республики Алтай в сфере обращения с безнадзорными животными</t>
  </si>
  <si>
    <t>Основное мероприятие «Формирование безбарьерной среды для инвалидов и других маломобильных граждан»</t>
  </si>
  <si>
    <t>0220300000</t>
  </si>
  <si>
    <t>02203L0272</t>
  </si>
  <si>
    <t>Основное мероприятие Повышение эффективности использования муниципального жилого фонда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</si>
  <si>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</t>
  </si>
  <si>
    <t>0420100000</t>
  </si>
  <si>
    <t>0420141100</t>
  </si>
  <si>
    <t>Водное хозяйство</t>
  </si>
  <si>
    <t>Подпрограмма «Обеспечение экологической безопасности и улучшение состояния окружающей среды»</t>
  </si>
  <si>
    <t>Основное мероприятие "Ремонт гидротехнических сооружений"</t>
  </si>
  <si>
    <t>0450000000</t>
  </si>
  <si>
    <t>0450100000</t>
  </si>
  <si>
    <t>Субсидии  на оплату труда работникам бюджетной сферы</t>
  </si>
  <si>
    <t>07101S8500</t>
  </si>
  <si>
    <t>070А1S8500</t>
  </si>
  <si>
    <t>07201S8500</t>
  </si>
  <si>
    <t>010А1S8500</t>
  </si>
  <si>
    <t>040К1S8500</t>
  </si>
  <si>
    <t xml:space="preserve"> Прочие межбюджетные трансферты общего характера. 
</t>
  </si>
  <si>
    <t>03101S8500</t>
  </si>
  <si>
    <t>020А2S8500</t>
  </si>
  <si>
    <t>020А200000</t>
  </si>
  <si>
    <t>020К100000</t>
  </si>
  <si>
    <t>020К110100</t>
  </si>
  <si>
    <t>020К110110</t>
  </si>
  <si>
    <t>020К110190</t>
  </si>
  <si>
    <t>020К1S8500</t>
  </si>
  <si>
    <t>02101S8500</t>
  </si>
  <si>
    <t>070Ц2S8500</t>
  </si>
  <si>
    <t>Основное мероприятие Обеспечение доступности информации для населения на территории МО "Онгудайский район"</t>
  </si>
  <si>
    <t>Обеспечение доступности информации для населения на территории МО  "Онгудайский район"</t>
  </si>
  <si>
    <t xml:space="preserve">Подпрограмма "Развитие средств массовой информации"муниципальной программы "Развитие экономического потенциала и предпринимательства  МО  "Онгудайский район" </t>
  </si>
  <si>
    <t>0140000000</t>
  </si>
  <si>
    <t>0140100000</t>
  </si>
  <si>
    <t>0140110000</t>
  </si>
  <si>
    <t>0450110000</t>
  </si>
  <si>
    <t>Подготовка и проведение выборов депутатов в представительный орган местного самоуправления</t>
  </si>
  <si>
    <t>9900000500</t>
  </si>
  <si>
    <t>Основное мероприятие Отходы  в муниципальном образовании "Онгудайский район"</t>
  </si>
  <si>
    <t>0420600000</t>
  </si>
  <si>
    <t>Мероприятия по обустройству контейнерных площадок</t>
  </si>
  <si>
    <t>0420620000</t>
  </si>
  <si>
    <t xml:space="preserve">Мероприятия по утилизации отходов в муниципальном образовании "Онгудайский район" </t>
  </si>
  <si>
    <t>0420610000</t>
  </si>
  <si>
    <t>400</t>
  </si>
  <si>
    <t>060К200000</t>
  </si>
  <si>
    <t>060К200100</t>
  </si>
  <si>
    <t>060К200110</t>
  </si>
  <si>
    <t>060К200190</t>
  </si>
  <si>
    <t>060К2S8500</t>
  </si>
  <si>
    <t>Муниципальная программа  «Развитие образования в муниципальном образовании «Онгудайский район»</t>
  </si>
  <si>
    <t>Муниципальная программа" Социальное развитие муниципального образования "Онгудайский район"</t>
  </si>
  <si>
    <t>Муниципальная программа "Управление муниципальными финансами муниципального образования "Онгудайский район"</t>
  </si>
  <si>
    <t>Непрограммные направления деятельности</t>
  </si>
  <si>
    <t>Муниципальная программа "Развитие экономического потенциала и предпринимательства  муниципального образования "Онгудайский район"</t>
  </si>
  <si>
    <t xml:space="preserve">Муниципальная программа  «Управление муниципальной собственностью и градостроительной деятельностью в муниципальном образовании «Онгудайский район» </t>
  </si>
  <si>
    <t>Основное мероприятие Обеспечение персонифицированного финансирования дополнительного образования детей</t>
  </si>
  <si>
    <t>0720300000</t>
  </si>
  <si>
    <t xml:space="preserve">Персонифицированное финансирование дополнительного образования детей  в   в сфере физической культуры и спорта </t>
  </si>
  <si>
    <t>0720310000</t>
  </si>
  <si>
    <t>Персонифицированное финансирование дополнительного образования детей  в центрах детского творчества</t>
  </si>
  <si>
    <t>0720320000</t>
  </si>
  <si>
    <t>Персонифицированное финансирование дополнительного образования детей  в   области искусства</t>
  </si>
  <si>
    <t>0720330000</t>
  </si>
  <si>
    <t>Создание условий для получения детьми-инвалидами качественного образования</t>
  </si>
  <si>
    <t>01401S8500</t>
  </si>
  <si>
    <t>0210110002</t>
  </si>
  <si>
    <t>0310140000</t>
  </si>
  <si>
    <t>Прочие межбюджетные трансферты общего характера</t>
  </si>
  <si>
    <t xml:space="preserve"> Основное мероприятие Повышение уровня готовности аварийно-спасательной  службы муниципального образования к реагированию  на возникновение ЧС природного и техногенного характера
</t>
  </si>
  <si>
    <t>0410800000</t>
  </si>
  <si>
    <t>0410810000</t>
  </si>
  <si>
    <t>Реконструкция систем водоснабжения Онгудайского района Республики Алтай</t>
  </si>
  <si>
    <t>0420410000</t>
  </si>
  <si>
    <t>Основное мероприятие Реализация мероприятий, направленных на развитие образования</t>
  </si>
  <si>
    <t>0710200000</t>
  </si>
  <si>
    <t>Капитальные вложения  на реконструкцию и строительство образовательных учреждений  расположенных  в сельской местности</t>
  </si>
  <si>
    <t>0710210000</t>
  </si>
  <si>
    <t>Повышение уровня готовности аварийно-спасательной службы муниципального образования к реагированию на возникновение ЧС природного и техногенного характера</t>
  </si>
  <si>
    <t>Муниципальная программа "Управление муниципальными финансами в муниципальном образовании "Онгудайский район"</t>
  </si>
  <si>
    <t xml:space="preserve">Обеспечивающая подпрограмма "Повышение эффективности управления в Администрации МО "Онгудайский район" муниципальной программы "Развитие экономического потенциала и предпринимательства муниципального образования "Онгудайский район" </t>
  </si>
  <si>
    <t xml:space="preserve">Подпрограмма  " Градостроительная деятельность"муниципальной программы  «Управление муниципальной собственностью и градостроительной деятельностью в муниципальном образовании «Онгудайский район» </t>
  </si>
  <si>
    <t xml:space="preserve">Основное мероприятие Повышение качества управления и распоряжения муниципальным имуществом </t>
  </si>
  <si>
    <t xml:space="preserve">Мероприятия в рамках основного мероприятия Повышение качества управления и распоряжения муниципальным имуществом </t>
  </si>
  <si>
    <t>Мероприятия в рамках основного мероприятия "Территориальное планирование  в муниципальном образовании "Онгудайский район""</t>
  </si>
  <si>
    <t>Обеспечивающая подпрограмма "Повышение эффективности   управления  в Отделе образования"  муниципальной программы" «Развитие образования в муниципальном образовании «Онгудайский район»</t>
  </si>
  <si>
    <t>Основное мероприятие:Материально-техническое обеспечение управления в Отделе образования  МО "Онгудайский район"</t>
  </si>
  <si>
    <t>Расходы на выплаты по оплате труда работников  Управления Управления финансов Онгудайского района</t>
  </si>
  <si>
    <t>Основное мероприятие:Обеспечение деятельности  Управления финансов Онгудайского района</t>
  </si>
  <si>
    <t>Расходы на обеспечение функций     Управления финансов Онгудайского района</t>
  </si>
  <si>
    <t>Дотация на выравнивание уровня бюджетной обеспеченности   поселений, выделяемая бюджетом  муниципального образования</t>
  </si>
  <si>
    <t>Муниципальная программа "Управление муниципальными финансами в муниципальном  образовании "Онгудайский район"</t>
  </si>
  <si>
    <t xml:space="preserve">Обеспечивающая подпрограмма  Материально – техническое обеспечение МКУ  "По обеспечению деятельности администрации и отдел капитального строительства муниципального образования "Онгудайский район" муниципальной программы «Управление муниципальной собственностью и градостроительной деятельностью в муниципальном образовании «Онгудайский район» </t>
  </si>
  <si>
    <t xml:space="preserve">Проведение культурно-массовых мероприятий в рамках основного мероприятия </t>
  </si>
  <si>
    <t xml:space="preserve">Основное мероприятие Развитие культурно-досуговой деятельности в муниципальном образовании "Онгудайский район" </t>
  </si>
  <si>
    <t xml:space="preserve"> Расширение спектра культурно-досуговых услуг </t>
  </si>
  <si>
    <t xml:space="preserve">Предоставление библиотечных услуг </t>
  </si>
  <si>
    <t xml:space="preserve">Обеспечивающая подпрограмма «Повышение эффективности  управления в Отделе культуры, спорта и молодежной политики администрации МО «Онгудайский район» муниципальной программы " Социальное развитие муниципального образования  «Онгудайский район» 
</t>
  </si>
  <si>
    <t>Обеспечивающая подпрогрмма "Обеспечение деятельности  МКУ "По обеспечению деятельности Отдела культуры, спорта и молодежной политики администрации района (аймака) и подведомственных ему учреждений"</t>
  </si>
  <si>
    <t>Основное мероприятие: Материально-техническое обеспечение МКУ "По обеспечению деятельности Отдела культуры, спорта и молодежной политики администрации района (аймака) и подведомственных ему учреждений"</t>
  </si>
  <si>
    <t>Расходы на выплаты по оплате труда  МКУ "По обеспечению деятельности Отдела культуры, спорта и молодежной политики администрации района (аймака) и подведомственных ему учреждений"</t>
  </si>
  <si>
    <t>Расходы на обеспечение функций МКУ "По обеспечению деятельности Отдела культуры, спорта и молодежной политики администрации района (аймака) и подведомственных ему учреждений"</t>
  </si>
  <si>
    <t>Проведение мероприятий в рамках основного мероприятия "Развитие физической культуры, спорта  и формирование здорового образа жизни в муниципальном образовании "Онгудайский район"</t>
  </si>
  <si>
    <t xml:space="preserve">Основное мероприятие:Материально – техническое обеспечение МКУ  "По обеспечению деятельности администрации и отдела капитального строительства муниципального образования "Онгудайский район" </t>
  </si>
  <si>
    <t xml:space="preserve">Расходы на выплаты по оплате труда работников МКУ  "По обеспечению деятельности администрации и  отдела капитального строительства муниципального образования "Онгудайский район" </t>
  </si>
  <si>
    <t xml:space="preserve">Расходы на обеспечение функций  МКУ  "По обеспечению деятельности администрации и  отдела капитального строительства муниципального образования "Онгудайский район" </t>
  </si>
  <si>
    <t>Администpация района (аймака) муниципального обpазования "Онгудайский pайон"</t>
  </si>
  <si>
    <t>Проведение работ в рамках  основного мероприятия "Ремонт гидротехнических сооружений"</t>
  </si>
  <si>
    <t>Управление финансов администрации района (аймака) муниципального образования "Онгудайский район"</t>
  </si>
  <si>
    <t>Отдел культуры, спорта и молодежной политики администрации района (аймака) муниципального образования "Онгудайский район"</t>
  </si>
  <si>
    <t>Расходы на обеспечение функций управления Отдела образования МО  "Онгудайский район"</t>
  </si>
  <si>
    <t>070А174190</t>
  </si>
  <si>
    <t>Организация проведения мероприятий  ко Дню Победы в Великой Отечественной войне 1941-1945 годов</t>
  </si>
  <si>
    <t>04301S7502</t>
  </si>
  <si>
    <t>Непрограммная часть</t>
  </si>
  <si>
    <t>9900000900</t>
  </si>
  <si>
    <t>Расходы по уплате иных платежей, по решениям судов, штрафов ( в т.ч. административных)</t>
  </si>
  <si>
    <t>Приобретение служебного жилья</t>
  </si>
  <si>
    <t>0420110001</t>
  </si>
  <si>
    <t>01102L576П</t>
  </si>
  <si>
    <t>07102L540П</t>
  </si>
  <si>
    <t>01102L5761</t>
  </si>
  <si>
    <t>Жилищноь-коммунальное хозяйство</t>
  </si>
  <si>
    <t xml:space="preserve">Прочие межбюджетные трансферты общего характера
</t>
  </si>
  <si>
    <t>0110120000</t>
  </si>
  <si>
    <t xml:space="preserve">Реализация меропиятий по установке и согласованию санитарно-защитных зон в части обустройства содержания мест утилизации биологических отходов (скотомогильников, биотермических ям)  </t>
  </si>
  <si>
    <t>Реализация мероприятий по повышению устойчивости жилых домов, основных объектов и систем жизнеобеспечения в сейсмических районах РФ (Корректировка ПД по объекту: "Строительство полной средней школы на 260 учащихся с интернатом на 80 мест в с.Иня Онгудайского района РА")</t>
  </si>
  <si>
    <t>Основное мероприятие «Реализация регионального проекта «Содействие занятости женщин-создание условий дошкольного образования для детей в возрасте до трех лет»</t>
  </si>
  <si>
    <t>071P200000</t>
  </si>
  <si>
    <t>071P210000</t>
  </si>
  <si>
    <t>Создание условий дошкольного образования для детей в возрасте до трех лет</t>
  </si>
  <si>
    <t xml:space="preserve">Субсидии на поддержку развития образовательных  организаций в Республике Алтай, реализующих программы дошкольного образования </t>
  </si>
  <si>
    <t>07101S6200</t>
  </si>
  <si>
    <t>Финансирование расходных обязательств, возникающих при реализации мероприятий, направленных на развитие общего образования</t>
  </si>
  <si>
    <t>07101S4100</t>
  </si>
  <si>
    <t>Мероприятия в целях профилактики и устранения распространения коронавирусной инфекции</t>
  </si>
  <si>
    <t>990000Ш5Ж0</t>
  </si>
  <si>
    <t>Обеспечение санитарно-эпидемиологической безопасности при проведении общероссийского голосования по вопросу одобрения внесения изменений в Конституцию РФ</t>
  </si>
  <si>
    <t>031W200000</t>
  </si>
  <si>
    <t>Реализация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внесения изменений в Конституцию РФ</t>
  </si>
  <si>
    <t>031W258530</t>
  </si>
  <si>
    <t>071ИП00000</t>
  </si>
  <si>
    <t>Строительство образовательных организаций</t>
  </si>
  <si>
    <t>07101100Ж0</t>
  </si>
  <si>
    <t>07101L3042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</si>
  <si>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(субсидии)</t>
  </si>
  <si>
    <t>07101S4600</t>
  </si>
  <si>
    <t>Субсидии на софинансирование мероприятий, направленных на обеспечение горячим питанием учащихся 5 - 11 классов муниципальных общеобразовательных организаций в Республике Алтай из малообеспеченных семей</t>
  </si>
  <si>
    <t>071E210003</t>
  </si>
  <si>
    <t xml:space="preserve">Приобретение спортивного оборудования </t>
  </si>
  <si>
    <t>07201100Ж0</t>
  </si>
  <si>
    <t>07201200Ж0</t>
  </si>
  <si>
    <t>070Ц2741Ж0</t>
  </si>
  <si>
    <t>Повышение оплаты труда работников муниципальных учреждений культуры</t>
  </si>
  <si>
    <t>02101S5100</t>
  </si>
  <si>
    <t>02106S5100</t>
  </si>
  <si>
    <t>Субсидии на пополнение  оборотного фонда теплоснабжающих организаций, организаций, осуществляющих горячее и холодное водоснабжение</t>
  </si>
  <si>
    <t>0420260000</t>
  </si>
  <si>
    <t xml:space="preserve">Основное мероприятиеРеализация мероприятий индивидуальной программы социально-экономического развития Республики Алтай </t>
  </si>
  <si>
    <t>071И900000</t>
  </si>
  <si>
    <t>Завершение строительства, укомплектование средствами обучения и воспитания, мягким инвентарем образовательных организаций</t>
  </si>
  <si>
    <t>071И9L321Y</t>
  </si>
  <si>
    <t>071ИПL321Y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</si>
  <si>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(муниципальные общеобразовательные организации)</t>
  </si>
  <si>
    <t>0710153032</t>
  </si>
  <si>
    <t>Реализация мероприятий по повышению устойчивости жилых домов, основных объектов и систем жизнеобеспечения в сейсмических районах РФ</t>
  </si>
  <si>
    <t>07102S540П</t>
  </si>
  <si>
    <t>Финансирование расходных обязательств, направленных на развитие дополнительного образования детей</t>
  </si>
  <si>
    <t>07201S7600</t>
  </si>
  <si>
    <t>Проведение капитального  ремонта и ремонта автомобильных дорог общего пользования местного значения и искусственных сооружений на них</t>
  </si>
  <si>
    <t>04301S22Д0</t>
  </si>
  <si>
    <t>04102S2330</t>
  </si>
  <si>
    <t xml:space="preserve">Субсидии на софинансирование расходных обязательств, связанных с участием муниципальных образований в проведении мероприятий по  оказанию поддержки гражданам и их объединениям, участвующим в охране общественного порядка, созданию условий для деятельности </t>
  </si>
  <si>
    <t>0420210000</t>
  </si>
  <si>
    <t>Подготовка к отопительному периоду объектов теплоснабжения</t>
  </si>
  <si>
    <t>01102S576П</t>
  </si>
  <si>
    <t>Субсидии на комплексное развитие сельских территорий (развитие водоснабжения в сельской местности)</t>
  </si>
  <si>
    <t>07201S7800</t>
  </si>
  <si>
    <t>Субсидии на мероприятия, направленые на оплату труда педагогических работников дополнительного образования детей</t>
  </si>
  <si>
    <t>0110220000</t>
  </si>
  <si>
    <t>Реализация мероприятий в части капитального строительства объектов жилищно-коммунального хозяйства</t>
  </si>
  <si>
    <t>04206S8900</t>
  </si>
  <si>
    <t>Мероприятия по созданию и оборудованию мест (площадок) накопления (в том числе раздельного накопления) твердых коммунальных отходов</t>
  </si>
  <si>
    <t>Реализация молодежной политики</t>
  </si>
  <si>
    <t>Главный распорядитель бюджетных средств</t>
  </si>
  <si>
    <t xml:space="preserve">Наименование публичного нормативного обязательства </t>
  </si>
  <si>
    <t>Нормативный правовой акт, определяющий публичное нормативное  обязательство</t>
  </si>
  <si>
    <t>Всего</t>
  </si>
  <si>
    <t>в том числе</t>
  </si>
  <si>
    <t>Федераль-ные средства</t>
  </si>
  <si>
    <t>Республи-канские средства</t>
  </si>
  <si>
    <t>Местные средства</t>
  </si>
  <si>
    <t>Администрация района (аймака) муниципального образования "Онгудайский район"</t>
  </si>
  <si>
    <t>Субвенции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</t>
  </si>
  <si>
    <t>Федеральный закон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</t>
  </si>
  <si>
    <t>Субвенции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</t>
  </si>
  <si>
    <t>Федеральный закон от 12 января 1995 года № 5-ФЗ «О ветеранах»</t>
  </si>
  <si>
    <t>Субвенции на осуществление полномочий по обеспечению жильем отдельных категорий граждан, установленных ФЗ  от 24 ноября 1995 года № 181-ФЗ "О социальной защите инвалидов в Российской Федераци</t>
  </si>
  <si>
    <t>Осуществление назначения и выплаты доплат к пенсиям</t>
  </si>
  <si>
    <t>Решение Совета депутатов№24-6  от 30.03.2017г  " Об утверждении Положения об условиях предоставлеия права на  пенсию за выслугу лет муниципальным служащим муниципального образования "Онгудайский район", о порядке её назначения, переасчета и выплаты"</t>
  </si>
  <si>
    <t>Итого по Администрации</t>
  </si>
  <si>
    <t>Отдел образования Онгудайского района</t>
  </si>
  <si>
    <t xml:space="preserve">Субвенции на выплату родителям (законным представителям) 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</t>
  </si>
  <si>
    <t>Закон Республики Алтай  от 15.11.2013г №59-РЗ "Об образовании в Республике Алтай"</t>
  </si>
  <si>
    <t xml:space="preserve">Субвенции на реализацию государственных полномочий Республики Алтай, связанных с  организацией и обеспечением отдыха и оздоровления детей </t>
  </si>
  <si>
    <t>Итого по Отделу образования</t>
  </si>
  <si>
    <t>Наименование объекта</t>
  </si>
  <si>
    <t>Уточненный план на 2020год</t>
  </si>
  <si>
    <t>Объем расходов всего</t>
  </si>
  <si>
    <t>за счет субсидий и иных межбюджетных трансфертов из республиканского бюджета Республики Алтай</t>
  </si>
  <si>
    <t>за счет местного бюджета</t>
  </si>
  <si>
    <t>Муниципальная программа "Экономическое развитие муниципального образования «Онгудайский район» на 2013-2018г.г."</t>
  </si>
  <si>
    <t>Подпрограмма "Развитие конкурентной экономики"</t>
  </si>
  <si>
    <t>Реконструкция  водопровода в с Купчегень Онгудайского района  Республики Алтай</t>
  </si>
  <si>
    <t>ПИР  водопровода в с Малый Яломан Онгудайского района  Республики Алтай</t>
  </si>
  <si>
    <t>Полная средняя школа на 260 уч-ся с интернатом на 80 мест в с.Иня Онгудайского района Республики Алтай</t>
  </si>
  <si>
    <t>Кредиторская задолженность по выполненным работам на услуги технического надзора: Детский сад на 150 мест в с Онгудай Онгудайского района Республики Алтай</t>
  </si>
  <si>
    <t>Кредиторская задолженность по выполненным работам: Строительство ЦРБ в с.Онгудай (корпус Г)</t>
  </si>
  <si>
    <t>Муниципальная программа "Развитие систем жизнеобеспечения и повышение безопасности населения муниципального образования «Онгудайский  район"</t>
  </si>
  <si>
    <t>Подпрограмма "Развитие инфраструктуры района"</t>
  </si>
  <si>
    <t>Внешнее электроснабжение жилого микрорайона "Южный" в с. Онгудай Онгудайского района (1-я очередь), (2-я очередь)</t>
  </si>
  <si>
    <t>Строительство скважины для водоснабжения села Чуйозы Онгудайского района</t>
  </si>
  <si>
    <t xml:space="preserve">Подпрограмма "Развитие конкурентоспособной экономики" муницпального образования "Онгудайский район" </t>
  </si>
  <si>
    <t>Проектно-изыскательске  работы  водо- , электро-снабжения  микрорайонов Абай-Кобы, Талду в с Онгудай</t>
  </si>
  <si>
    <t xml:space="preserve">ПСД на строительство средней школы в с Онгудай на 550 мест </t>
  </si>
  <si>
    <t>Реконструкция Туектинской основной общеобразовательной школы (спортзал, пищеблок, теплый туалет) ПСД</t>
  </si>
  <si>
    <t>Строительство полной средней школы на 260 учащихся с интернатом на 80 мест в с. Иня, Онгудайского района,Республики Алтай</t>
  </si>
  <si>
    <t>Строительство детского сада на 125 мест в с Онгудай по ул С.Ю.Аткунова</t>
  </si>
  <si>
    <t>№ п/п</t>
  </si>
  <si>
    <t>Федеральный бюджет, республиканский бюджет Республики Алтай (справочно)</t>
  </si>
  <si>
    <t>Местный бюджет</t>
  </si>
  <si>
    <t>А</t>
  </si>
  <si>
    <t>Б</t>
  </si>
  <si>
    <t>1.1.</t>
  </si>
  <si>
    <t>(тыс. рублей)</t>
  </si>
  <si>
    <t>Показатели</t>
  </si>
  <si>
    <t>Индексы</t>
  </si>
  <si>
    <t xml:space="preserve">  Наименования сельских поселений муниципального образования "Онгудайский район"</t>
  </si>
  <si>
    <t>Елинское</t>
  </si>
  <si>
    <t>Теньгинское</t>
  </si>
  <si>
    <t>Куладинское</t>
  </si>
  <si>
    <t>Каракольское</t>
  </si>
  <si>
    <t>Нижне-Талдинское</t>
  </si>
  <si>
    <t>Шашикманское</t>
  </si>
  <si>
    <t>Хабаровское</t>
  </si>
  <si>
    <t>Купчегеньское</t>
  </si>
  <si>
    <t>Ининское</t>
  </si>
  <si>
    <t>Онгудайское</t>
  </si>
  <si>
    <t>1</t>
  </si>
  <si>
    <t>Дотация на выравнивание уровня бюджетной обеспеченности</t>
  </si>
  <si>
    <t>1.1.1.</t>
  </si>
  <si>
    <t>1.1.2.</t>
  </si>
  <si>
    <t>Дотация на выравнивание бюджетной обеспеченности бюджетам поселений за счет средств субвенции на реализацию отдельных государственных полномочий Республики Алтай по расчету и предоставлению дотаций на выравнивание бюджетам поселений</t>
  </si>
  <si>
    <t>1.2.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</si>
  <si>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</si>
  <si>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1.2.1.</t>
  </si>
  <si>
    <t xml:space="preserve"> Иные межбюджетные  трансферты на оплату  труда с начислениями  на неё работников бюджетной сферы (не ниже МРОТ)</t>
  </si>
  <si>
    <t>1.2.2.</t>
  </si>
  <si>
    <t xml:space="preserve"> Иные межбюджетные  трансферты на оплату труда с начислениями  на неё работников бюджетной сферы (работники учреждений культуры на  исполнение УказовПрезидента РФ не ниже уровня 2018г)</t>
  </si>
  <si>
    <t>1.2.3.</t>
  </si>
  <si>
    <t>Иные межбюджетные  трансферты на исполнение полномочий по решению вопросов местного значения  сельскими поселениями</t>
  </si>
  <si>
    <t>1.3.</t>
  </si>
  <si>
    <t>Межбюджетные трансферты, передаваемые бюджетам сельских поселений на осуществление части полномочий по решению вопросов местного значения в соответствии с заключенными  соглашениями о передаче полномочий</t>
  </si>
  <si>
    <t>1.3.1.</t>
  </si>
  <si>
    <t xml:space="preserve"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</t>
  </si>
  <si>
    <t>1.3.2.</t>
  </si>
  <si>
    <t>Организация  деятельности по сбору ( втом числе раздельному сбору) транспортированию, обработке, утилизации, обезвреживанию, захоронению твердых коммунальных отходов  в части организации буртования твердых коммунальных отходов на полигоне)</t>
  </si>
  <si>
    <t>1.3.3.</t>
  </si>
  <si>
    <t>Прочие межбюджетные трансферты по заключенным соглашениям о передаче полномочий по теплоснабжению  в части  оплаты за электроэнергию)</t>
  </si>
  <si>
    <t>1.3.4.</t>
  </si>
  <si>
    <t>Прочие межбюджетные трансферты по заключенным соглашениям о передаче полномочий по водоснабжению  в части ремонта водопроводной сети )</t>
  </si>
  <si>
    <t>1.3.5.</t>
  </si>
  <si>
    <t>Создание условий для организации досуга и обеспечения жителей  поселения услугами организаций культуры</t>
  </si>
  <si>
    <t>1.4.</t>
  </si>
  <si>
    <t xml:space="preserve">Иные межбюджетные трансферты на стимулироваие  </t>
  </si>
  <si>
    <t xml:space="preserve">ВСЕГО  </t>
  </si>
  <si>
    <t>Кассовое исполнение</t>
  </si>
  <si>
    <t>% исполнения</t>
  </si>
  <si>
    <t>Приложение 4</t>
  </si>
  <si>
    <t xml:space="preserve">Кассовое исполнение </t>
  </si>
  <si>
    <t>й</t>
  </si>
  <si>
    <t>Остатки от годовых назначений</t>
  </si>
  <si>
    <t>Освещение улиц в населенных пунктах</t>
  </si>
  <si>
    <t>Изготовление бюста Героя Советского Союза И.И.Семенова</t>
  </si>
  <si>
    <t>Обустройство детских площадок</t>
  </si>
  <si>
    <t>Ремонт спортивных залов</t>
  </si>
  <si>
    <t>Поиски утонувшего в  реке Катунь</t>
  </si>
  <si>
    <t>ГСМ для УИК при проведении всенародного голосования</t>
  </si>
  <si>
    <t>Ремонт памятников, Мемориалов Славы</t>
  </si>
  <si>
    <t>Ремонт зданий домов культур, подготовка ПСД для проведения капитального ремонта</t>
  </si>
  <si>
    <t>Тушение пожаров</t>
  </si>
  <si>
    <t>База Эл-Ойын</t>
  </si>
  <si>
    <t>Территориальное планирование</t>
  </si>
  <si>
    <t>Ремонт моста , дорог</t>
  </si>
  <si>
    <t>Прочие расходы</t>
  </si>
  <si>
    <t>Приложение 1 к пояснительной записке</t>
  </si>
  <si>
    <t>Информация об исполнении</t>
  </si>
  <si>
    <t>исполнение 2015год</t>
  </si>
  <si>
    <t>Уточненный план</t>
  </si>
  <si>
    <t xml:space="preserve">% исполнения </t>
  </si>
  <si>
    <t>Доля в общем расходе     ( в %)</t>
  </si>
  <si>
    <t xml:space="preserve"> Связь и информатика 
</t>
  </si>
  <si>
    <t>Другие вопросы в области ЖКХ</t>
  </si>
  <si>
    <t>Начальное  профессиональное образование детей</t>
  </si>
  <si>
    <t>Темп роста в 2020 г по сравн с 2019 годом (%)</t>
  </si>
  <si>
    <t>Отчетный 2020 год</t>
  </si>
  <si>
    <t xml:space="preserve">Исполнение 2019 г </t>
  </si>
  <si>
    <t>бюджетных ассигнований по разделам и подразделам   классификации расходов консолидированного  бюджета муниципального образования  "Онгудайский район" за 2020год</t>
  </si>
  <si>
    <t xml:space="preserve">Исполнение 2019г </t>
  </si>
  <si>
    <t>Темп роста в 2020г по сравн с 2019 годом (%)</t>
  </si>
  <si>
    <t>бюджетных ассигнований по разделам и подразделам   классификации расходов  бюджета муниципального образования  "Онгудайский район" за 2020 год</t>
  </si>
  <si>
    <t>Исполнение ведомственной структуры  расходов бюджета муниципального образования "Онгудайский район"   за   2020 год</t>
  </si>
  <si>
    <t>Исполнение  бюджетных ассигнований  на осуществление бюджетных инвестиций в объекты капитального строительства  муниципальной собственности (в том числе их реконструкция), а , также, софинансирование в которые  за счет межбюджетных субсидий из республиканского  бюджета Республики Алтай  (за исключением строительства и  реконструкции  автомобильных дорог общего пользования местного  значения  и искусственных сооружений на них за счет Дорожного фонда  муниципального образования "Онгудайский район" ) за  2020  год</t>
  </si>
  <si>
    <t>Исполнение  бюджетных ассигнований Дорожного фонда муниципального образования "Онгудайский район"    за 2020 год</t>
  </si>
  <si>
    <t>Исполнение  межбюджетных трансфертов бюджетам сельских поселений муниципального образования "Онгудайский район" за 2020 год</t>
  </si>
  <si>
    <t>Устройство асфальтового покрытия по ул. Космонавтов (д/с Колокольчик) в с. Онгудай</t>
  </si>
  <si>
    <t>Профилировка дорог в с. Онгудай (ул. Московская, Партизанская, Юбилейная, Проточная, Семенова, Алтайская, Молодежная, Фестивальная, Черемуховая, Заречная, Зеленая, Дорожная, Красноармейская, Луговая, Набережная)</t>
  </si>
  <si>
    <t>Ремонт дороги по ул. Алтайской (вдоль ЦРБ)в с. Онгудай</t>
  </si>
  <si>
    <t>Зимнее содержание 2020-2021 (согласно утвержденного перечня дорог)</t>
  </si>
  <si>
    <t>Устройство водопропускной трубы по ул. Тодубай в с. Нижняя-Талда</t>
  </si>
  <si>
    <t>Обеспечивающая подпрограмма Материально-техническое обеспечение  деятельности МКУ «Центр по обслуживанию деятельности Отдела образования администрации района (аймака)    муниципальной программы" «Развитие образования в муниципальном образовании «Онгудайский район»</t>
  </si>
  <si>
    <t xml:space="preserve">Обеспечение  деятельности  МКУ«Центр по обслуживанию деятельности Отдела образования администрации района (аймака) </t>
  </si>
  <si>
    <t xml:space="preserve">Расходы на выплаты по оплате труда работников МКУ  «Центр по обслуживанию деятельности Отдела образования администрации района (аймака) </t>
  </si>
  <si>
    <t xml:space="preserve">Основное мероприятие:Создание условий для деятельности МКУ«Центр по обслуживанию деятельности Отдела образования администрации района (аймака) </t>
  </si>
  <si>
    <t>Расходы на выплаты по оплате труда работников МКУ «Центр по обслуживанию деятельности Отдела образования администрации района (аймака)  за счет  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</si>
  <si>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Текущий ремонт  мостового перехода через р.Башлан  в с.Нижняя-Талда   (2901)</t>
  </si>
  <si>
    <t>Установка дорожных знаков, нанесенеие дорожной разметки, устройство искусственных неровностей по улицам Советская, Ленина, Семенова в с. Онгудай</t>
  </si>
  <si>
    <t>Выполнение работ по освещению автомобильной дороги по улице Победы  в с. Онгудай</t>
  </si>
  <si>
    <t xml:space="preserve">Ремонт автомобильной дороги по ул. Победы от дома №1а до дома №72 в с. Онгудай, </t>
  </si>
  <si>
    <t xml:space="preserve">Составление сметной документации  </t>
  </si>
  <si>
    <t>Зимнее содержание за зимний период 2019-2020г</t>
  </si>
  <si>
    <t>Устройство водопропускных труб в с. Туекта</t>
  </si>
  <si>
    <t>Ямочный ремонт по улицам Советская, имени В.И.Ленина и И.И.Семенова  в с. Онгудай</t>
  </si>
  <si>
    <t xml:space="preserve">
Устройство барьерного дорожного ограждения моста через р Онгудайка в с Онгудай (авансовый платеж, работы будут завершены в мае 2021г)</t>
  </si>
  <si>
    <t>Приобретение  специальной техники : трактор МТЗ Беларус</t>
  </si>
  <si>
    <t>Приобретение  специальной техники:Экскаватор</t>
  </si>
  <si>
    <t>Дорожный фонд : план на 2020 год</t>
  </si>
  <si>
    <t>Кассовое исполнение за  2020 год</t>
  </si>
  <si>
    <t>Субсидии  на проведение ремонтных работ Куладинскому сельскому поселению</t>
  </si>
  <si>
    <t>в том числе по источникам</t>
  </si>
  <si>
    <t>Наименование, виды работ</t>
  </si>
  <si>
    <t>Остаток бюджетных ассигнований Дорожного фонда на  01.01.2021г</t>
  </si>
  <si>
    <t xml:space="preserve">Уточненный план </t>
  </si>
  <si>
    <t>Основание выделения средств (наименование нормативного правового акта, дата и номер)</t>
  </si>
  <si>
    <t>Направление средств по распоряжению</t>
  </si>
  <si>
    <t>Фактическое направление средств</t>
  </si>
  <si>
    <t>Остаток неиспользованных средств</t>
  </si>
  <si>
    <t xml:space="preserve">Причины остатка средств на счете </t>
  </si>
  <si>
    <t>Дата финансирования</t>
  </si>
  <si>
    <t>ГРБС</t>
  </si>
  <si>
    <t>Цель</t>
  </si>
  <si>
    <t>Сумма</t>
  </si>
  <si>
    <t>Реквизиты платежных документов*</t>
  </si>
  <si>
    <t>Фактически оплачено</t>
  </si>
  <si>
    <t>Распоряжение Главы района (аймака) № 37-р от 06.02.2020г.</t>
  </si>
  <si>
    <t>Материальная помощь  Бичиновой Ольге Александровне, для лечения</t>
  </si>
  <si>
    <t>адм</t>
  </si>
  <si>
    <t>Распоряжение Главы района (аймака) № 67-р от 20.02.2020г.</t>
  </si>
  <si>
    <t>ЦДТ на выезд группы обучающихся образовательных организаций района в ледевый дворец и плавательный бассейн г.Горно-Алтайск</t>
  </si>
  <si>
    <t>ГРБС отменил финансирование по причине отмены мероприятия в связи с ведением  карантиного режима по региону.</t>
  </si>
  <si>
    <t>обр</t>
  </si>
  <si>
    <t>Распоряжение Главы района (аймака) № 79-р от 26.02.2020г.</t>
  </si>
  <si>
    <t>Материальная помощь Чедоеву Артуру Анатольевичу, для обследования сына</t>
  </si>
  <si>
    <t>Распоряжение Главы района (аймака) № 88-р от 03.03.2020г.</t>
  </si>
  <si>
    <t>На проведение технического обследования здания и разработку ПСД по капитальному ремонту здания МБОУ "Шашикманская СОШ"</t>
  </si>
  <si>
    <t>Распоряжение Главы района (аймака) № 92-р от 04.03.2020г.</t>
  </si>
  <si>
    <t>На пересчет в текущие цены 3 кв.2019г. Сметной документации на объект:Строительство полной средней школы на 260 учащихся с интернатом на 80 мест в с.Иня</t>
  </si>
  <si>
    <t>На пересчет в текущие цены проектной документации на реконструкцию систем водоснабжения с.Онгудай</t>
  </si>
  <si>
    <t>Распоряжение Главы района (аймака) № 105-р от 16.03.2020г.</t>
  </si>
  <si>
    <t>Материальная помощь Ивановой Анастасии Дмитриевне, для участия в конкурсе красоты и талантов девушек с инвалидностью "Королева Алтая"</t>
  </si>
  <si>
    <t>Распоряжение Главы района (аймака) № 106-р от 16.03.2020г.</t>
  </si>
  <si>
    <t>Для оплаты по договору подряда с подрядчиком на изготовление скульптурного бюста Героя Советского Союза И.И.Семенова Онгудайскому СП</t>
  </si>
  <si>
    <t>уф</t>
  </si>
  <si>
    <t>Распоряжение Главы района (аймака) № 122-р от 20.03.2020г.</t>
  </si>
  <si>
    <t>Для приобретения 10 ноутбуков в участковые избирательные комиссии для подготовки и проведения общероссийского голосования по поправкам в Конституцию Российской Федерации</t>
  </si>
  <si>
    <t>Распоряжение Главы района (аймака) № 123-р от 20.03.2020г.</t>
  </si>
  <si>
    <t>Материальная помощь Янкубаевой Эмилии Николаевне, для лечения дочери в г.Москва "Национальный медицинский исследовательский центр здоровья детей</t>
  </si>
  <si>
    <t>Распоряжение Главы района (аймака) № 124-р от 20.03.2020г.</t>
  </si>
  <si>
    <t>Для обеспечения защитными, антисептическими, дезинфицирующими средствами служащих и работников администрации</t>
  </si>
  <si>
    <t>Распоряжение Главы района (аймака) № 151-р от 31.03.2020г.</t>
  </si>
  <si>
    <t>Материальная помощь для ремонта жилого помещения Чекурашеву Багыр Бочиевичу</t>
  </si>
  <si>
    <t>Материальная помощь для ремонта жилого помещения Кузнецовой Анне Марковне</t>
  </si>
  <si>
    <t>Распоряжение Главы района (аймака) № 174-р от 14.04.2020г.</t>
  </si>
  <si>
    <t>Для приобретения дезинфицирующих средств</t>
  </si>
  <si>
    <t>Распоряжение Главы района (аймака) № 175-р от 14.04.2020г.</t>
  </si>
  <si>
    <t>Для изготовления баннеров в количестве 2 штук с изображением участников Великой Отечественной войны</t>
  </si>
  <si>
    <t>ООО фирма "АРТ"инн0411070519,кпп041101001,Р/С 40702810602350001856,Горно-Алтайское отделение №8558 ПАО СБЕРБАНК г.Горно-Алтайск,БИК 048405602 кор.счет30101810300000000602</t>
  </si>
  <si>
    <t>культ</t>
  </si>
  <si>
    <t>Распоряжение Главы района (аймака) № 192-р от 24.04.2020г.</t>
  </si>
  <si>
    <t>Для организации питания групп и средств, задействованных в тушении лесного пожара в Шашикманском сельском поселении</t>
  </si>
  <si>
    <t>Распоряжение Главы района (аймака) № 200-р от 12.05.2020г.</t>
  </si>
  <si>
    <t>На ремонт памятника ("Мемориал Славы") Шашикманскому СП</t>
  </si>
  <si>
    <t>Распоряжение Главы района (аймака) № 205-р от 13.05.2020г.</t>
  </si>
  <si>
    <t>На приобретение дезинфицирующих средств</t>
  </si>
  <si>
    <t>Распоряжение Главы района (аймака) № 244-р от 09.06.2020г.</t>
  </si>
  <si>
    <t>На приобретение медицинских облучателей-рециркуляторов "Armed" CH-211-115 для обеззараживания воздуха в пункте проведения ЕГЭ</t>
  </si>
  <si>
    <t>Распоряжение Главы района (аймака) № 263-р от 19.06.2020г.</t>
  </si>
  <si>
    <t>Приобретение ГСМ</t>
  </si>
  <si>
    <t>ПП №523087 от 30.06.2020</t>
  </si>
  <si>
    <t>ПП № 517625 от 29.06.2020</t>
  </si>
  <si>
    <t>ПП №543231 от 10.07.2020</t>
  </si>
  <si>
    <t>Распоряжение Главы района (аймака) № 270-р от 22.06.2020г.</t>
  </si>
  <si>
    <t>Материальная помощь Карменовой Марии Анчиновне, для ремонта кровли</t>
  </si>
  <si>
    <t>Распоряжение Главы района (аймака) № 274-р от 25.06.2020г.</t>
  </si>
  <si>
    <t>Материальная помощь Емельяновой Наталье Александровне, для организации и проведения похорон ветерана Великой Отечественной войны</t>
  </si>
  <si>
    <t>Распоряжение Главы района (аймака) № 277-р от 29.06.2020г.</t>
  </si>
  <si>
    <t>Для проведения работ по поиску утонувшего в р.Катунь Ининскому сельскому поселению</t>
  </si>
  <si>
    <t>Распоряжение Главы района (аймака) № 278-р от 29.06.2020г.</t>
  </si>
  <si>
    <t>ПП № 556684 от 17.07.2020; ПП № 556894 от 17.07.2020</t>
  </si>
  <si>
    <t>Распоряжение Главы района (аймака) № 288-р от 06.07.2020г.</t>
  </si>
  <si>
    <t>На изготовление информационных стендов для размещения печатной продукции</t>
  </si>
  <si>
    <t>пп 552229 от 15.07.2020-38710,00; пп №40861  от 28.12.2020-40,00</t>
  </si>
  <si>
    <t>Распоряжение Главы района (аймака) № 295-р от 08.07.2020г.</t>
  </si>
  <si>
    <t>Материальная помощь Санабасовой Марине Васильевне для строительства забора</t>
  </si>
  <si>
    <t>Материальная помощь Челбаковой Марине Александровне для обустройства теплого туалета для инвалида 1 группы Волжина Владимира Александровича</t>
  </si>
  <si>
    <t>Распоряжение Главы района (аймака) № 300-р от 14.07.2020г.</t>
  </si>
  <si>
    <t>На приобретение стального троса в количестве 100м. В связи с нарушением паромной переправы в с.Инегень ГОЧС и ЕДДС</t>
  </si>
  <si>
    <t>Распоряжение Главы района (аймака) № 309-р от 20.07.2020г.</t>
  </si>
  <si>
    <t>На строительство Мемориала Победы в Великой Отечественной войне Теньгинскому СП</t>
  </si>
  <si>
    <t>1. ПП №54402 от 30.12.2020 на 43200   2. ПП № 713321 от 08.10.2020 на 66800    3.ПП №730632 от 15.10.2020 на 27000 рублей  4. ПП №784794  от 10.11.2020</t>
  </si>
  <si>
    <t>Распоряжение Главы района (аймака) № 310-р от 20.07.2020г.</t>
  </si>
  <si>
    <t>Материальная помощь Уйгулукову Олегу Алексеевичу, для обустройства кочегарки, подведения водоснабжения</t>
  </si>
  <si>
    <t>Распоряжение Главы района (аймака) № 311-р от 21.07.2020г.</t>
  </si>
  <si>
    <t>Для оплаты по договору подряда на составление сметной документации на объект: Капитальный ремонт здания МБУ "Дом культуры" Онгудайскому СП</t>
  </si>
  <si>
    <t>Распоряжение Главы района (аймака) № 343-р от 17.08.2020г.</t>
  </si>
  <si>
    <t>Для ликвидации ЧС, в связи с необходимостью восполнения крепежных элементов в комплектах двух 40-местных палаток ГОЧС и ЕДДС</t>
  </si>
  <si>
    <t>Распоряжение Главы района (аймака) № 411-р от 30.09.2020г.</t>
  </si>
  <si>
    <t>Для приобретения бесконтактных инфракрасных термометров в количестве 14 штук, медицинских защитных трехслойных масок в количестве 1000 штук</t>
  </si>
  <si>
    <t>Распоряжение Главы района (аймака) № 416-р от 01.10.2020г.</t>
  </si>
  <si>
    <t>Распоряжение Главы района (аймака) № 450-р от 29.10.2020г.</t>
  </si>
  <si>
    <t>На приобретение спортивного инвентаря</t>
  </si>
  <si>
    <t>п/п777648 от 06.11.2020 ООО "ЛД-Трейд"</t>
  </si>
  <si>
    <t>Распоряжение Главы района (аймака) № 454-р от 06.11.2020г.</t>
  </si>
  <si>
    <t>Материальная помощь Теренгину Расулу Викторовичу, в связи с пожаром</t>
  </si>
  <si>
    <t>Распоряжение Главы района (аймака) № 467-р от 13.11.2020г.</t>
  </si>
  <si>
    <t>Материальная помощь Чекурашевой Анжелике Сергеевне, на приобретение подручных материалов для ветерана ВОВ</t>
  </si>
  <si>
    <t>Распоряжение Главы района (аймака) № 478-р от 19.11.2020г.</t>
  </si>
  <si>
    <t>Для приобретения музыкальных инструментов Елинскому СДК</t>
  </si>
  <si>
    <t>Для приобретения ноутбука Кара-Кобинскому СК</t>
  </si>
  <si>
    <t>Распоряжение Главы района (аймака) № 479-р от 19.11.2020г.</t>
  </si>
  <si>
    <t>Распоряжение Главы района (аймака) № 495-р от 04.12.2020г.</t>
  </si>
  <si>
    <t>Для функционирования инфраструктуры базы "Эл-Ойын"</t>
  </si>
  <si>
    <t>Распоряжение Главы района (аймака) № 499-р от 10.12.2020г.</t>
  </si>
  <si>
    <t>На приобретение дезинфицирующих средств "Гипохлорид натрия" в объеме 360 литров</t>
  </si>
  <si>
    <t>Распоряжение Главы района (аймака) № 504-р от 10.12.2020г.</t>
  </si>
  <si>
    <t>Материальная помощь Кинжибало Анне Сергеевне на лечение сына</t>
  </si>
  <si>
    <t>Распоряжение Главы района (аймака) № 518-р от 16.12.2020г.</t>
  </si>
  <si>
    <t>На приобретение оргтехники</t>
  </si>
  <si>
    <t>ИТОГО</t>
  </si>
  <si>
    <t>УФ</t>
  </si>
  <si>
    <t>СБР</t>
  </si>
  <si>
    <t>Разница</t>
  </si>
  <si>
    <t>материальная помощь в связи с болезнью</t>
  </si>
  <si>
    <t>материальная помощь в связи с пожаром</t>
  </si>
  <si>
    <t>материальная помощь на ремонт дома, для строительства забора, для обустр-ва тепл.туалета</t>
  </si>
  <si>
    <t>сматериальная помощь для приобретения подручных материалов для ветерана ВОВ</t>
  </si>
  <si>
    <t>материальная помощь для орг-ии и прове-ия похорон</t>
  </si>
  <si>
    <t>Расходы на образование: на выезд группы обучающихся, проведение тех.обследования здания</t>
  </si>
  <si>
    <t>Ремонт моста</t>
  </si>
  <si>
    <t>Расходы на ЖКХ: приведение в соответствие полигона ТБО, ремонт и очистка выгребной ямы, приобр-ие насоса, буртовка свалок, проведение АВР водопровода, формир-ие аварийного запаса, оборуд-ие для комплектования АРСов</t>
  </si>
  <si>
    <t>Расходы на культуру: изготовление баннеров с изображением участников ВОВ, на изготовл.информ.стендов, на приобр.спорт.инвентаря, на приобр-ие муз.инстр.ноутбука, на приобр-ие оргтехники</t>
  </si>
  <si>
    <t>Приобр-ие стального троса ГО ЧС, приобр-ие палаток</t>
  </si>
  <si>
    <t>Расходы Администрации: На пересчет в текущие цены, для участия в конкурсе, приобретение ноутбуков в участковые избирательные комиссии, для организ-ии питания</t>
  </si>
  <si>
    <t>Расходы для обеспечения дезинфицирующими средствами</t>
  </si>
  <si>
    <t>СП: На изготовление скульптурного бюста, на ремонт памятника, на поиски утонувшего, на ГСМ при тушении пожара, на строительство Мемориала, на ПСД ДК, для фнкц-ия инфрастр-ры базы "Эл-Ойын"</t>
  </si>
  <si>
    <t>итого</t>
  </si>
  <si>
    <t>Приложение 2 к пояснительной записке</t>
  </si>
  <si>
    <t>Приложение3 к пояснительной записке</t>
  </si>
  <si>
    <t>Приложение4 к пояснительной записке</t>
  </si>
  <si>
    <t>Приложение 5 к пояснительной записке</t>
  </si>
  <si>
    <t>(рублей)</t>
  </si>
  <si>
    <t>Распоряжение Главы района (аймака) № 228-р от 27.05.2020г.</t>
  </si>
  <si>
    <r>
      <t xml:space="preserve">Для обеспечения софинансирования из местного бюджета субсидий из республиканского бюджета РА </t>
    </r>
    <r>
      <rPr>
        <b/>
        <sz val="10"/>
        <rFont val="Times New Roman"/>
        <family val="1"/>
        <charset val="204"/>
      </rPr>
      <t>на развитие общего образования</t>
    </r>
  </si>
  <si>
    <r>
      <t xml:space="preserve">Для обеспечения софинансирования из местного бюджета субсидий из республиканского бюджета РА </t>
    </r>
    <r>
      <rPr>
        <b/>
        <sz val="10"/>
        <rFont val="Times New Roman"/>
        <family val="1"/>
        <charset val="204"/>
      </rPr>
      <t>на создание в общеобразоват-ых организациях, располож-ых в сельской местности и малых городах, условий для занятий физ.культурой и спортом</t>
    </r>
  </si>
  <si>
    <t>Ининскому СП</t>
  </si>
  <si>
    <t xml:space="preserve">Для обеспечения ГСМ автомобилей участковых избирательных комиссий, при проведении общероссийского голосования по вопросу одобрения изменений в Конституцию Российской Федерации голосования вне помещения с 25.06 по 29.06.2020г. , в том числе, </t>
  </si>
  <si>
    <t>Купчегенскому СП</t>
  </si>
  <si>
    <t>Хабаровскому СП</t>
  </si>
  <si>
    <t>Онгудайскому СП</t>
  </si>
  <si>
    <t>Шашикманскому СП</t>
  </si>
  <si>
    <t>Нижне-Талдинскому СП</t>
  </si>
  <si>
    <t>Каракольскому СП</t>
  </si>
  <si>
    <t>Куладинскому СП</t>
  </si>
  <si>
    <t>Теньгинскому СП</t>
  </si>
  <si>
    <t>Елинскому СП</t>
  </si>
  <si>
    <t>Заявка №33 на получение ден. средств, перечисляемых на карту от 29.06.2020</t>
  </si>
  <si>
    <t>П/П №516425 от29.06.2020г. Сумма 1830,00 ИП Шнитов В.В. (приобретение ГСМ)</t>
  </si>
  <si>
    <t>П/П №516416 от 29.06.2020г. ООО"НИКА"</t>
  </si>
  <si>
    <t>П/П №601601 от 12.08.2020г.</t>
  </si>
  <si>
    <t>П/П  №509433 от 25.06.2020г</t>
  </si>
  <si>
    <t>П/П  №523054 от 30.06.2020г</t>
  </si>
  <si>
    <t>П/П  № 558569 от от 20.07.2020 г.</t>
  </si>
  <si>
    <t xml:space="preserve">П/П  № 585015 от от 04.08.2020 г., </t>
  </si>
  <si>
    <t>П/П  №560682 от21.07.2020г. Сумма 46250,00 ИП Шнитов В.В. (приобретение ГСМ)</t>
  </si>
  <si>
    <t>П/П  №543825 от 10.07.2020г</t>
  </si>
  <si>
    <t>П/П  №552284 от 15.07.2020г</t>
  </si>
  <si>
    <t>П/П  №619642 от 24.08.2020г.ИП Попова И.Б.Дог№01от30.04.20г,тов.накладная№01от30.04.20г</t>
  </si>
  <si>
    <t>П/П  №562723 от 22.07.2020г</t>
  </si>
  <si>
    <t>П/П  № 587759 от 05.08.2020 на сумму 85 710 руб.; № 731438 от 15.10.2020 на сумму 199 990 руб.</t>
  </si>
  <si>
    <t>П/П  №618524 от 21.08.2020г Идеев Е.В.Дог№1 от24.06.20г,акт вып.работ№б/н от24.06.20г</t>
  </si>
  <si>
    <t>П/П  №709457 от 07.10.2020г ООО "МЕДГАРАНТ",тов.накладная№216от04.10.20г</t>
  </si>
  <si>
    <t>П/П  №483433 от10.06.2020г.ООО"МТВ-Фортуна" Дог подр№б/н от13.04.20г,акт сд-пр.оказ.услуг№б/н от 08.05.20г</t>
  </si>
  <si>
    <t>П/П  №784779 от 10.11.2020г</t>
  </si>
  <si>
    <t>П/П  №802667 от 17.11.2020г</t>
  </si>
  <si>
    <t>П/П  №875197 от14.12.2020г ООО"Медгарант",тов.накладная№317от09.12.20г</t>
  </si>
  <si>
    <t>П/П  №5976 от 22.12.2020г.</t>
  </si>
  <si>
    <t>П/П  №886464 от 16.12.2020г ООО"Центр гигиены"Дог№81от 07.08.20г, тов.накладная№124 от 10.08.20г</t>
  </si>
  <si>
    <t>П/П  №876794 от 14.12.2020г</t>
  </si>
  <si>
    <t xml:space="preserve">Филиал Западносибирский ООО "ДНС Ритейл" </t>
  </si>
  <si>
    <t xml:space="preserve"> Ининскому сельскому поселению</t>
  </si>
  <si>
    <t xml:space="preserve">На приобретение ГСМ для тушения лесных  пожаров на территоии района, в том числе, </t>
  </si>
  <si>
    <t xml:space="preserve"> Шашикманскому сельскому поселению</t>
  </si>
  <si>
    <t>Куладинскому сельскому поселению</t>
  </si>
  <si>
    <t xml:space="preserve"> Теньгинскому сельскому поселению</t>
  </si>
  <si>
    <t xml:space="preserve"> Каракольскому сельскому поселению</t>
  </si>
  <si>
    <t>П/П  №562727 от 22.07.2020г. ООО"НИКА" на сумму 7200 руб.   П/п №562728 от 22.07.2020г. ООО"НИКА" на сумму 8705,05 руб.</t>
  </si>
  <si>
    <t>не использованный остаток средств, возвращен  в январе 2021г</t>
  </si>
  <si>
    <t>Уведомления Отдела образования  о доведении бюджетных ассигнований подведомственным учреждениям N9 от 29.05.2020г,</t>
  </si>
  <si>
    <t>Уведомления Отдела образования  о доведении бюджетных ассигнований подведомственным учреждениям N9 от29.05.20г,N10 от 18.06.2020г,N3 от29.05.20г,N5 от18.06.20г</t>
  </si>
  <si>
    <t>П/П № 186840 от 04.03.2020г</t>
  </si>
  <si>
    <t>П/П №204201 от 10.03.2020г,Дог№б/н от04.03.20г,акт сдачи-пр.оказ.услуг №б/н от 05.03.20г</t>
  </si>
  <si>
    <t>П/П №483433 от10.06.2020г.ООО"МТВ-Фортуна" Дог подр№б/н от13.04.20г,акт сд-пр.оказ.услуг№б/н от 08.05.20г</t>
  </si>
  <si>
    <t>П/П №232378 от 17.03.2020г</t>
  </si>
  <si>
    <t>П/П №283634 от 02.04.2020 на сумму 90000,00руб.; №283519 от 02.04.2020 на 6370,00руб.; №498168 от 17.06.2020 на сумму 171000,00руб.; № 552589 от 15.07.202 на сумму 10630,00 руб</t>
  </si>
  <si>
    <t>П/П №289540 от06.04.2020г Договор№155от30.03.20г.тов.накладная№399 от30.03.20г</t>
  </si>
  <si>
    <t>П/П №260483 от 26.03.2020г</t>
  </si>
  <si>
    <t>П/П№333707 от 20.04.2020г,МБУ "ОРКДЦ" акт пр.вып.раб№б/н от 13.04.20г; Подотчет Штанаковой О.В.</t>
  </si>
  <si>
    <t>П/П №293317 от 07.04.2020г</t>
  </si>
  <si>
    <t>П/П №293316 от 07.04.2020г</t>
  </si>
  <si>
    <t>П/П№344659 от 23.04.2020гИП Тантыбарова С.С. Дог пост№1от15.04.20г,тов.накл№429от15.04.20г; Платежное поручение№344496 от 23.04.2020г ООО "Центр гигиены" Дог№34от17.04.20г,тов.накл№49от 17.04.20г</t>
  </si>
  <si>
    <t>П/П №353620 от 28.04.2020г ООО"Тандалай" Договор№б/н от 24.04.20г,счет-фактура№1от27.04.20г</t>
  </si>
  <si>
    <t>П/П №509449 от25.06.2020г. Сумма 47050,00 ИП Бушулдаева Каринэ Борисовна (приобретение тротуарной плитки);платежное поручение №507095 от 23.06.2020г. Сумма 52805,00 ИП Попова Ирина Борисовна(поставка строительных материалов),платежное поручение №528847 от03.07.2020г. Ачимов Алан Владимирович(укладка тротуарной плитки,сварочные работы на объекте "Мемориал Славы") сумма 50145,00</t>
  </si>
  <si>
    <t>П/П№421553 от 21.05.2020г, ИП Шестакова С.Ч.Дог №б/н от24.04.20г,тов.накл№У-376от24.04.20г; Платежное поручение №468580 от 05.06.2020г,ООО"СТ-МЕД" Дог№207от28.04.20г,тов.накладная№564от04.06.20г</t>
  </si>
  <si>
    <t>П/П № 544178 от 10.07.2020г.</t>
  </si>
  <si>
    <t>П/П № 562719 от от 22.07.2020 г.,</t>
  </si>
  <si>
    <t>П/П №517187 от 29.06.2020</t>
  </si>
  <si>
    <t xml:space="preserve"> п/п12951 от 23.12.2020 ИП Маршалкин А.Г.(поставка ноутбука)</t>
  </si>
  <si>
    <t>п/п842712 от 02.12.2020Чепконаков А.В.(комус ), п/п16403 от 24.12.2020 ИП Каратаев Н.С.(гитара )                               п/п840129 от 01.12.2020 Садрашев О.В.(топшуур)</t>
  </si>
  <si>
    <r>
      <t xml:space="preserve">1. по разработке документации на проведение тех.обследования здания средней школы сумма </t>
    </r>
    <r>
      <rPr>
        <b/>
        <sz val="10"/>
        <rFont val="Times New Roman"/>
        <family val="1"/>
        <charset val="204"/>
      </rPr>
      <t>110,0</t>
    </r>
    <r>
      <rPr>
        <sz val="10"/>
        <rFont val="Times New Roman"/>
        <family val="1"/>
        <charset val="204"/>
      </rPr>
      <t xml:space="preserve">трна основ.ПП №298810 от 08.04.2020Г. 2.по разработке ПСД на Капремонт здания средней школы на сумму </t>
    </r>
    <r>
      <rPr>
        <b/>
        <sz val="10"/>
        <rFont val="Times New Roman"/>
        <family val="1"/>
        <charset val="204"/>
      </rPr>
      <t>119,691</t>
    </r>
    <r>
      <rPr>
        <sz val="10"/>
        <rFont val="Times New Roman"/>
        <family val="1"/>
        <charset val="204"/>
      </rPr>
      <t xml:space="preserve"> тр.на основ.ПП №380555 от 08.05.20г. 3.Текущ. ремонт здания школы </t>
    </r>
    <r>
      <rPr>
        <b/>
        <sz val="10"/>
        <rFont val="Times New Roman"/>
        <family val="1"/>
        <charset val="204"/>
      </rPr>
      <t>5</t>
    </r>
    <r>
      <rPr>
        <sz val="10"/>
        <rFont val="Times New Roman"/>
        <family val="1"/>
        <charset val="204"/>
      </rPr>
      <t xml:space="preserve">тр.ПП № 18133 от 24.12.2020г., </t>
    </r>
    <r>
      <rPr>
        <b/>
        <sz val="10"/>
        <rFont val="Times New Roman"/>
        <family val="1"/>
        <charset val="204"/>
      </rPr>
      <t>35,091</t>
    </r>
    <r>
      <rPr>
        <sz val="10"/>
        <rFont val="Times New Roman"/>
        <family val="1"/>
        <charset val="204"/>
      </rPr>
      <t xml:space="preserve">тр.ПП № 16754 от 24.12.2020г., </t>
    </r>
    <r>
      <rPr>
        <b/>
        <sz val="10"/>
        <rFont val="Times New Roman"/>
        <family val="1"/>
        <charset val="204"/>
      </rPr>
      <t>186,879</t>
    </r>
    <r>
      <rPr>
        <sz val="10"/>
        <rFont val="Times New Roman"/>
        <family val="1"/>
        <charset val="204"/>
      </rPr>
      <t xml:space="preserve">тр.ПП № 16752 от 24.12.2020г., </t>
    </r>
    <r>
      <rPr>
        <b/>
        <sz val="10"/>
        <rFont val="Times New Roman"/>
        <family val="1"/>
        <charset val="204"/>
      </rPr>
      <t>32,310</t>
    </r>
    <r>
      <rPr>
        <sz val="10"/>
        <rFont val="Times New Roman"/>
        <family val="1"/>
        <charset val="204"/>
      </rPr>
      <t>тр.ПП № 39907 от 28.12.2020г.</t>
    </r>
  </si>
  <si>
    <t>Платежное поручение* №128911 от 13.02.2020г</t>
  </si>
  <si>
    <t>Платежное поручение* далее в тексте П/П</t>
  </si>
  <si>
    <t>Исполнение бюджетных ассигнований, направленных на исполнение публичных нормативных обязательств по муниципальному образованию "Онгудайский район" за 2020 год</t>
  </si>
  <si>
    <t>Отчет о целевом использовании бюджетных ассигнований, выделенных из Резервного фонда  Администрации района (аймака) муниципального образования  "Онгудайский район"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</si>
</sst>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0.00000"/>
    <numFmt numFmtId="167" formatCode="0.000"/>
    <numFmt numFmtId="168" formatCode="0.0"/>
    <numFmt numFmtId="169" formatCode="#,##0.00_ ;\-#,##0.00\ "/>
    <numFmt numFmtId="170" formatCode="_-* #,##0.00000\ _₽_-;\-* #,##0.00000\ _₽_-;_-* &quot;-&quot;??\ _₽_-;_-@_-"/>
    <numFmt numFmtId="171" formatCode="_-* #,##0.0_р_._-;\-* #,##0.0_р_._-;_-* &quot;-&quot;??_р_._-;_-@_-"/>
    <numFmt numFmtId="172" formatCode="_-* #,##0.0000_р_._-;\-* #,##0.0000_р_._-;_-* &quot;-&quot;??_р_._-;_-@_-"/>
    <numFmt numFmtId="173" formatCode="_-* #,##0.000_р_._-;\-* #,##0.000_р_._-;_-* &quot;-&quot;??_р_._-;_-@_-"/>
    <numFmt numFmtId="174" formatCode="_-* #,##0_р_._-;\-* #,##0_р_._-;_-* &quot;-&quot;?_р_._-;_-@_-"/>
    <numFmt numFmtId="175" formatCode="###\ ###\ ###\ ###\ ##0.00"/>
    <numFmt numFmtId="176" formatCode="dd\.mm\.yyyy"/>
    <numFmt numFmtId="177" formatCode="_-* #,##0.00&quot;р.&quot;_-;\-* #,##0.00&quot;р.&quot;_-;_-* &quot;-&quot;??&quot;р.&quot;_-;_-@_-"/>
    <numFmt numFmtId="178" formatCode="_(* #,##0.00_);_(* \(#,##0.00\);_(* &quot;-&quot;??_);_(@_)"/>
  </numFmts>
  <fonts count="8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1"/>
    </font>
    <font>
      <u/>
      <sz val="11"/>
      <color theme="10"/>
      <name val="Calibri"/>
      <family val="2"/>
      <charset val="204"/>
      <scheme val="minor"/>
    </font>
    <font>
      <sz val="10"/>
      <color indexed="64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MS Sans Serif"/>
      <family val="2"/>
      <charset val="204"/>
    </font>
    <font>
      <b/>
      <sz val="10"/>
      <name val="Arial Cyr"/>
      <charset val="204"/>
    </font>
    <font>
      <b/>
      <sz val="10"/>
      <name val="Arial Cyr"/>
      <family val="2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Arial Cyr"/>
      <charset val="204"/>
    </font>
    <font>
      <b/>
      <sz val="14"/>
      <name val="Times New Roman"/>
      <family val="1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Arial Cyr"/>
      <charset val="204"/>
    </font>
    <font>
      <b/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Arial Cyr"/>
      <charset val="204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sz val="12"/>
      <name val="Arial Cyr"/>
      <family val="2"/>
      <charset val="204"/>
    </font>
    <font>
      <b/>
      <sz val="9"/>
      <color indexed="81"/>
      <name val="Tahoma"/>
      <family val="2"/>
      <charset val="204"/>
    </font>
    <font>
      <b/>
      <sz val="11"/>
      <color theme="1"/>
      <name val="Times New Roman"/>
      <family val="1"/>
      <charset val="204"/>
    </font>
    <font>
      <sz val="10"/>
      <color indexed="64"/>
      <name val="Arial"/>
      <charset val="1"/>
    </font>
    <font>
      <sz val="8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i/>
      <sz val="8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b/>
      <sz val="11"/>
      <name val="Arial"/>
      <family val="2"/>
      <charset val="204"/>
    </font>
    <font>
      <sz val="11"/>
      <name val="Calibri"/>
      <family val="2"/>
    </font>
    <font>
      <sz val="9"/>
      <color rgb="FF000000"/>
      <name val="Times New Roman"/>
      <family val="1"/>
      <charset val="204"/>
    </font>
    <font>
      <b/>
      <sz val="12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6"/>
      <name val="Arial"/>
      <family val="2"/>
      <charset val="204"/>
    </font>
    <font>
      <sz val="6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11"/>
      <color theme="1"/>
      <name val="Calibri"/>
      <family val="2"/>
    </font>
    <font>
      <sz val="8"/>
      <color indexed="8"/>
      <name val="Arial"/>
      <family val="2"/>
      <charset val="204"/>
    </font>
    <font>
      <sz val="12"/>
      <name val="Arial"/>
      <family val="2"/>
      <charset val="204"/>
    </font>
    <font>
      <b/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CCCC"/>
      </patternFill>
    </fill>
    <fill>
      <patternFill patternType="solid">
        <fgColor rgb="FFCCCCCC"/>
        <bgColor indexed="64"/>
      </patternFill>
    </fill>
    <fill>
      <patternFill patternType="solid">
        <fgColor rgb="FFFFFFFF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556">
    <xf numFmtId="0" fontId="0" fillId="0" borderId="0"/>
    <xf numFmtId="0" fontId="13" fillId="0" borderId="0"/>
    <xf numFmtId="0" fontId="11" fillId="0" borderId="0"/>
    <xf numFmtId="0" fontId="15" fillId="0" borderId="0"/>
    <xf numFmtId="0" fontId="13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165" fontId="19" fillId="0" borderId="0" applyFont="0" applyFill="0" applyBorder="0" applyAlignment="0" applyProtection="0"/>
    <xf numFmtId="0" fontId="22" fillId="0" borderId="0"/>
    <xf numFmtId="0" fontId="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4" fillId="0" borderId="0"/>
    <xf numFmtId="0" fontId="11" fillId="0" borderId="0"/>
    <xf numFmtId="0" fontId="25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26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2" fillId="0" borderId="0"/>
    <xf numFmtId="0" fontId="13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9" fontId="14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24" fillId="0" borderId="0"/>
    <xf numFmtId="0" fontId="10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55" fillId="0" borderId="0"/>
    <xf numFmtId="0" fontId="33" fillId="0" borderId="0"/>
    <xf numFmtId="0" fontId="59" fillId="0" borderId="0">
      <alignment horizontal="left"/>
    </xf>
    <xf numFmtId="0" fontId="33" fillId="0" borderId="0"/>
    <xf numFmtId="0" fontId="59" fillId="0" borderId="0">
      <alignment horizontal="left"/>
    </xf>
    <xf numFmtId="0" fontId="59" fillId="0" borderId="0"/>
    <xf numFmtId="0" fontId="13" fillId="0" borderId="0"/>
    <xf numFmtId="0" fontId="59" fillId="0" borderId="0"/>
    <xf numFmtId="0" fontId="13" fillId="0" borderId="0"/>
    <xf numFmtId="0" fontId="33" fillId="0" borderId="0"/>
    <xf numFmtId="0" fontId="59" fillId="0" borderId="0">
      <alignment horizontal="left"/>
    </xf>
    <xf numFmtId="49" fontId="60" fillId="0" borderId="0">
      <alignment horizontal="center"/>
    </xf>
    <xf numFmtId="49" fontId="56" fillId="0" borderId="26"/>
    <xf numFmtId="49" fontId="60" fillId="0" borderId="27">
      <alignment horizontal="center" wrapText="1"/>
    </xf>
    <xf numFmtId="4" fontId="56" fillId="0" borderId="28">
      <alignment horizontal="right"/>
    </xf>
    <xf numFmtId="49" fontId="60" fillId="0" borderId="29">
      <alignment horizontal="center" wrapText="1"/>
    </xf>
    <xf numFmtId="4" fontId="56" fillId="0" borderId="29">
      <alignment horizontal="right"/>
    </xf>
    <xf numFmtId="49" fontId="60" fillId="0" borderId="28">
      <alignment horizontal="center"/>
    </xf>
    <xf numFmtId="49" fontId="56" fillId="0" borderId="0">
      <alignment horizontal="right"/>
    </xf>
    <xf numFmtId="49" fontId="60" fillId="0" borderId="26"/>
    <xf numFmtId="0" fontId="56" fillId="0" borderId="26"/>
    <xf numFmtId="4" fontId="60" fillId="0" borderId="28">
      <alignment horizontal="right"/>
    </xf>
    <xf numFmtId="4" fontId="56" fillId="0" borderId="30">
      <alignment horizontal="right"/>
    </xf>
    <xf numFmtId="4" fontId="60" fillId="0" borderId="27">
      <alignment horizontal="right"/>
    </xf>
    <xf numFmtId="49" fontId="56" fillId="0" borderId="31">
      <alignment horizontal="center"/>
    </xf>
    <xf numFmtId="49" fontId="60" fillId="0" borderId="0">
      <alignment horizontal="right"/>
    </xf>
    <xf numFmtId="4" fontId="56" fillId="0" borderId="32">
      <alignment horizontal="right"/>
    </xf>
    <xf numFmtId="4" fontId="60" fillId="0" borderId="30">
      <alignment horizontal="right"/>
    </xf>
    <xf numFmtId="0" fontId="61" fillId="0" borderId="0">
      <alignment horizontal="center"/>
    </xf>
    <xf numFmtId="49" fontId="60" fillId="0" borderId="31">
      <alignment horizontal="center"/>
    </xf>
    <xf numFmtId="0" fontId="61" fillId="0" borderId="26"/>
    <xf numFmtId="4" fontId="60" fillId="0" borderId="33">
      <alignment horizontal="right"/>
    </xf>
    <xf numFmtId="0" fontId="56" fillId="0" borderId="34">
      <alignment horizontal="left" wrapText="1"/>
    </xf>
    <xf numFmtId="0" fontId="60" fillId="0" borderId="35">
      <alignment horizontal="left" wrapText="1"/>
    </xf>
    <xf numFmtId="0" fontId="56" fillId="0" borderId="36">
      <alignment horizontal="left" wrapText="1" indent="1"/>
    </xf>
    <xf numFmtId="0" fontId="62" fillId="0" borderId="37">
      <alignment horizontal="left" wrapText="1"/>
    </xf>
    <xf numFmtId="0" fontId="56" fillId="0" borderId="34">
      <alignment horizontal="left" wrapText="1" indent="2"/>
    </xf>
    <xf numFmtId="0" fontId="60" fillId="0" borderId="38">
      <alignment horizontal="left" wrapText="1" indent="2"/>
    </xf>
    <xf numFmtId="0" fontId="56" fillId="0" borderId="39">
      <alignment horizontal="left" wrapText="1" indent="2"/>
    </xf>
    <xf numFmtId="0" fontId="59" fillId="0" borderId="40"/>
    <xf numFmtId="0" fontId="34" fillId="0" borderId="26">
      <alignment wrapText="1"/>
    </xf>
    <xf numFmtId="0" fontId="60" fillId="0" borderId="26"/>
    <xf numFmtId="0" fontId="34" fillId="0" borderId="41">
      <alignment wrapText="1"/>
    </xf>
    <xf numFmtId="0" fontId="59" fillId="0" borderId="26"/>
    <xf numFmtId="0" fontId="34" fillId="0" borderId="40">
      <alignment wrapText="1"/>
    </xf>
    <xf numFmtId="0" fontId="62" fillId="0" borderId="0">
      <alignment horizontal="center"/>
    </xf>
    <xf numFmtId="0" fontId="56" fillId="0" borderId="0">
      <alignment horizontal="center" wrapText="1"/>
    </xf>
    <xf numFmtId="0" fontId="62" fillId="0" borderId="26"/>
    <xf numFmtId="49" fontId="56" fillId="0" borderId="26">
      <alignment horizontal="left"/>
    </xf>
    <xf numFmtId="0" fontId="60" fillId="0" borderId="34">
      <alignment horizontal="left" wrapText="1"/>
    </xf>
    <xf numFmtId="49" fontId="56" fillId="0" borderId="42">
      <alignment horizontal="center" wrapText="1"/>
    </xf>
    <xf numFmtId="0" fontId="60" fillId="0" borderId="36">
      <alignment horizontal="left" wrapText="1" indent="1"/>
    </xf>
    <xf numFmtId="49" fontId="56" fillId="0" borderId="42">
      <alignment horizontal="left" wrapText="1"/>
    </xf>
    <xf numFmtId="0" fontId="60" fillId="0" borderId="34">
      <alignment horizontal="left" wrapText="1" indent="2"/>
    </xf>
    <xf numFmtId="49" fontId="56" fillId="0" borderId="42">
      <alignment horizontal="center" shrinkToFit="1"/>
    </xf>
    <xf numFmtId="0" fontId="59" fillId="3" borderId="43"/>
    <xf numFmtId="49" fontId="56" fillId="0" borderId="26">
      <alignment horizontal="center"/>
    </xf>
    <xf numFmtId="0" fontId="60" fillId="0" borderId="39">
      <alignment horizontal="left" wrapText="1" indent="2"/>
    </xf>
    <xf numFmtId="0" fontId="56" fillId="0" borderId="40">
      <alignment horizontal="center"/>
    </xf>
    <xf numFmtId="0" fontId="60" fillId="0" borderId="0">
      <alignment horizontal="center" wrapText="1"/>
    </xf>
    <xf numFmtId="0" fontId="56" fillId="0" borderId="0">
      <alignment horizontal="center"/>
    </xf>
    <xf numFmtId="49" fontId="60" fillId="0" borderId="26">
      <alignment horizontal="left"/>
    </xf>
    <xf numFmtId="49" fontId="56" fillId="0" borderId="26"/>
    <xf numFmtId="49" fontId="60" fillId="0" borderId="42">
      <alignment horizontal="center" wrapText="1"/>
    </xf>
    <xf numFmtId="49" fontId="56" fillId="0" borderId="28">
      <alignment horizontal="center" shrinkToFit="1"/>
    </xf>
    <xf numFmtId="49" fontId="60" fillId="0" borderId="42">
      <alignment horizontal="center" shrinkToFit="1"/>
    </xf>
    <xf numFmtId="0" fontId="56" fillId="0" borderId="40"/>
    <xf numFmtId="49" fontId="60" fillId="0" borderId="28">
      <alignment horizontal="center" shrinkToFit="1"/>
    </xf>
    <xf numFmtId="0" fontId="56" fillId="0" borderId="26">
      <alignment horizontal="center"/>
    </xf>
    <xf numFmtId="0" fontId="60" fillId="0" borderId="44">
      <alignment horizontal="left" wrapText="1"/>
    </xf>
    <xf numFmtId="49" fontId="56" fillId="0" borderId="40">
      <alignment horizontal="center"/>
    </xf>
    <xf numFmtId="0" fontId="60" fillId="0" borderId="35">
      <alignment horizontal="left" wrapText="1" indent="1"/>
    </xf>
    <xf numFmtId="49" fontId="56" fillId="0" borderId="0">
      <alignment horizontal="left"/>
    </xf>
    <xf numFmtId="0" fontId="60" fillId="0" borderId="44">
      <alignment horizontal="left" wrapText="1" indent="2"/>
    </xf>
    <xf numFmtId="0" fontId="13" fillId="0" borderId="26"/>
    <xf numFmtId="0" fontId="60" fillId="0" borderId="35">
      <alignment horizontal="left" wrapText="1" indent="2"/>
    </xf>
    <xf numFmtId="0" fontId="13" fillId="0" borderId="40"/>
    <xf numFmtId="0" fontId="59" fillId="0" borderId="45"/>
    <xf numFmtId="49" fontId="56" fillId="0" borderId="30">
      <alignment horizontal="center"/>
    </xf>
    <xf numFmtId="0" fontId="59" fillId="0" borderId="46"/>
    <xf numFmtId="0" fontId="61" fillId="0" borderId="47">
      <alignment horizontal="center" vertical="center" textRotation="90" wrapText="1"/>
    </xf>
    <xf numFmtId="0" fontId="62" fillId="0" borderId="47">
      <alignment horizontal="center" vertical="center" textRotation="90" wrapText="1"/>
    </xf>
    <xf numFmtId="0" fontId="61" fillId="0" borderId="40">
      <alignment horizontal="center" vertical="center" textRotation="90" wrapText="1"/>
    </xf>
    <xf numFmtId="0" fontId="62" fillId="0" borderId="40">
      <alignment horizontal="center" vertical="center" textRotation="90" wrapText="1"/>
    </xf>
    <xf numFmtId="0" fontId="56" fillId="0" borderId="0">
      <alignment vertical="center"/>
    </xf>
    <xf numFmtId="0" fontId="60" fillId="0" borderId="0">
      <alignment vertical="center"/>
    </xf>
    <xf numFmtId="0" fontId="61" fillId="0" borderId="47">
      <alignment horizontal="center" vertical="center" textRotation="90"/>
    </xf>
    <xf numFmtId="0" fontId="62" fillId="0" borderId="26">
      <alignment horizontal="center" vertical="center" textRotation="90" wrapText="1"/>
    </xf>
    <xf numFmtId="49" fontId="56" fillId="0" borderId="41">
      <alignment horizontal="center" vertical="center" wrapText="1"/>
    </xf>
    <xf numFmtId="0" fontId="62" fillId="0" borderId="40">
      <alignment horizontal="center" vertical="center" textRotation="90"/>
    </xf>
    <xf numFmtId="0" fontId="61" fillId="0" borderId="48"/>
    <xf numFmtId="0" fontId="62" fillId="0" borderId="26">
      <alignment horizontal="center" vertical="center" textRotation="90"/>
    </xf>
    <xf numFmtId="49" fontId="63" fillId="0" borderId="49">
      <alignment horizontal="left" vertical="center" wrapText="1"/>
    </xf>
    <xf numFmtId="0" fontId="62" fillId="0" borderId="47">
      <alignment horizontal="center" vertical="center" textRotation="90"/>
    </xf>
    <xf numFmtId="49" fontId="56" fillId="0" borderId="50">
      <alignment horizontal="left" vertical="center" wrapText="1" indent="2"/>
    </xf>
    <xf numFmtId="0" fontId="62" fillId="0" borderId="41">
      <alignment horizontal="center" vertical="center" textRotation="90"/>
    </xf>
    <xf numFmtId="49" fontId="56" fillId="0" borderId="39">
      <alignment horizontal="left" vertical="center" wrapText="1" indent="3"/>
    </xf>
    <xf numFmtId="0" fontId="64" fillId="0" borderId="26">
      <alignment wrapText="1"/>
    </xf>
    <xf numFmtId="49" fontId="56" fillId="0" borderId="49">
      <alignment horizontal="left" vertical="center" wrapText="1" indent="3"/>
    </xf>
    <xf numFmtId="0" fontId="64" fillId="0" borderId="41">
      <alignment wrapText="1"/>
    </xf>
    <xf numFmtId="49" fontId="56" fillId="0" borderId="51">
      <alignment horizontal="left" vertical="center" wrapText="1" indent="3"/>
    </xf>
    <xf numFmtId="0" fontId="64" fillId="0" borderId="40">
      <alignment wrapText="1"/>
    </xf>
    <xf numFmtId="0" fontId="63" fillId="0" borderId="48">
      <alignment horizontal="left" vertical="center" wrapText="1"/>
    </xf>
    <xf numFmtId="0" fontId="60" fillId="0" borderId="41">
      <alignment horizontal="center" vertical="top" wrapText="1"/>
    </xf>
    <xf numFmtId="49" fontId="56" fillId="0" borderId="40">
      <alignment horizontal="left" vertical="center" wrapText="1" indent="3"/>
    </xf>
    <xf numFmtId="0" fontId="62" fillId="0" borderId="48"/>
    <xf numFmtId="49" fontId="56" fillId="0" borderId="0">
      <alignment horizontal="left" vertical="center" wrapText="1" indent="3"/>
    </xf>
    <xf numFmtId="49" fontId="65" fillId="0" borderId="49">
      <alignment horizontal="left" vertical="center" wrapText="1"/>
    </xf>
    <xf numFmtId="49" fontId="56" fillId="0" borderId="26">
      <alignment horizontal="left" vertical="center" wrapText="1" indent="3"/>
    </xf>
    <xf numFmtId="49" fontId="60" fillId="0" borderId="50">
      <alignment horizontal="left" vertical="center" wrapText="1" indent="2"/>
    </xf>
    <xf numFmtId="49" fontId="63" fillId="0" borderId="48">
      <alignment horizontal="left" vertical="center" wrapText="1"/>
    </xf>
    <xf numFmtId="49" fontId="60" fillId="0" borderId="39">
      <alignment horizontal="left" vertical="center" wrapText="1" indent="3"/>
    </xf>
    <xf numFmtId="49" fontId="56" fillId="0" borderId="52">
      <alignment horizontal="center" vertical="center" wrapText="1"/>
    </xf>
    <xf numFmtId="49" fontId="60" fillId="0" borderId="49">
      <alignment horizontal="left" vertical="center" wrapText="1" indent="3"/>
    </xf>
    <xf numFmtId="49" fontId="61" fillId="0" borderId="53">
      <alignment horizontal="center"/>
    </xf>
    <xf numFmtId="49" fontId="60" fillId="0" borderId="51">
      <alignment horizontal="left" vertical="center" wrapText="1" indent="3"/>
    </xf>
    <xf numFmtId="49" fontId="61" fillId="0" borderId="54">
      <alignment horizontal="center" vertical="center" wrapText="1"/>
    </xf>
    <xf numFmtId="0" fontId="65" fillId="0" borderId="48">
      <alignment horizontal="left" vertical="center" wrapText="1"/>
    </xf>
    <xf numFmtId="49" fontId="56" fillId="0" borderId="55">
      <alignment horizontal="center" vertical="center" wrapText="1"/>
    </xf>
    <xf numFmtId="49" fontId="60" fillId="0" borderId="40">
      <alignment horizontal="left" vertical="center" wrapText="1" indent="3"/>
    </xf>
    <xf numFmtId="49" fontId="56" fillId="0" borderId="42">
      <alignment horizontal="center" vertical="center" wrapText="1"/>
    </xf>
    <xf numFmtId="49" fontId="60" fillId="0" borderId="0">
      <alignment horizontal="left" vertical="center" wrapText="1" indent="3"/>
    </xf>
    <xf numFmtId="49" fontId="56" fillId="0" borderId="54">
      <alignment horizontal="center" vertical="center" wrapText="1"/>
    </xf>
    <xf numFmtId="49" fontId="60" fillId="0" borderId="26">
      <alignment horizontal="left" vertical="center" wrapText="1" indent="3"/>
    </xf>
    <xf numFmtId="49" fontId="56" fillId="0" borderId="56">
      <alignment horizontal="center" vertical="center" wrapText="1"/>
    </xf>
    <xf numFmtId="49" fontId="65" fillId="0" borderId="48">
      <alignment horizontal="left" vertical="center" wrapText="1"/>
    </xf>
    <xf numFmtId="49" fontId="56" fillId="0" borderId="57">
      <alignment horizontal="center" vertical="center" wrapText="1"/>
    </xf>
    <xf numFmtId="0" fontId="60" fillId="0" borderId="49">
      <alignment horizontal="left" vertical="center" wrapText="1"/>
    </xf>
    <xf numFmtId="49" fontId="56" fillId="0" borderId="0">
      <alignment horizontal="center" vertical="center" wrapText="1"/>
    </xf>
    <xf numFmtId="0" fontId="60" fillId="0" borderId="51">
      <alignment horizontal="left" vertical="center" wrapText="1"/>
    </xf>
    <xf numFmtId="49" fontId="56" fillId="0" borderId="26">
      <alignment horizontal="center" vertical="center" wrapText="1"/>
    </xf>
    <xf numFmtId="49" fontId="60" fillId="0" borderId="49">
      <alignment horizontal="left" vertical="center" wrapText="1"/>
    </xf>
    <xf numFmtId="49" fontId="61" fillId="0" borderId="53">
      <alignment horizontal="center" vertical="center" wrapText="1"/>
    </xf>
    <xf numFmtId="49" fontId="60" fillId="0" borderId="51">
      <alignment horizontal="left" vertical="center" wrapText="1"/>
    </xf>
    <xf numFmtId="0" fontId="56" fillId="0" borderId="41">
      <alignment horizontal="center" vertical="top"/>
    </xf>
    <xf numFmtId="49" fontId="62" fillId="0" borderId="53">
      <alignment horizontal="center"/>
    </xf>
    <xf numFmtId="49" fontId="56" fillId="0" borderId="41">
      <alignment horizontal="center" vertical="top" wrapText="1"/>
    </xf>
    <xf numFmtId="49" fontId="62" fillId="0" borderId="54">
      <alignment horizontal="center" vertical="center" wrapText="1"/>
    </xf>
    <xf numFmtId="4" fontId="56" fillId="0" borderId="27">
      <alignment horizontal="right"/>
    </xf>
    <xf numFmtId="49" fontId="60" fillId="0" borderId="55">
      <alignment horizontal="center" vertical="center" wrapText="1"/>
    </xf>
    <xf numFmtId="0" fontId="56" fillId="0" borderId="45"/>
    <xf numFmtId="49" fontId="60" fillId="0" borderId="42">
      <alignment horizontal="center" vertical="center" wrapText="1"/>
    </xf>
    <xf numFmtId="4" fontId="56" fillId="0" borderId="52">
      <alignment horizontal="right"/>
    </xf>
    <xf numFmtId="49" fontId="60" fillId="0" borderId="54">
      <alignment horizontal="center" vertical="center" wrapText="1"/>
    </xf>
    <xf numFmtId="4" fontId="56" fillId="0" borderId="57">
      <alignment horizontal="right" shrinkToFit="1"/>
    </xf>
    <xf numFmtId="49" fontId="60" fillId="0" borderId="56">
      <alignment horizontal="center" vertical="center" wrapText="1"/>
    </xf>
    <xf numFmtId="4" fontId="56" fillId="0" borderId="0">
      <alignment horizontal="right" shrinkToFit="1"/>
    </xf>
    <xf numFmtId="49" fontId="60" fillId="0" borderId="57">
      <alignment horizontal="center" vertical="center" wrapText="1"/>
    </xf>
    <xf numFmtId="0" fontId="61" fillId="0" borderId="41">
      <alignment horizontal="center" vertical="top"/>
    </xf>
    <xf numFmtId="49" fontId="60" fillId="0" borderId="0">
      <alignment horizontal="center" vertical="center" wrapText="1"/>
    </xf>
    <xf numFmtId="0" fontId="56" fillId="0" borderId="41">
      <alignment horizontal="center" vertical="top" wrapText="1"/>
    </xf>
    <xf numFmtId="49" fontId="60" fillId="0" borderId="26">
      <alignment horizontal="center" vertical="center" wrapText="1"/>
    </xf>
    <xf numFmtId="0" fontId="56" fillId="0" borderId="41">
      <alignment horizontal="center" vertical="top"/>
    </xf>
    <xf numFmtId="49" fontId="62" fillId="0" borderId="53">
      <alignment horizontal="center" vertical="center" wrapText="1"/>
    </xf>
    <xf numFmtId="4" fontId="56" fillId="0" borderId="33">
      <alignment horizontal="right"/>
    </xf>
    <xf numFmtId="0" fontId="62" fillId="0" borderId="53">
      <alignment horizontal="center" vertical="center"/>
    </xf>
    <xf numFmtId="0" fontId="56" fillId="0" borderId="46"/>
    <xf numFmtId="0" fontId="60" fillId="0" borderId="55">
      <alignment horizontal="center" vertical="center"/>
    </xf>
    <xf numFmtId="4" fontId="56" fillId="0" borderId="58">
      <alignment horizontal="right"/>
    </xf>
    <xf numFmtId="0" fontId="60" fillId="0" borderId="42">
      <alignment horizontal="center" vertical="center"/>
    </xf>
    <xf numFmtId="0" fontId="56" fillId="0" borderId="26">
      <alignment horizontal="right"/>
    </xf>
    <xf numFmtId="0" fontId="60" fillId="0" borderId="54">
      <alignment horizontal="center" vertical="center"/>
    </xf>
    <xf numFmtId="0" fontId="61" fillId="0" borderId="41">
      <alignment horizontal="center" vertical="top"/>
    </xf>
    <xf numFmtId="0" fontId="62" fillId="0" borderId="54">
      <alignment horizontal="center" vertical="center"/>
    </xf>
    <xf numFmtId="0" fontId="60" fillId="0" borderId="56">
      <alignment horizontal="center" vertical="center"/>
    </xf>
    <xf numFmtId="49" fontId="62" fillId="0" borderId="53">
      <alignment horizontal="center" vertical="center"/>
    </xf>
    <xf numFmtId="49" fontId="60" fillId="0" borderId="55">
      <alignment horizontal="center" vertical="center"/>
    </xf>
    <xf numFmtId="49" fontId="60" fillId="0" borderId="42">
      <alignment horizontal="center" vertical="center"/>
    </xf>
    <xf numFmtId="49" fontId="60" fillId="0" borderId="54">
      <alignment horizontal="center" vertical="center"/>
    </xf>
    <xf numFmtId="49" fontId="60" fillId="0" borderId="56">
      <alignment horizontal="center" vertical="center"/>
    </xf>
    <xf numFmtId="49" fontId="60" fillId="0" borderId="26">
      <alignment horizontal="center"/>
    </xf>
    <xf numFmtId="0" fontId="60" fillId="0" borderId="40">
      <alignment horizontal="center"/>
    </xf>
    <xf numFmtId="0" fontId="60" fillId="0" borderId="0">
      <alignment horizontal="center"/>
    </xf>
    <xf numFmtId="49" fontId="60" fillId="0" borderId="26"/>
    <xf numFmtId="0" fontId="60" fillId="0" borderId="41">
      <alignment horizontal="center" vertical="top"/>
    </xf>
    <xf numFmtId="49" fontId="60" fillId="0" borderId="41">
      <alignment horizontal="center" vertical="top" wrapText="1"/>
    </xf>
    <xf numFmtId="0" fontId="60" fillId="0" borderId="45"/>
    <xf numFmtId="4" fontId="60" fillId="0" borderId="52">
      <alignment horizontal="right"/>
    </xf>
    <xf numFmtId="4" fontId="60" fillId="0" borderId="57">
      <alignment horizontal="right"/>
    </xf>
    <xf numFmtId="4" fontId="60" fillId="0" borderId="0">
      <alignment horizontal="right" shrinkToFit="1"/>
    </xf>
    <xf numFmtId="4" fontId="60" fillId="0" borderId="26">
      <alignment horizontal="right"/>
    </xf>
    <xf numFmtId="0" fontId="60" fillId="0" borderId="40"/>
    <xf numFmtId="0" fontId="60" fillId="0" borderId="41">
      <alignment horizontal="center" vertical="top" wrapText="1"/>
    </xf>
    <xf numFmtId="0" fontId="60" fillId="0" borderId="26">
      <alignment horizontal="center"/>
    </xf>
    <xf numFmtId="49" fontId="60" fillId="0" borderId="40">
      <alignment horizontal="center"/>
    </xf>
    <xf numFmtId="49" fontId="60" fillId="0" borderId="0">
      <alignment horizontal="left"/>
    </xf>
    <xf numFmtId="4" fontId="60" fillId="0" borderId="45">
      <alignment horizontal="right"/>
    </xf>
    <xf numFmtId="0" fontId="60" fillId="0" borderId="41">
      <alignment horizontal="center" vertical="top"/>
    </xf>
    <xf numFmtId="4" fontId="60" fillId="0" borderId="46">
      <alignment horizontal="right"/>
    </xf>
    <xf numFmtId="4" fontId="60" fillId="0" borderId="58">
      <alignment horizontal="right"/>
    </xf>
    <xf numFmtId="0" fontId="60" fillId="0" borderId="46"/>
    <xf numFmtId="0" fontId="66" fillId="0" borderId="59"/>
    <xf numFmtId="0" fontId="59" fillId="3" borderId="0"/>
    <xf numFmtId="0" fontId="13" fillId="4" borderId="0"/>
    <xf numFmtId="0" fontId="62" fillId="0" borderId="0"/>
    <xf numFmtId="0" fontId="61" fillId="0" borderId="0"/>
    <xf numFmtId="0" fontId="67" fillId="0" borderId="0"/>
    <xf numFmtId="0" fontId="68" fillId="0" borderId="0"/>
    <xf numFmtId="0" fontId="60" fillId="0" borderId="0">
      <alignment horizontal="left"/>
    </xf>
    <xf numFmtId="0" fontId="56" fillId="0" borderId="0">
      <alignment horizontal="left"/>
    </xf>
    <xf numFmtId="0" fontId="60" fillId="0" borderId="0"/>
    <xf numFmtId="0" fontId="56" fillId="0" borderId="0"/>
    <xf numFmtId="0" fontId="66" fillId="0" borderId="0"/>
    <xf numFmtId="0" fontId="69" fillId="0" borderId="0"/>
    <xf numFmtId="0" fontId="59" fillId="0" borderId="0"/>
    <xf numFmtId="0" fontId="13" fillId="4" borderId="26"/>
    <xf numFmtId="49" fontId="70" fillId="5" borderId="41">
      <alignment horizontal="left" wrapText="1"/>
    </xf>
    <xf numFmtId="0" fontId="56" fillId="0" borderId="47">
      <alignment horizontal="center" vertical="top" wrapText="1"/>
    </xf>
    <xf numFmtId="49" fontId="60" fillId="0" borderId="41">
      <alignment horizontal="center" vertical="center" wrapText="1"/>
    </xf>
    <xf numFmtId="0" fontId="56" fillId="0" borderId="47">
      <alignment horizontal="center" vertical="center"/>
    </xf>
    <xf numFmtId="49" fontId="60" fillId="0" borderId="41">
      <alignment horizontal="center" vertical="center" wrapText="1"/>
    </xf>
    <xf numFmtId="0" fontId="13" fillId="4" borderId="60"/>
    <xf numFmtId="0" fontId="59" fillId="3" borderId="60"/>
    <xf numFmtId="0" fontId="56" fillId="0" borderId="61">
      <alignment horizontal="left" wrapText="1"/>
    </xf>
    <xf numFmtId="0" fontId="60" fillId="0" borderId="61">
      <alignment horizontal="left" wrapText="1"/>
    </xf>
    <xf numFmtId="0" fontId="56" fillId="0" borderId="34">
      <alignment horizontal="left" wrapText="1" indent="1"/>
    </xf>
    <xf numFmtId="0" fontId="60" fillId="0" borderId="34">
      <alignment horizontal="left" wrapText="1" indent="1"/>
    </xf>
    <xf numFmtId="0" fontId="56" fillId="0" borderId="48">
      <alignment horizontal="left" wrapText="1" indent="2"/>
    </xf>
    <xf numFmtId="0" fontId="60" fillId="0" borderId="31">
      <alignment horizontal="left" wrapText="1" indent="2"/>
    </xf>
    <xf numFmtId="0" fontId="13" fillId="4" borderId="43"/>
    <xf numFmtId="0" fontId="59" fillId="3" borderId="40"/>
    <xf numFmtId="0" fontId="71" fillId="0" borderId="0">
      <alignment horizontal="center" wrapText="1"/>
    </xf>
    <xf numFmtId="0" fontId="72" fillId="0" borderId="0">
      <alignment horizontal="center" wrapText="1"/>
    </xf>
    <xf numFmtId="0" fontId="73" fillId="0" borderId="0">
      <alignment horizontal="center" vertical="top"/>
    </xf>
    <xf numFmtId="0" fontId="74" fillId="0" borderId="0">
      <alignment horizontal="center" vertical="top"/>
    </xf>
    <xf numFmtId="0" fontId="56" fillId="0" borderId="26">
      <alignment wrapText="1"/>
    </xf>
    <xf numFmtId="0" fontId="60" fillId="0" borderId="26">
      <alignment wrapText="1"/>
    </xf>
    <xf numFmtId="0" fontId="56" fillId="0" borderId="60">
      <alignment wrapText="1"/>
    </xf>
    <xf numFmtId="0" fontId="60" fillId="0" borderId="60">
      <alignment wrapText="1"/>
    </xf>
    <xf numFmtId="0" fontId="56" fillId="0" borderId="40">
      <alignment horizontal="left"/>
    </xf>
    <xf numFmtId="0" fontId="60" fillId="0" borderId="40">
      <alignment horizontal="left"/>
    </xf>
    <xf numFmtId="0" fontId="56" fillId="0" borderId="41">
      <alignment horizontal="center" vertical="top" wrapText="1"/>
    </xf>
    <xf numFmtId="0" fontId="59" fillId="3" borderId="62"/>
    <xf numFmtId="0" fontId="56" fillId="0" borderId="52">
      <alignment horizontal="center" vertical="center"/>
    </xf>
    <xf numFmtId="49" fontId="60" fillId="0" borderId="53">
      <alignment horizontal="center" wrapText="1"/>
    </xf>
    <xf numFmtId="0" fontId="13" fillId="4" borderId="63"/>
    <xf numFmtId="49" fontId="60" fillId="0" borderId="55">
      <alignment horizontal="center" wrapText="1"/>
    </xf>
    <xf numFmtId="49" fontId="56" fillId="0" borderId="53">
      <alignment horizontal="center" wrapText="1"/>
    </xf>
    <xf numFmtId="49" fontId="60" fillId="0" borderId="54">
      <alignment horizontal="center"/>
    </xf>
    <xf numFmtId="49" fontId="56" fillId="0" borderId="55">
      <alignment horizontal="center" wrapText="1"/>
    </xf>
    <xf numFmtId="0" fontId="59" fillId="3" borderId="64"/>
    <xf numFmtId="49" fontId="56" fillId="0" borderId="54">
      <alignment horizontal="center"/>
    </xf>
    <xf numFmtId="0" fontId="60" fillId="0" borderId="57"/>
    <xf numFmtId="0" fontId="13" fillId="4" borderId="40"/>
    <xf numFmtId="0" fontId="60" fillId="0" borderId="0">
      <alignment horizontal="center"/>
    </xf>
    <xf numFmtId="0" fontId="13" fillId="4" borderId="64"/>
    <xf numFmtId="49" fontId="60" fillId="0" borderId="40"/>
    <xf numFmtId="0" fontId="56" fillId="0" borderId="57"/>
    <xf numFmtId="49" fontId="60" fillId="0" borderId="0"/>
    <xf numFmtId="0" fontId="56" fillId="0" borderId="0">
      <alignment horizontal="center"/>
    </xf>
    <xf numFmtId="49" fontId="60" fillId="0" borderId="27">
      <alignment horizontal="center"/>
    </xf>
    <xf numFmtId="49" fontId="56" fillId="0" borderId="40"/>
    <xf numFmtId="49" fontId="60" fillId="0" borderId="45">
      <alignment horizontal="center"/>
    </xf>
    <xf numFmtId="49" fontId="56" fillId="0" borderId="0"/>
    <xf numFmtId="49" fontId="60" fillId="0" borderId="41">
      <alignment horizontal="center"/>
    </xf>
    <xf numFmtId="0" fontId="56" fillId="0" borderId="41">
      <alignment horizontal="center" vertical="center"/>
    </xf>
    <xf numFmtId="49" fontId="60" fillId="0" borderId="41">
      <alignment horizontal="center" vertical="center" wrapText="1"/>
    </xf>
    <xf numFmtId="0" fontId="13" fillId="4" borderId="62"/>
    <xf numFmtId="49" fontId="60" fillId="0" borderId="52">
      <alignment horizontal="center" vertical="center" wrapText="1"/>
    </xf>
    <xf numFmtId="49" fontId="56" fillId="0" borderId="27">
      <alignment horizontal="center"/>
    </xf>
    <xf numFmtId="0" fontId="59" fillId="3" borderId="65"/>
    <xf numFmtId="49" fontId="56" fillId="0" borderId="45">
      <alignment horizontal="center"/>
    </xf>
    <xf numFmtId="4" fontId="60" fillId="0" borderId="41">
      <alignment horizontal="right"/>
    </xf>
    <xf numFmtId="49" fontId="56" fillId="0" borderId="41">
      <alignment horizontal="center"/>
    </xf>
    <xf numFmtId="0" fontId="60" fillId="5" borderId="57"/>
    <xf numFmtId="49" fontId="56" fillId="0" borderId="41">
      <alignment horizontal="center" vertical="top" wrapText="1"/>
    </xf>
    <xf numFmtId="0" fontId="60" fillId="5" borderId="0"/>
    <xf numFmtId="49" fontId="56" fillId="0" borderId="41">
      <alignment horizontal="center" vertical="top" wrapText="1"/>
    </xf>
    <xf numFmtId="0" fontId="72" fillId="0" borderId="0">
      <alignment horizontal="center" wrapText="1"/>
    </xf>
    <xf numFmtId="0" fontId="13" fillId="4" borderId="65"/>
    <xf numFmtId="0" fontId="75" fillId="0" borderId="66"/>
    <xf numFmtId="4" fontId="56" fillId="0" borderId="41">
      <alignment horizontal="right"/>
    </xf>
    <xf numFmtId="49" fontId="76" fillId="0" borderId="67">
      <alignment horizontal="right"/>
    </xf>
    <xf numFmtId="0" fontId="56" fillId="6" borderId="57"/>
    <xf numFmtId="0" fontId="60" fillId="0" borderId="67">
      <alignment horizontal="right"/>
    </xf>
    <xf numFmtId="49" fontId="56" fillId="0" borderId="68">
      <alignment horizontal="center" vertical="top"/>
    </xf>
    <xf numFmtId="0" fontId="75" fillId="0" borderId="26"/>
    <xf numFmtId="49" fontId="13" fillId="0" borderId="0"/>
    <xf numFmtId="0" fontId="60" fillId="0" borderId="52">
      <alignment horizontal="center"/>
    </xf>
    <xf numFmtId="0" fontId="56" fillId="0" borderId="0">
      <alignment horizontal="right"/>
    </xf>
    <xf numFmtId="49" fontId="59" fillId="0" borderId="69">
      <alignment horizontal="center"/>
    </xf>
    <xf numFmtId="49" fontId="56" fillId="0" borderId="0">
      <alignment horizontal="right"/>
    </xf>
    <xf numFmtId="176" fontId="60" fillId="0" borderId="37">
      <alignment horizontal="center"/>
    </xf>
    <xf numFmtId="0" fontId="77" fillId="0" borderId="0"/>
    <xf numFmtId="0" fontId="60" fillId="0" borderId="70">
      <alignment horizontal="center"/>
    </xf>
    <xf numFmtId="0" fontId="77" fillId="0" borderId="66"/>
    <xf numFmtId="49" fontId="60" fillId="0" borderId="38">
      <alignment horizontal="center"/>
    </xf>
    <xf numFmtId="49" fontId="78" fillId="0" borderId="67">
      <alignment horizontal="right"/>
    </xf>
    <xf numFmtId="49" fontId="60" fillId="0" borderId="37">
      <alignment horizontal="center"/>
    </xf>
    <xf numFmtId="0" fontId="56" fillId="0" borderId="67">
      <alignment horizontal="right"/>
    </xf>
    <xf numFmtId="0" fontId="60" fillId="0" borderId="37">
      <alignment horizontal="center"/>
    </xf>
    <xf numFmtId="0" fontId="77" fillId="0" borderId="26"/>
    <xf numFmtId="49" fontId="60" fillId="0" borderId="71">
      <alignment horizontal="center"/>
    </xf>
    <xf numFmtId="0" fontId="56" fillId="0" borderId="52">
      <alignment horizontal="center"/>
    </xf>
    <xf numFmtId="0" fontId="66" fillId="0" borderId="57"/>
    <xf numFmtId="49" fontId="13" fillId="0" borderId="69">
      <alignment horizontal="center"/>
    </xf>
    <xf numFmtId="0" fontId="75" fillId="0" borderId="0"/>
    <xf numFmtId="14" fontId="56" fillId="0" borderId="37">
      <alignment horizontal="center"/>
    </xf>
    <xf numFmtId="0" fontId="59" fillId="0" borderId="72"/>
    <xf numFmtId="0" fontId="56" fillId="0" borderId="70">
      <alignment horizontal="center"/>
    </xf>
    <xf numFmtId="0" fontId="59" fillId="0" borderId="59"/>
    <xf numFmtId="49" fontId="56" fillId="0" borderId="38">
      <alignment horizontal="center"/>
    </xf>
    <xf numFmtId="4" fontId="60" fillId="0" borderId="31">
      <alignment horizontal="right"/>
    </xf>
    <xf numFmtId="49" fontId="56" fillId="0" borderId="37">
      <alignment horizontal="center"/>
    </xf>
    <xf numFmtId="49" fontId="60" fillId="0" borderId="46">
      <alignment horizontal="center"/>
    </xf>
    <xf numFmtId="0" fontId="56" fillId="0" borderId="37">
      <alignment horizontal="center"/>
    </xf>
    <xf numFmtId="0" fontId="60" fillId="0" borderId="73">
      <alignment horizontal="left" wrapText="1"/>
    </xf>
    <xf numFmtId="49" fontId="56" fillId="0" borderId="71">
      <alignment horizontal="center"/>
    </xf>
    <xf numFmtId="0" fontId="60" fillId="0" borderId="44">
      <alignment horizontal="left" wrapText="1" indent="1"/>
    </xf>
    <xf numFmtId="0" fontId="69" fillId="0" borderId="57"/>
    <xf numFmtId="0" fontId="60" fillId="0" borderId="37">
      <alignment horizontal="left" wrapText="1" indent="2"/>
    </xf>
    <xf numFmtId="49" fontId="56" fillId="0" borderId="68">
      <alignment horizontal="center" vertical="top" wrapText="1"/>
    </xf>
    <xf numFmtId="0" fontId="59" fillId="3" borderId="74"/>
    <xf numFmtId="0" fontId="56" fillId="0" borderId="75">
      <alignment horizontal="center" vertical="center"/>
    </xf>
    <xf numFmtId="0" fontId="60" fillId="5" borderId="43"/>
    <xf numFmtId="4" fontId="56" fillId="0" borderId="31">
      <alignment horizontal="right"/>
    </xf>
    <xf numFmtId="0" fontId="72" fillId="0" borderId="0">
      <alignment horizontal="left" wrapText="1"/>
    </xf>
    <xf numFmtId="49" fontId="56" fillId="0" borderId="46">
      <alignment horizontal="center"/>
    </xf>
    <xf numFmtId="49" fontId="59" fillId="0" borderId="0"/>
    <xf numFmtId="0" fontId="56" fillId="0" borderId="0">
      <alignment horizontal="left" wrapText="1"/>
    </xf>
    <xf numFmtId="0" fontId="60" fillId="0" borderId="0">
      <alignment horizontal="right"/>
    </xf>
    <xf numFmtId="0" fontId="56" fillId="0" borderId="26">
      <alignment horizontal="left"/>
    </xf>
    <xf numFmtId="49" fontId="60" fillId="0" borderId="0">
      <alignment horizontal="right"/>
    </xf>
    <xf numFmtId="0" fontId="56" fillId="0" borderId="36">
      <alignment horizontal="left" wrapText="1"/>
    </xf>
    <xf numFmtId="0" fontId="60" fillId="0" borderId="0">
      <alignment horizontal="left" wrapText="1"/>
    </xf>
    <xf numFmtId="0" fontId="56" fillId="0" borderId="60"/>
    <xf numFmtId="0" fontId="60" fillId="0" borderId="26">
      <alignment horizontal="left"/>
    </xf>
    <xf numFmtId="0" fontId="61" fillId="0" borderId="76">
      <alignment horizontal="left" wrapText="1"/>
    </xf>
    <xf numFmtId="0" fontId="60" fillId="0" borderId="36">
      <alignment horizontal="left" wrapText="1"/>
    </xf>
    <xf numFmtId="0" fontId="56" fillId="0" borderId="30">
      <alignment horizontal="left" wrapText="1" indent="2"/>
    </xf>
    <xf numFmtId="0" fontId="60" fillId="0" borderId="60"/>
    <xf numFmtId="49" fontId="56" fillId="0" borderId="0">
      <alignment horizontal="center" wrapText="1"/>
    </xf>
    <xf numFmtId="0" fontId="62" fillId="0" borderId="76">
      <alignment horizontal="left" wrapText="1"/>
    </xf>
    <xf numFmtId="49" fontId="56" fillId="0" borderId="54">
      <alignment horizontal="center" wrapText="1"/>
    </xf>
    <xf numFmtId="0" fontId="60" fillId="0" borderId="30">
      <alignment horizontal="left" wrapText="1" indent="2"/>
    </xf>
    <xf numFmtId="0" fontId="56" fillId="0" borderId="63"/>
    <xf numFmtId="49" fontId="60" fillId="0" borderId="0">
      <alignment horizontal="center" wrapText="1"/>
    </xf>
    <xf numFmtId="0" fontId="56" fillId="0" borderId="77">
      <alignment horizontal="center" wrapText="1"/>
    </xf>
    <xf numFmtId="49" fontId="60" fillId="0" borderId="54">
      <alignment horizontal="center" wrapText="1"/>
    </xf>
    <xf numFmtId="0" fontId="13" fillId="4" borderId="57"/>
    <xf numFmtId="0" fontId="60" fillId="0" borderId="63"/>
    <xf numFmtId="49" fontId="56" fillId="0" borderId="42">
      <alignment horizontal="center"/>
    </xf>
    <xf numFmtId="0" fontId="60" fillId="0" borderId="77">
      <alignment horizontal="center" wrapText="1"/>
    </xf>
    <xf numFmtId="49" fontId="56" fillId="0" borderId="0">
      <alignment horizontal="center"/>
    </xf>
    <xf numFmtId="0" fontId="59" fillId="3" borderId="57"/>
    <xf numFmtId="49" fontId="56" fillId="0" borderId="28">
      <alignment horizontal="center" wrapText="1"/>
    </xf>
    <xf numFmtId="49" fontId="60" fillId="0" borderId="42">
      <alignment horizontal="center"/>
    </xf>
    <xf numFmtId="49" fontId="56" fillId="0" borderId="29">
      <alignment horizontal="center" wrapText="1"/>
    </xf>
    <xf numFmtId="0" fontId="59" fillId="0" borderId="57"/>
    <xf numFmtId="49" fontId="56" fillId="0" borderId="28">
      <alignment horizontal="center"/>
    </xf>
    <xf numFmtId="177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79" fillId="0" borderId="0"/>
    <xf numFmtId="0" fontId="4" fillId="0" borderId="0"/>
    <xf numFmtId="0" fontId="4" fillId="0" borderId="0"/>
    <xf numFmtId="0" fontId="80" fillId="0" borderId="0"/>
    <xf numFmtId="0" fontId="26" fillId="0" borderId="0">
      <alignment vertical="top"/>
    </xf>
    <xf numFmtId="0" fontId="4" fillId="0" borderId="0"/>
    <xf numFmtId="0" fontId="80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24" fillId="0" borderId="0"/>
    <xf numFmtId="165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</cellStyleXfs>
  <cellXfs count="484">
    <xf numFmtId="0" fontId="0" fillId="0" borderId="0" xfId="0"/>
    <xf numFmtId="166" fontId="14" fillId="0" borderId="1" xfId="1" applyNumberFormat="1" applyFont="1" applyFill="1" applyBorder="1" applyAlignment="1">
      <alignment horizontal="right"/>
    </xf>
    <xf numFmtId="49" fontId="14" fillId="0" borderId="1" xfId="1" applyNumberFormat="1" applyFont="1" applyFill="1" applyBorder="1" applyAlignment="1">
      <alignment horizontal="left"/>
    </xf>
    <xf numFmtId="0" fontId="17" fillId="0" borderId="1" xfId="1" applyFont="1" applyFill="1" applyBorder="1" applyAlignment="1">
      <alignment horizontal="left" wrapText="1"/>
    </xf>
    <xf numFmtId="49" fontId="16" fillId="0" borderId="1" xfId="1" applyNumberFormat="1" applyFont="1" applyFill="1" applyBorder="1" applyAlignment="1">
      <alignment horizontal="left"/>
    </xf>
    <xf numFmtId="0" fontId="14" fillId="0" borderId="1" xfId="5" applyFont="1" applyFill="1" applyBorder="1" applyAlignment="1">
      <alignment horizontal="left" wrapText="1"/>
    </xf>
    <xf numFmtId="0" fontId="17" fillId="0" borderId="1" xfId="1" applyFont="1" applyFill="1" applyBorder="1" applyAlignment="1">
      <alignment horizontal="left" vertical="top" wrapText="1"/>
    </xf>
    <xf numFmtId="166" fontId="14" fillId="0" borderId="1" xfId="5" applyNumberFormat="1" applyFont="1" applyFill="1" applyBorder="1" applyAlignment="1">
      <alignment horizontal="right" wrapText="1"/>
    </xf>
    <xf numFmtId="0" fontId="0" fillId="0" borderId="0" xfId="0" applyBorder="1" applyAlignment="1"/>
    <xf numFmtId="0" fontId="14" fillId="0" borderId="0" xfId="5" applyFont="1"/>
    <xf numFmtId="0" fontId="15" fillId="0" borderId="0" xfId="0" applyFont="1"/>
    <xf numFmtId="0" fontId="15" fillId="0" borderId="0" xfId="0" applyFont="1" applyBorder="1" applyAlignment="1"/>
    <xf numFmtId="0" fontId="27" fillId="0" borderId="0" xfId="0" applyFont="1"/>
    <xf numFmtId="49" fontId="16" fillId="0" borderId="1" xfId="5" applyNumberFormat="1" applyFont="1" applyFill="1" applyBorder="1" applyAlignment="1">
      <alignment horizontal="center"/>
    </xf>
    <xf numFmtId="0" fontId="16" fillId="0" borderId="1" xfId="5" applyFont="1" applyBorder="1" applyAlignment="1">
      <alignment wrapText="1"/>
    </xf>
    <xf numFmtId="49" fontId="14" fillId="0" borderId="1" xfId="5" applyNumberFormat="1" applyFont="1" applyFill="1" applyBorder="1" applyAlignment="1">
      <alignment horizontal="center"/>
    </xf>
    <xf numFmtId="49" fontId="14" fillId="0" borderId="2" xfId="5" applyNumberFormat="1" applyFont="1" applyFill="1" applyBorder="1" applyAlignment="1">
      <alignment horizontal="center"/>
    </xf>
    <xf numFmtId="0" fontId="14" fillId="0" borderId="1" xfId="5" applyFont="1" applyBorder="1" applyAlignment="1">
      <alignment wrapText="1"/>
    </xf>
    <xf numFmtId="49" fontId="14" fillId="0" borderId="5" xfId="5" applyNumberFormat="1" applyFont="1" applyFill="1" applyBorder="1" applyAlignment="1">
      <alignment horizontal="center"/>
    </xf>
    <xf numFmtId="0" fontId="14" fillId="0" borderId="1" xfId="9" applyFont="1" applyFill="1" applyBorder="1" applyAlignment="1">
      <alignment horizontal="justify" vertical="top" wrapText="1" shrinkToFit="1"/>
    </xf>
    <xf numFmtId="0" fontId="14" fillId="0" borderId="0" xfId="18" applyFont="1" applyAlignment="1">
      <alignment wrapText="1"/>
    </xf>
    <xf numFmtId="0" fontId="14" fillId="0" borderId="0" xfId="1" applyFont="1" applyFill="1"/>
    <xf numFmtId="0" fontId="17" fillId="0" borderId="0" xfId="1" applyFont="1" applyFill="1"/>
    <xf numFmtId="167" fontId="14" fillId="0" borderId="0" xfId="1" applyNumberFormat="1" applyFont="1" applyFill="1" applyBorder="1"/>
    <xf numFmtId="2" fontId="14" fillId="0" borderId="0" xfId="1" applyNumberFormat="1" applyFont="1" applyFill="1" applyAlignment="1"/>
    <xf numFmtId="2" fontId="14" fillId="0" borderId="0" xfId="1" applyNumberFormat="1" applyFont="1" applyFill="1" applyBorder="1"/>
    <xf numFmtId="1" fontId="14" fillId="0" borderId="0" xfId="1" applyNumberFormat="1" applyFont="1" applyFill="1" applyBorder="1"/>
    <xf numFmtId="0" fontId="14" fillId="0" borderId="0" xfId="1" applyFont="1" applyFill="1" applyBorder="1"/>
    <xf numFmtId="0" fontId="29" fillId="0" borderId="1" xfId="1" applyFont="1" applyFill="1" applyBorder="1" applyAlignment="1">
      <alignment horizontal="left"/>
    </xf>
    <xf numFmtId="0" fontId="16" fillId="0" borderId="0" xfId="1" applyFont="1" applyFill="1"/>
    <xf numFmtId="0" fontId="21" fillId="0" borderId="0" xfId="1" applyFont="1" applyFill="1" applyAlignment="1">
      <alignment horizontal="center" vertical="center"/>
    </xf>
    <xf numFmtId="1" fontId="21" fillId="0" borderId="1" xfId="1" applyNumberFormat="1" applyFont="1" applyFill="1" applyBorder="1" applyAlignment="1">
      <alignment horizontal="center" vertical="center"/>
    </xf>
    <xf numFmtId="0" fontId="21" fillId="0" borderId="1" xfId="1" applyFont="1" applyFill="1" applyBorder="1" applyAlignment="1">
      <alignment horizontal="center" vertical="center" wrapText="1"/>
    </xf>
    <xf numFmtId="0" fontId="14" fillId="0" borderId="0" xfId="1" applyFont="1" applyFill="1" applyAlignment="1">
      <alignment horizontal="left"/>
    </xf>
    <xf numFmtId="167" fontId="14" fillId="0" borderId="0" xfId="1" applyNumberFormat="1" applyFont="1" applyFill="1" applyAlignment="1">
      <alignment wrapText="1"/>
    </xf>
    <xf numFmtId="167" fontId="14" fillId="0" borderId="0" xfId="1" applyNumberFormat="1" applyFont="1" applyFill="1" applyAlignment="1">
      <alignment horizontal="left" vertical="top"/>
    </xf>
    <xf numFmtId="0" fontId="17" fillId="0" borderId="0" xfId="1" applyFont="1" applyFill="1" applyAlignment="1">
      <alignment horizontal="left"/>
    </xf>
    <xf numFmtId="166" fontId="14" fillId="0" borderId="0" xfId="18" applyNumberFormat="1" applyFont="1" applyFill="1" applyAlignment="1">
      <alignment horizontal="left"/>
    </xf>
    <xf numFmtId="0" fontId="29" fillId="0" borderId="1" xfId="1" applyFont="1" applyFill="1" applyBorder="1" applyAlignment="1">
      <alignment horizontal="left" wrapText="1"/>
    </xf>
    <xf numFmtId="49" fontId="16" fillId="0" borderId="2" xfId="5" applyNumberFormat="1" applyFont="1" applyFill="1" applyBorder="1" applyAlignment="1">
      <alignment horizontal="center"/>
    </xf>
    <xf numFmtId="166" fontId="16" fillId="0" borderId="1" xfId="1" applyNumberFormat="1" applyFont="1" applyFill="1" applyBorder="1" applyAlignment="1">
      <alignment horizontal="right"/>
    </xf>
    <xf numFmtId="0" fontId="29" fillId="0" borderId="0" xfId="1" applyFont="1" applyFill="1"/>
    <xf numFmtId="49" fontId="14" fillId="0" borderId="1" xfId="1" applyNumberFormat="1" applyFont="1" applyFill="1" applyBorder="1"/>
    <xf numFmtId="0" fontId="14" fillId="0" borderId="1" xfId="1" applyFont="1" applyFill="1" applyBorder="1"/>
    <xf numFmtId="49" fontId="16" fillId="0" borderId="1" xfId="1" applyNumberFormat="1" applyFont="1" applyFill="1" applyBorder="1"/>
    <xf numFmtId="0" fontId="16" fillId="0" borderId="1" xfId="1" applyFont="1" applyFill="1" applyBorder="1"/>
    <xf numFmtId="0" fontId="17" fillId="0" borderId="1" xfId="1" applyFont="1" applyFill="1" applyBorder="1" applyAlignment="1">
      <alignment horizontal="left" vertical="center" wrapText="1"/>
    </xf>
    <xf numFmtId="0" fontId="29" fillId="0" borderId="1" xfId="1" applyFont="1" applyFill="1" applyBorder="1" applyAlignment="1">
      <alignment horizontal="left" vertical="top" wrapText="1"/>
    </xf>
    <xf numFmtId="166" fontId="16" fillId="0" borderId="0" xfId="1" applyNumberFormat="1" applyFont="1" applyFill="1"/>
    <xf numFmtId="166" fontId="14" fillId="0" borderId="0" xfId="1" applyNumberFormat="1" applyFont="1" applyFill="1"/>
    <xf numFmtId="166" fontId="14" fillId="0" borderId="0" xfId="1" applyNumberFormat="1" applyFont="1" applyFill="1" applyAlignment="1"/>
    <xf numFmtId="167" fontId="14" fillId="0" borderId="0" xfId="1" applyNumberFormat="1" applyFont="1" applyFill="1"/>
    <xf numFmtId="49" fontId="14" fillId="0" borderId="0" xfId="1" applyNumberFormat="1" applyFont="1" applyFill="1" applyAlignment="1"/>
    <xf numFmtId="49" fontId="14" fillId="0" borderId="2" xfId="5" applyNumberFormat="1" applyFont="1" applyFill="1" applyBorder="1" applyAlignment="1">
      <alignment horizontal="center" vertical="center"/>
    </xf>
    <xf numFmtId="49" fontId="14" fillId="0" borderId="1" xfId="5" applyNumberFormat="1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168" fontId="14" fillId="0" borderId="1" xfId="1" applyNumberFormat="1" applyFont="1" applyFill="1" applyBorder="1" applyAlignment="1">
      <alignment horizontal="right"/>
    </xf>
    <xf numFmtId="49" fontId="17" fillId="0" borderId="1" xfId="1" applyNumberFormat="1" applyFont="1" applyFill="1" applyBorder="1" applyAlignment="1">
      <alignment horizontal="left" wrapText="1"/>
    </xf>
    <xf numFmtId="166" fontId="14" fillId="0" borderId="1" xfId="1" applyNumberFormat="1" applyFont="1" applyFill="1" applyBorder="1" applyAlignment="1">
      <alignment horizontal="right" wrapText="1"/>
    </xf>
    <xf numFmtId="166" fontId="14" fillId="0" borderId="1" xfId="146" applyNumberFormat="1" applyFont="1" applyFill="1" applyBorder="1" applyAlignment="1">
      <alignment horizontal="right" wrapText="1"/>
    </xf>
    <xf numFmtId="0" fontId="32" fillId="0" borderId="1" xfId="0" applyFont="1" applyFill="1" applyBorder="1" applyAlignment="1">
      <alignment horizontal="center" vertical="center" wrapText="1"/>
    </xf>
    <xf numFmtId="166" fontId="14" fillId="0" borderId="0" xfId="1" applyNumberFormat="1" applyFont="1" applyFill="1" applyAlignment="1">
      <alignment horizontal="right"/>
    </xf>
    <xf numFmtId="166" fontId="34" fillId="0" borderId="1" xfId="1" applyNumberFormat="1" applyFont="1" applyFill="1" applyBorder="1" applyAlignment="1">
      <alignment horizontal="right"/>
    </xf>
    <xf numFmtId="166" fontId="15" fillId="0" borderId="0" xfId="0" applyNumberFormat="1" applyFont="1" applyFill="1"/>
    <xf numFmtId="166" fontId="0" fillId="0" borderId="0" xfId="0" applyNumberFormat="1" applyFill="1"/>
    <xf numFmtId="44" fontId="17" fillId="0" borderId="1" xfId="147" applyFont="1" applyFill="1" applyBorder="1" applyAlignment="1">
      <alignment horizontal="left" wrapText="1"/>
    </xf>
    <xf numFmtId="44" fontId="14" fillId="0" borderId="1" xfId="147" applyFont="1" applyFill="1" applyBorder="1" applyAlignment="1">
      <alignment horizontal="left"/>
    </xf>
    <xf numFmtId="44" fontId="14" fillId="0" borderId="0" xfId="147" applyFont="1" applyFill="1"/>
    <xf numFmtId="168" fontId="16" fillId="0" borderId="1" xfId="5" applyNumberFormat="1" applyFont="1" applyFill="1" applyBorder="1" applyAlignment="1">
      <alignment horizontal="center"/>
    </xf>
    <xf numFmtId="168" fontId="14" fillId="0" borderId="1" xfId="5" applyNumberFormat="1" applyFont="1" applyFill="1" applyBorder="1" applyAlignment="1">
      <alignment horizontal="center"/>
    </xf>
    <xf numFmtId="168" fontId="16" fillId="0" borderId="1" xfId="1" applyNumberFormat="1" applyFont="1" applyFill="1" applyBorder="1" applyAlignment="1">
      <alignment horizontal="right"/>
    </xf>
    <xf numFmtId="168" fontId="14" fillId="0" borderId="0" xfId="1" applyNumberFormat="1" applyFont="1" applyFill="1" applyAlignment="1">
      <alignment horizontal="right"/>
    </xf>
    <xf numFmtId="168" fontId="34" fillId="0" borderId="1" xfId="1" applyNumberFormat="1" applyFont="1" applyFill="1" applyBorder="1" applyAlignment="1">
      <alignment horizontal="right"/>
    </xf>
    <xf numFmtId="168" fontId="34" fillId="0" borderId="0" xfId="1" applyNumberFormat="1" applyFont="1" applyFill="1"/>
    <xf numFmtId="168" fontId="34" fillId="0" borderId="0" xfId="1" applyNumberFormat="1" applyFont="1" applyFill="1" applyAlignment="1">
      <alignment horizontal="right"/>
    </xf>
    <xf numFmtId="0" fontId="21" fillId="0" borderId="0" xfId="1" applyFont="1" applyFill="1" applyAlignment="1">
      <alignment horizontal="right" wrapText="1"/>
    </xf>
    <xf numFmtId="166" fontId="14" fillId="0" borderId="1" xfId="7" applyNumberFormat="1" applyFont="1" applyFill="1" applyBorder="1" applyAlignment="1">
      <alignment horizontal="right" wrapText="1"/>
    </xf>
    <xf numFmtId="169" fontId="14" fillId="0" borderId="0" xfId="147" applyNumberFormat="1" applyFont="1" applyFill="1"/>
    <xf numFmtId="0" fontId="30" fillId="0" borderId="0" xfId="1" applyFont="1" applyFill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 wrapText="1"/>
    </xf>
    <xf numFmtId="49" fontId="16" fillId="0" borderId="2" xfId="5" applyNumberFormat="1" applyFont="1" applyFill="1" applyBorder="1" applyAlignment="1">
      <alignment horizontal="center"/>
    </xf>
    <xf numFmtId="170" fontId="0" fillId="0" borderId="1" xfId="148" applyNumberFormat="1" applyFont="1" applyFill="1" applyBorder="1" applyAlignment="1"/>
    <xf numFmtId="0" fontId="30" fillId="0" borderId="0" xfId="1" applyFont="1" applyFill="1" applyAlignment="1">
      <alignment horizontal="center" vertical="center" wrapText="1"/>
    </xf>
    <xf numFmtId="0" fontId="18" fillId="0" borderId="0" xfId="0" applyFont="1"/>
    <xf numFmtId="49" fontId="18" fillId="0" borderId="0" xfId="0" applyNumberFormat="1" applyFont="1" applyAlignment="1">
      <alignment horizontal="right"/>
    </xf>
    <xf numFmtId="0" fontId="20" fillId="0" borderId="1" xfId="1" applyFont="1" applyFill="1" applyBorder="1" applyAlignment="1">
      <alignment horizontal="center" vertical="center" wrapText="1"/>
    </xf>
    <xf numFmtId="165" fontId="20" fillId="0" borderId="1" xfId="0" applyNumberFormat="1" applyFont="1" applyFill="1" applyBorder="1" applyAlignment="1">
      <alignment horizontal="center" vertical="center" wrapText="1"/>
    </xf>
    <xf numFmtId="171" fontId="20" fillId="0" borderId="1" xfId="0" applyNumberFormat="1" applyFont="1" applyFill="1" applyBorder="1" applyAlignment="1">
      <alignment horizontal="center" vertical="center" wrapText="1"/>
    </xf>
    <xf numFmtId="0" fontId="42" fillId="0" borderId="0" xfId="0" applyFont="1"/>
    <xf numFmtId="171" fontId="32" fillId="0" borderId="1" xfId="0" applyNumberFormat="1" applyFont="1" applyBorder="1" applyAlignment="1">
      <alignment wrapText="1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0" fillId="0" borderId="0" xfId="0" applyBorder="1"/>
    <xf numFmtId="0" fontId="36" fillId="0" borderId="0" xfId="0" applyFont="1" applyBorder="1"/>
    <xf numFmtId="0" fontId="36" fillId="0" borderId="0" xfId="0" applyFont="1" applyBorder="1" applyAlignment="1">
      <alignment vertical="center"/>
    </xf>
    <xf numFmtId="0" fontId="34" fillId="0" borderId="0" xfId="5" applyFont="1" applyAlignment="1">
      <alignment wrapText="1"/>
    </xf>
    <xf numFmtId="0" fontId="36" fillId="0" borderId="0" xfId="0" applyFont="1"/>
    <xf numFmtId="0" fontId="14" fillId="0" borderId="0" xfId="0" applyFont="1" applyAlignment="1">
      <alignment horizontal="center" vertical="top" wrapText="1"/>
    </xf>
    <xf numFmtId="0" fontId="21" fillId="0" borderId="0" xfId="0" applyFont="1" applyAlignment="1">
      <alignment horizontal="right" wrapText="1"/>
    </xf>
    <xf numFmtId="167" fontId="0" fillId="0" borderId="0" xfId="0" applyNumberFormat="1"/>
    <xf numFmtId="0" fontId="41" fillId="0" borderId="0" xfId="0" applyFont="1"/>
    <xf numFmtId="168" fontId="18" fillId="0" borderId="0" xfId="0" applyNumberFormat="1" applyFont="1" applyAlignment="1">
      <alignment horizontal="right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167" fontId="16" fillId="0" borderId="4" xfId="0" applyNumberFormat="1" applyFont="1" applyBorder="1" applyAlignment="1">
      <alignment horizontal="center" vertical="center" wrapText="1"/>
    </xf>
    <xf numFmtId="167" fontId="16" fillId="0" borderId="7" xfId="0" applyNumberFormat="1" applyFont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left" wrapText="1"/>
    </xf>
    <xf numFmtId="2" fontId="14" fillId="0" borderId="1" xfId="0" applyNumberFormat="1" applyFont="1" applyFill="1" applyBorder="1" applyAlignment="1">
      <alignment horizontal="right" vertical="center" wrapText="1"/>
    </xf>
    <xf numFmtId="2" fontId="14" fillId="0" borderId="1" xfId="0" applyNumberFormat="1" applyFont="1" applyFill="1" applyBorder="1" applyAlignment="1">
      <alignment horizontal="right"/>
    </xf>
    <xf numFmtId="167" fontId="14" fillId="0" borderId="1" xfId="0" applyNumberFormat="1" applyFont="1" applyBorder="1" applyAlignment="1">
      <alignment horizontal="right" vertical="center" wrapText="1"/>
    </xf>
    <xf numFmtId="0" fontId="44" fillId="0" borderId="3" xfId="154" applyFont="1" applyFill="1" applyBorder="1" applyAlignment="1">
      <alignment horizontal="left" vertical="center" wrapText="1"/>
    </xf>
    <xf numFmtId="0" fontId="45" fillId="0" borderId="1" xfId="158" applyFont="1" applyFill="1" applyBorder="1" applyAlignment="1">
      <alignment horizontal="left" vertical="center" wrapText="1"/>
    </xf>
    <xf numFmtId="167" fontId="14" fillId="0" borderId="1" xfId="0" applyNumberFormat="1" applyFont="1" applyBorder="1" applyAlignment="1">
      <alignment horizontal="right"/>
    </xf>
    <xf numFmtId="0" fontId="45" fillId="0" borderId="1" xfId="0" applyFont="1" applyBorder="1" applyAlignment="1">
      <alignment horizontal="left" vertical="top" wrapText="1"/>
    </xf>
    <xf numFmtId="2" fontId="45" fillId="0" borderId="1" xfId="0" applyNumberFormat="1" applyFont="1" applyFill="1" applyBorder="1" applyAlignment="1">
      <alignment horizontal="right" wrapText="1"/>
    </xf>
    <xf numFmtId="0" fontId="14" fillId="0" borderId="1" xfId="0" applyFont="1" applyFill="1" applyBorder="1" applyAlignment="1">
      <alignment wrapText="1"/>
    </xf>
    <xf numFmtId="2" fontId="14" fillId="0" borderId="1" xfId="0" applyNumberFormat="1" applyFont="1" applyFill="1" applyBorder="1"/>
    <xf numFmtId="0" fontId="46" fillId="0" borderId="1" xfId="0" applyFont="1" applyFill="1" applyBorder="1"/>
    <xf numFmtId="167" fontId="45" fillId="0" borderId="1" xfId="0" applyNumberFormat="1" applyFont="1" applyBorder="1" applyAlignment="1">
      <alignment horizontal="right" wrapText="1"/>
    </xf>
    <xf numFmtId="167" fontId="14" fillId="0" borderId="1" xfId="0" applyNumberFormat="1" applyFont="1" applyBorder="1" applyAlignment="1">
      <alignment wrapText="1"/>
    </xf>
    <xf numFmtId="0" fontId="16" fillId="0" borderId="1" xfId="0" applyFont="1" applyBorder="1" applyAlignment="1">
      <alignment horizontal="center" wrapText="1"/>
    </xf>
    <xf numFmtId="2" fontId="16" fillId="0" borderId="1" xfId="0" applyNumberFormat="1" applyFont="1" applyFill="1" applyBorder="1" applyAlignment="1">
      <alignment horizontal="right" wrapText="1"/>
    </xf>
    <xf numFmtId="167" fontId="16" fillId="0" borderId="1" xfId="0" applyNumberFormat="1" applyFont="1" applyBorder="1" applyAlignment="1">
      <alignment horizontal="right" wrapText="1"/>
    </xf>
    <xf numFmtId="0" fontId="0" fillId="0" borderId="0" xfId="0" applyFont="1"/>
    <xf numFmtId="0" fontId="44" fillId="0" borderId="3" xfId="151" applyFont="1" applyFill="1" applyBorder="1" applyAlignment="1">
      <alignment horizontal="left" vertical="center" wrapText="1"/>
    </xf>
    <xf numFmtId="0" fontId="31" fillId="0" borderId="0" xfId="0" applyFont="1"/>
    <xf numFmtId="0" fontId="47" fillId="0" borderId="1" xfId="1" applyFont="1" applyFill="1" applyBorder="1" applyAlignment="1">
      <alignment horizontal="left" wrapText="1"/>
    </xf>
    <xf numFmtId="166" fontId="0" fillId="0" borderId="0" xfId="0" applyNumberFormat="1"/>
    <xf numFmtId="0" fontId="14" fillId="0" borderId="0" xfId="85" applyFont="1" applyAlignment="1">
      <alignment vertical="top" wrapText="1"/>
    </xf>
    <xf numFmtId="0" fontId="14" fillId="0" borderId="0" xfId="85" applyNumberFormat="1" applyFont="1" applyFill="1" applyBorder="1" applyAlignment="1" applyProtection="1">
      <alignment horizontal="justify" vertical="center" wrapText="1"/>
    </xf>
    <xf numFmtId="0" fontId="30" fillId="0" borderId="0" xfId="85" applyFont="1" applyBorder="1" applyAlignment="1">
      <alignment horizontal="justify" vertical="center" wrapText="1"/>
    </xf>
    <xf numFmtId="0" fontId="16" fillId="0" borderId="1" xfId="85" applyFont="1" applyFill="1" applyBorder="1" applyAlignment="1">
      <alignment horizontal="center" vertical="center" wrapText="1"/>
    </xf>
    <xf numFmtId="0" fontId="14" fillId="0" borderId="1" xfId="85" applyFont="1" applyBorder="1" applyAlignment="1">
      <alignment horizontal="center" vertical="center" wrapText="1"/>
    </xf>
    <xf numFmtId="0" fontId="48" fillId="0" borderId="1" xfId="0" applyFont="1" applyBorder="1" applyAlignment="1">
      <alignment horizontal="center" vertical="center" wrapText="1"/>
    </xf>
    <xf numFmtId="0" fontId="48" fillId="0" borderId="1" xfId="0" applyFont="1" applyBorder="1" applyAlignment="1">
      <alignment horizontal="justify" vertical="center" wrapText="1"/>
    </xf>
    <xf numFmtId="168" fontId="14" fillId="0" borderId="1" xfId="85" applyNumberFormat="1" applyFont="1" applyBorder="1" applyAlignment="1">
      <alignment horizontal="center" vertical="center" wrapText="1"/>
    </xf>
    <xf numFmtId="0" fontId="16" fillId="0" borderId="1" xfId="85" applyFont="1" applyBorder="1" applyAlignment="1">
      <alignment vertical="top" wrapText="1"/>
    </xf>
    <xf numFmtId="0" fontId="30" fillId="0" borderId="1" xfId="85" applyNumberFormat="1" applyFont="1" applyFill="1" applyBorder="1" applyAlignment="1" applyProtection="1">
      <alignment horizontal="left" vertical="center" wrapText="1"/>
    </xf>
    <xf numFmtId="0" fontId="16" fillId="0" borderId="0" xfId="85" applyFont="1" applyAlignment="1">
      <alignment vertical="top" wrapText="1"/>
    </xf>
    <xf numFmtId="0" fontId="18" fillId="0" borderId="0" xfId="85" applyNumberFormat="1" applyFont="1" applyFill="1" applyBorder="1" applyAlignment="1" applyProtection="1">
      <alignment horizontal="justify" vertical="center" wrapText="1"/>
    </xf>
    <xf numFmtId="0" fontId="14" fillId="0" borderId="0" xfId="156" applyFill="1" applyBorder="1"/>
    <xf numFmtId="0" fontId="50" fillId="0" borderId="0" xfId="156" applyFont="1" applyFill="1" applyBorder="1"/>
    <xf numFmtId="0" fontId="14" fillId="0" borderId="0" xfId="156" applyFont="1" applyFill="1" applyBorder="1" applyAlignment="1">
      <alignment wrapText="1"/>
    </xf>
    <xf numFmtId="49" fontId="37" fillId="0" borderId="0" xfId="156" applyNumberFormat="1" applyFont="1" applyFill="1" applyBorder="1" applyAlignment="1">
      <alignment horizontal="left" vertical="center"/>
    </xf>
    <xf numFmtId="0" fontId="21" fillId="0" borderId="0" xfId="156" applyFont="1" applyFill="1" applyBorder="1" applyAlignment="1">
      <alignment horizontal="center"/>
    </xf>
    <xf numFmtId="167" fontId="21" fillId="0" borderId="0" xfId="156" applyNumberFormat="1" applyFont="1" applyFill="1" applyBorder="1" applyAlignment="1">
      <alignment horizontal="center"/>
    </xf>
    <xf numFmtId="1" fontId="21" fillId="0" borderId="0" xfId="156" applyNumberFormat="1" applyFont="1" applyFill="1" applyBorder="1" applyAlignment="1">
      <alignment horizontal="center"/>
    </xf>
    <xf numFmtId="1" fontId="18" fillId="0" borderId="0" xfId="156" applyNumberFormat="1" applyFont="1" applyFill="1" applyBorder="1" applyAlignment="1">
      <alignment horizontal="center"/>
    </xf>
    <xf numFmtId="1" fontId="50" fillId="0" borderId="0" xfId="156" applyNumberFormat="1" applyFont="1" applyFill="1" applyBorder="1"/>
    <xf numFmtId="1" fontId="50" fillId="0" borderId="0" xfId="156" applyNumberFormat="1" applyFont="1" applyFill="1" applyBorder="1" applyAlignment="1">
      <alignment horizontal="right"/>
    </xf>
    <xf numFmtId="0" fontId="20" fillId="0" borderId="13" xfId="156" applyFont="1" applyFill="1" applyBorder="1"/>
    <xf numFmtId="0" fontId="20" fillId="0" borderId="14" xfId="156" applyFont="1" applyFill="1" applyBorder="1"/>
    <xf numFmtId="49" fontId="20" fillId="0" borderId="1" xfId="156" applyNumberFormat="1" applyFont="1" applyFill="1" applyBorder="1" applyAlignment="1">
      <alignment horizontal="center" vertical="center" wrapText="1"/>
    </xf>
    <xf numFmtId="0" fontId="20" fillId="0" borderId="15" xfId="156" applyFont="1" applyFill="1" applyBorder="1"/>
    <xf numFmtId="0" fontId="20" fillId="0" borderId="16" xfId="156" applyFont="1" applyFill="1" applyBorder="1"/>
    <xf numFmtId="0" fontId="20" fillId="0" borderId="0" xfId="156" applyFont="1" applyFill="1" applyBorder="1"/>
    <xf numFmtId="0" fontId="20" fillId="0" borderId="17" xfId="156" applyFont="1" applyFill="1" applyBorder="1"/>
    <xf numFmtId="0" fontId="18" fillId="0" borderId="18" xfId="156" applyFont="1" applyFill="1" applyBorder="1"/>
    <xf numFmtId="0" fontId="18" fillId="0" borderId="19" xfId="156" applyFont="1" applyFill="1" applyBorder="1"/>
    <xf numFmtId="49" fontId="18" fillId="0" borderId="1" xfId="156" applyNumberFormat="1" applyFont="1" applyFill="1" applyBorder="1" applyAlignment="1">
      <alignment horizontal="center" vertical="center"/>
    </xf>
    <xf numFmtId="0" fontId="30" fillId="0" borderId="1" xfId="155" applyFont="1" applyBorder="1" applyAlignment="1">
      <alignment horizontal="center" vertical="center" wrapText="1"/>
    </xf>
    <xf numFmtId="0" fontId="18" fillId="0" borderId="15" xfId="156" applyFont="1" applyFill="1" applyBorder="1"/>
    <xf numFmtId="0" fontId="18" fillId="0" borderId="20" xfId="156" applyFont="1" applyFill="1" applyBorder="1"/>
    <xf numFmtId="0" fontId="18" fillId="0" borderId="0" xfId="156" applyFont="1" applyFill="1" applyBorder="1"/>
    <xf numFmtId="0" fontId="18" fillId="0" borderId="21" xfId="156" applyFont="1" applyFill="1" applyBorder="1"/>
    <xf numFmtId="0" fontId="20" fillId="0" borderId="22" xfId="156" applyFont="1" applyFill="1" applyBorder="1"/>
    <xf numFmtId="0" fontId="20" fillId="0" borderId="23" xfId="156" applyFont="1" applyFill="1" applyBorder="1"/>
    <xf numFmtId="49" fontId="20" fillId="0" borderId="1" xfId="156" applyNumberFormat="1" applyFont="1" applyFill="1" applyBorder="1" applyAlignment="1">
      <alignment horizontal="center" vertical="center"/>
    </xf>
    <xf numFmtId="0" fontId="18" fillId="0" borderId="1" xfId="156" applyFont="1" applyFill="1" applyBorder="1" applyAlignment="1">
      <alignment horizontal="center"/>
    </xf>
    <xf numFmtId="167" fontId="20" fillId="0" borderId="1" xfId="156" applyNumberFormat="1" applyFont="1" applyFill="1" applyBorder="1" applyAlignment="1">
      <alignment horizontal="center" vertical="center" wrapText="1"/>
    </xf>
    <xf numFmtId="0" fontId="20" fillId="0" borderId="7" xfId="156" applyFont="1" applyFill="1" applyBorder="1"/>
    <xf numFmtId="171" fontId="20" fillId="0" borderId="0" xfId="156" applyNumberFormat="1" applyFont="1" applyFill="1" applyBorder="1"/>
    <xf numFmtId="0" fontId="14" fillId="0" borderId="22" xfId="156" applyFont="1" applyFill="1" applyBorder="1"/>
    <xf numFmtId="0" fontId="14" fillId="0" borderId="23" xfId="156" applyFont="1" applyFill="1" applyBorder="1"/>
    <xf numFmtId="49" fontId="34" fillId="0" borderId="1" xfId="156" applyNumberFormat="1" applyFont="1" applyFill="1" applyBorder="1" applyAlignment="1">
      <alignment horizontal="center" vertical="center"/>
    </xf>
    <xf numFmtId="0" fontId="16" fillId="0" borderId="1" xfId="156" applyFont="1" applyFill="1" applyBorder="1" applyAlignment="1">
      <alignment horizontal="justify" vertical="center" wrapText="1"/>
    </xf>
    <xf numFmtId="167" fontId="34" fillId="0" borderId="1" xfId="156" applyNumberFormat="1" applyFont="1" applyFill="1" applyBorder="1" applyAlignment="1">
      <alignment horizontal="center" vertical="center" wrapText="1"/>
    </xf>
    <xf numFmtId="171" fontId="30" fillId="0" borderId="1" xfId="155" applyNumberFormat="1" applyFont="1" applyFill="1" applyBorder="1" applyAlignment="1">
      <alignment horizontal="center" vertical="center"/>
    </xf>
    <xf numFmtId="171" fontId="30" fillId="0" borderId="1" xfId="133" applyNumberFormat="1" applyFont="1" applyFill="1" applyBorder="1" applyAlignment="1" applyProtection="1">
      <alignment horizontal="center" vertical="center" wrapText="1"/>
      <protection locked="0"/>
    </xf>
    <xf numFmtId="165" fontId="30" fillId="0" borderId="2" xfId="133" applyNumberFormat="1" applyFont="1" applyFill="1" applyBorder="1" applyAlignment="1" applyProtection="1">
      <alignment horizontal="center" vertical="center" wrapText="1"/>
      <protection locked="0"/>
    </xf>
    <xf numFmtId="165" fontId="30" fillId="0" borderId="1" xfId="133" applyNumberFormat="1" applyFont="1" applyFill="1" applyBorder="1" applyAlignment="1" applyProtection="1">
      <alignment horizontal="center" vertical="center" wrapText="1"/>
      <protection locked="0"/>
    </xf>
    <xf numFmtId="171" fontId="34" fillId="0" borderId="0" xfId="156" applyNumberFormat="1" applyFont="1" applyFill="1" applyBorder="1"/>
    <xf numFmtId="0" fontId="14" fillId="0" borderId="0" xfId="156" applyFont="1" applyFill="1" applyBorder="1"/>
    <xf numFmtId="0" fontId="14" fillId="0" borderId="7" xfId="156" applyFont="1" applyFill="1" applyBorder="1"/>
    <xf numFmtId="0" fontId="16" fillId="0" borderId="22" xfId="156" applyFont="1" applyFill="1" applyBorder="1"/>
    <xf numFmtId="0" fontId="16" fillId="0" borderId="23" xfId="156" applyFont="1" applyFill="1" applyBorder="1"/>
    <xf numFmtId="49" fontId="35" fillId="0" borderId="1" xfId="156" applyNumberFormat="1" applyFont="1" applyFill="1" applyBorder="1" applyAlignment="1">
      <alignment horizontal="center" vertical="center"/>
    </xf>
    <xf numFmtId="167" fontId="35" fillId="0" borderId="1" xfId="156" applyNumberFormat="1" applyFont="1" applyFill="1" applyBorder="1" applyAlignment="1">
      <alignment horizontal="center" vertical="center" wrapText="1"/>
    </xf>
    <xf numFmtId="171" fontId="16" fillId="0" borderId="22" xfId="133" applyNumberFormat="1" applyFont="1" applyFill="1" applyBorder="1"/>
    <xf numFmtId="171" fontId="16" fillId="0" borderId="7" xfId="133" applyNumberFormat="1" applyFont="1" applyFill="1" applyBorder="1"/>
    <xf numFmtId="0" fontId="16" fillId="0" borderId="0" xfId="156" applyFont="1" applyFill="1" applyBorder="1"/>
    <xf numFmtId="171" fontId="35" fillId="0" borderId="0" xfId="156" applyNumberFormat="1" applyFont="1" applyFill="1" applyBorder="1"/>
    <xf numFmtId="0" fontId="16" fillId="0" borderId="7" xfId="156" applyFont="1" applyFill="1" applyBorder="1"/>
    <xf numFmtId="49" fontId="14" fillId="0" borderId="1" xfId="156" applyNumberFormat="1" applyFont="1" applyFill="1" applyBorder="1" applyAlignment="1">
      <alignment horizontal="center" vertical="center"/>
    </xf>
    <xf numFmtId="0" fontId="14" fillId="0" borderId="1" xfId="156" applyFont="1" applyFill="1" applyBorder="1" applyAlignment="1">
      <alignment horizontal="left" vertical="center" wrapText="1"/>
    </xf>
    <xf numFmtId="165" fontId="16" fillId="0" borderId="1" xfId="155" applyNumberFormat="1" applyFont="1" applyBorder="1" applyAlignment="1">
      <alignment horizontal="center" vertical="center"/>
    </xf>
    <xf numFmtId="171" fontId="18" fillId="0" borderId="1" xfId="155" applyNumberFormat="1" applyFont="1" applyFill="1" applyBorder="1" applyAlignment="1">
      <alignment horizontal="center" vertical="center" wrapText="1"/>
    </xf>
    <xf numFmtId="171" fontId="18" fillId="0" borderId="1" xfId="133" applyNumberFormat="1" applyFont="1" applyFill="1" applyBorder="1" applyAlignment="1" applyProtection="1">
      <alignment horizontal="center" vertical="center" wrapText="1"/>
      <protection locked="0"/>
    </xf>
    <xf numFmtId="171" fontId="18" fillId="0" borderId="1" xfId="133" applyNumberFormat="1" applyFont="1" applyFill="1" applyBorder="1" applyAlignment="1">
      <alignment horizontal="center" vertical="center"/>
    </xf>
    <xf numFmtId="172" fontId="14" fillId="0" borderId="8" xfId="133" applyNumberFormat="1" applyFont="1" applyFill="1" applyBorder="1" applyAlignment="1">
      <alignment horizontal="center"/>
    </xf>
    <xf numFmtId="172" fontId="14" fillId="0" borderId="6" xfId="133" applyNumberFormat="1" applyFont="1" applyFill="1" applyBorder="1" applyAlignment="1">
      <alignment horizontal="center"/>
    </xf>
    <xf numFmtId="172" fontId="14" fillId="0" borderId="0" xfId="156" applyNumberFormat="1" applyFont="1" applyFill="1" applyBorder="1"/>
    <xf numFmtId="172" fontId="34" fillId="0" borderId="0" xfId="156" applyNumberFormat="1" applyFont="1" applyFill="1" applyBorder="1"/>
    <xf numFmtId="0" fontId="14" fillId="0" borderId="1" xfId="156" applyFont="1" applyFill="1" applyBorder="1" applyAlignment="1">
      <alignment horizontal="left" vertical="top" wrapText="1"/>
    </xf>
    <xf numFmtId="167" fontId="14" fillId="0" borderId="1" xfId="156" applyNumberFormat="1" applyFont="1" applyFill="1" applyBorder="1" applyAlignment="1">
      <alignment horizontal="center" vertical="center" wrapText="1"/>
    </xf>
    <xf numFmtId="171" fontId="18" fillId="0" borderId="1" xfId="155" applyNumberFormat="1" applyFont="1" applyFill="1" applyBorder="1" applyAlignment="1">
      <alignment horizontal="center" vertical="center"/>
    </xf>
    <xf numFmtId="171" fontId="18" fillId="0" borderId="1" xfId="155" applyNumberFormat="1" applyFont="1" applyBorder="1" applyAlignment="1">
      <alignment horizontal="center" vertical="center"/>
    </xf>
    <xf numFmtId="171" fontId="18" fillId="2" borderId="1" xfId="155" applyNumberFormat="1" applyFont="1" applyFill="1" applyBorder="1" applyAlignment="1">
      <alignment horizontal="center" vertical="center"/>
    </xf>
    <xf numFmtId="171" fontId="14" fillId="0" borderId="24" xfId="133" applyNumberFormat="1" applyFont="1" applyFill="1" applyBorder="1"/>
    <xf numFmtId="171" fontId="14" fillId="0" borderId="7" xfId="133" applyNumberFormat="1" applyFont="1" applyFill="1" applyBorder="1"/>
    <xf numFmtId="49" fontId="16" fillId="0" borderId="1" xfId="156" applyNumberFormat="1" applyFont="1" applyFill="1" applyBorder="1" applyAlignment="1">
      <alignment horizontal="center" vertical="center"/>
    </xf>
    <xf numFmtId="1" fontId="16" fillId="0" borderId="1" xfId="156" applyNumberFormat="1" applyFont="1" applyFill="1" applyBorder="1" applyAlignment="1" applyProtection="1">
      <alignment horizontal="justify" vertical="center" wrapText="1"/>
      <protection locked="0"/>
    </xf>
    <xf numFmtId="167" fontId="16" fillId="0" borderId="1" xfId="156" applyNumberFormat="1" applyFont="1" applyFill="1" applyBorder="1" applyAlignment="1">
      <alignment horizontal="justify" wrapText="1"/>
    </xf>
    <xf numFmtId="173" fontId="30" fillId="0" borderId="2" xfId="133" applyNumberFormat="1" applyFont="1" applyFill="1" applyBorder="1" applyAlignment="1" applyProtection="1">
      <alignment horizontal="center" vertical="center" wrapText="1"/>
      <protection locked="0"/>
    </xf>
    <xf numFmtId="173" fontId="30" fillId="0" borderId="1" xfId="133" applyNumberFormat="1" applyFont="1" applyFill="1" applyBorder="1" applyAlignment="1" applyProtection="1">
      <alignment horizontal="center" vertical="center" wrapText="1"/>
      <protection locked="0"/>
    </xf>
    <xf numFmtId="1" fontId="14" fillId="0" borderId="1" xfId="156" applyNumberFormat="1" applyFont="1" applyFill="1" applyBorder="1" applyAlignment="1" applyProtection="1">
      <alignment horizontal="justify" vertical="center" wrapText="1"/>
      <protection locked="0"/>
    </xf>
    <xf numFmtId="171" fontId="14" fillId="0" borderId="1" xfId="133" applyNumberFormat="1" applyFont="1" applyFill="1" applyBorder="1" applyAlignment="1" applyProtection="1">
      <alignment horizontal="center" vertical="center" wrapText="1"/>
      <protection locked="0"/>
    </xf>
    <xf numFmtId="171" fontId="51" fillId="0" borderId="1" xfId="133" applyNumberFormat="1" applyFont="1" applyFill="1" applyBorder="1" applyAlignment="1">
      <alignment horizontal="center" vertical="center"/>
    </xf>
    <xf numFmtId="171" fontId="16" fillId="0" borderId="0" xfId="133" applyNumberFormat="1" applyFont="1" applyFill="1" applyBorder="1"/>
    <xf numFmtId="174" fontId="16" fillId="0" borderId="0" xfId="156" applyNumberFormat="1" applyFont="1" applyFill="1" applyBorder="1"/>
    <xf numFmtId="171" fontId="52" fillId="0" borderId="1" xfId="133" applyNumberFormat="1" applyFont="1" applyFill="1" applyBorder="1" applyAlignment="1">
      <alignment horizontal="center" vertical="center"/>
    </xf>
    <xf numFmtId="0" fontId="16" fillId="0" borderId="1" xfId="155" applyFont="1" applyFill="1" applyBorder="1" applyAlignment="1">
      <alignment horizontal="justify" wrapText="1"/>
    </xf>
    <xf numFmtId="167" fontId="14" fillId="0" borderId="1" xfId="156" applyNumberFormat="1" applyFont="1" applyFill="1" applyBorder="1" applyAlignment="1">
      <alignment horizontal="justify" wrapText="1"/>
    </xf>
    <xf numFmtId="171" fontId="36" fillId="0" borderId="1" xfId="133" applyNumberFormat="1" applyFont="1" applyFill="1" applyBorder="1" applyAlignment="1">
      <alignment horizontal="center" vertical="center"/>
    </xf>
    <xf numFmtId="171" fontId="14" fillId="0" borderId="0" xfId="133" applyNumberFormat="1" applyFont="1" applyFill="1" applyBorder="1"/>
    <xf numFmtId="174" fontId="14" fillId="0" borderId="0" xfId="156" applyNumberFormat="1" applyFont="1" applyFill="1" applyBorder="1"/>
    <xf numFmtId="49" fontId="14" fillId="0" borderId="1" xfId="0" applyNumberFormat="1" applyFont="1" applyBorder="1" applyAlignment="1">
      <alignment horizontal="left" vertical="center" wrapText="1"/>
    </xf>
    <xf numFmtId="0" fontId="14" fillId="0" borderId="1" xfId="155" applyFont="1" applyFill="1" applyBorder="1" applyAlignment="1">
      <alignment horizontal="justify" wrapText="1"/>
    </xf>
    <xf numFmtId="171" fontId="30" fillId="0" borderId="1" xfId="155" applyNumberFormat="1" applyFont="1" applyBorder="1" applyAlignment="1">
      <alignment horizontal="center" vertical="center"/>
    </xf>
    <xf numFmtId="0" fontId="35" fillId="0" borderId="1" xfId="156" applyFont="1" applyFill="1" applyBorder="1"/>
    <xf numFmtId="171" fontId="35" fillId="0" borderId="1" xfId="156" applyNumberFormat="1" applyFont="1" applyFill="1" applyBorder="1" applyAlignment="1">
      <alignment horizontal="center" vertical="center"/>
    </xf>
    <xf numFmtId="0" fontId="35" fillId="0" borderId="0" xfId="156" applyFont="1" applyFill="1"/>
    <xf numFmtId="0" fontId="14" fillId="0" borderId="0" xfId="156" applyFill="1"/>
    <xf numFmtId="165" fontId="14" fillId="0" borderId="0" xfId="156" applyNumberFormat="1" applyFont="1" applyFill="1"/>
    <xf numFmtId="0" fontId="14" fillId="0" borderId="25" xfId="156" applyFont="1" applyFill="1" applyBorder="1" applyAlignment="1">
      <alignment horizontal="center" vertical="center"/>
    </xf>
    <xf numFmtId="0" fontId="21" fillId="0" borderId="25" xfId="156" applyFont="1" applyFill="1" applyBorder="1"/>
    <xf numFmtId="167" fontId="21" fillId="0" borderId="25" xfId="156" applyNumberFormat="1" applyFont="1" applyFill="1" applyBorder="1"/>
    <xf numFmtId="0" fontId="14" fillId="0" borderId="0" xfId="156" applyFont="1" applyFill="1"/>
    <xf numFmtId="0" fontId="54" fillId="0" borderId="1" xfId="0" applyFont="1" applyBorder="1" applyAlignment="1">
      <alignment horizontal="center" vertical="center" wrapText="1"/>
    </xf>
    <xf numFmtId="168" fontId="16" fillId="0" borderId="1" xfId="85" applyNumberFormat="1" applyFont="1" applyBorder="1" applyAlignment="1">
      <alignment horizontal="center" vertical="center" wrapText="1"/>
    </xf>
    <xf numFmtId="168" fontId="14" fillId="0" borderId="1" xfId="4" applyNumberFormat="1" applyFont="1" applyFill="1" applyBorder="1" applyAlignment="1">
      <alignment horizontal="right"/>
    </xf>
    <xf numFmtId="168" fontId="14" fillId="0" borderId="1" xfId="1" applyNumberFormat="1" applyFont="1" applyFill="1" applyBorder="1" applyAlignment="1">
      <alignment horizontal="right" wrapText="1"/>
    </xf>
    <xf numFmtId="168" fontId="14" fillId="0" borderId="1" xfId="146" applyNumberFormat="1" applyFont="1" applyFill="1" applyBorder="1" applyAlignment="1">
      <alignment horizontal="right" wrapText="1"/>
    </xf>
    <xf numFmtId="168" fontId="14" fillId="0" borderId="1" xfId="5" applyNumberFormat="1" applyFont="1" applyFill="1" applyBorder="1" applyAlignment="1">
      <alignment horizontal="right" wrapText="1"/>
    </xf>
    <xf numFmtId="168" fontId="14" fillId="0" borderId="1" xfId="2" applyNumberFormat="1" applyFont="1" applyFill="1" applyBorder="1" applyAlignment="1">
      <alignment horizontal="right" wrapText="1"/>
    </xf>
    <xf numFmtId="168" fontId="14" fillId="0" borderId="1" xfId="0" applyNumberFormat="1" applyFont="1" applyFill="1" applyBorder="1" applyAlignment="1">
      <alignment horizontal="right" wrapText="1" shrinkToFit="1"/>
    </xf>
    <xf numFmtId="168" fontId="34" fillId="0" borderId="1" xfId="2" applyNumberFormat="1" applyFont="1" applyFill="1" applyBorder="1" applyAlignment="1">
      <alignment horizontal="right" wrapText="1"/>
    </xf>
    <xf numFmtId="168" fontId="34" fillId="0" borderId="1" xfId="146" applyNumberFormat="1" applyFont="1" applyFill="1" applyBorder="1" applyAlignment="1">
      <alignment horizontal="right" wrapText="1"/>
    </xf>
    <xf numFmtId="168" fontId="34" fillId="0" borderId="1" xfId="0" applyNumberFormat="1" applyFont="1" applyFill="1" applyBorder="1" applyAlignment="1">
      <alignment horizontal="right" wrapText="1" shrinkToFit="1"/>
    </xf>
    <xf numFmtId="168" fontId="34" fillId="0" borderId="1" xfId="1" applyNumberFormat="1" applyFont="1" applyFill="1" applyBorder="1" applyAlignment="1">
      <alignment horizontal="right" wrapText="1"/>
    </xf>
    <xf numFmtId="168" fontId="14" fillId="0" borderId="1" xfId="147" applyNumberFormat="1" applyFont="1" applyFill="1" applyBorder="1" applyAlignment="1">
      <alignment horizontal="right"/>
    </xf>
    <xf numFmtId="168" fontId="14" fillId="0" borderId="1" xfId="7" applyNumberFormat="1" applyFont="1" applyFill="1" applyBorder="1" applyAlignment="1">
      <alignment horizontal="right" wrapText="1"/>
    </xf>
    <xf numFmtId="168" fontId="34" fillId="0" borderId="1" xfId="4" applyNumberFormat="1" applyFont="1" applyFill="1" applyBorder="1" applyAlignment="1">
      <alignment horizontal="right"/>
    </xf>
    <xf numFmtId="168" fontId="16" fillId="0" borderId="1" xfId="4" applyNumberFormat="1" applyFont="1" applyFill="1" applyBorder="1" applyAlignment="1">
      <alignment horizontal="right"/>
    </xf>
    <xf numFmtId="168" fontId="14" fillId="0" borderId="1" xfId="1" applyNumberFormat="1" applyFont="1" applyFill="1" applyBorder="1" applyAlignment="1"/>
    <xf numFmtId="168" fontId="34" fillId="0" borderId="1" xfId="1" applyNumberFormat="1" applyFont="1" applyFill="1" applyBorder="1" applyAlignment="1"/>
    <xf numFmtId="49" fontId="16" fillId="0" borderId="2" xfId="5" applyNumberFormat="1" applyFont="1" applyFill="1" applyBorder="1" applyAlignment="1">
      <alignment horizontal="center"/>
    </xf>
    <xf numFmtId="0" fontId="14" fillId="0" borderId="0" xfId="5" applyFont="1" applyBorder="1" applyAlignment="1">
      <alignment horizontal="left"/>
    </xf>
    <xf numFmtId="0" fontId="28" fillId="0" borderId="0" xfId="5" applyFont="1" applyBorder="1" applyAlignment="1">
      <alignment horizontal="center" wrapText="1"/>
    </xf>
    <xf numFmtId="0" fontId="13" fillId="0" borderId="0" xfId="18" applyFont="1" applyAlignment="1">
      <alignment wrapText="1"/>
    </xf>
    <xf numFmtId="0" fontId="13" fillId="0" borderId="0" xfId="18" applyAlignment="1">
      <alignment wrapText="1"/>
    </xf>
    <xf numFmtId="0" fontId="27" fillId="0" borderId="4" xfId="0" applyFont="1" applyBorder="1" applyAlignment="1">
      <alignment horizontal="center" vertical="center" wrapText="1"/>
    </xf>
    <xf numFmtId="167" fontId="16" fillId="0" borderId="4" xfId="1" applyNumberFormat="1" applyFont="1" applyFill="1" applyBorder="1" applyAlignment="1">
      <alignment horizontal="center" vertical="center" wrapText="1"/>
    </xf>
    <xf numFmtId="167" fontId="16" fillId="0" borderId="1" xfId="1" applyNumberFormat="1" applyFont="1" applyFill="1" applyBorder="1" applyAlignment="1">
      <alignment horizontal="center" vertical="center" wrapText="1"/>
    </xf>
    <xf numFmtId="175" fontId="57" fillId="0" borderId="1" xfId="0" applyNumberFormat="1" applyFont="1" applyFill="1" applyBorder="1" applyAlignment="1">
      <alignment horizontal="center" wrapText="1"/>
    </xf>
    <xf numFmtId="2" fontId="16" fillId="0" borderId="1" xfId="5" applyNumberFormat="1" applyFont="1" applyFill="1" applyBorder="1" applyAlignment="1">
      <alignment horizontal="center"/>
    </xf>
    <xf numFmtId="2" fontId="16" fillId="0" borderId="1" xfId="0" applyNumberFormat="1" applyFont="1" applyBorder="1"/>
    <xf numFmtId="175" fontId="58" fillId="0" borderId="1" xfId="0" applyNumberFormat="1" applyFont="1" applyFill="1" applyBorder="1" applyAlignment="1">
      <alignment horizontal="center" wrapText="1"/>
    </xf>
    <xf numFmtId="2" fontId="14" fillId="0" borderId="1" xfId="5" applyNumberFormat="1" applyFont="1" applyFill="1" applyBorder="1" applyAlignment="1">
      <alignment horizontal="center"/>
    </xf>
    <xf numFmtId="2" fontId="14" fillId="0" borderId="1" xfId="0" applyNumberFormat="1" applyFont="1" applyBorder="1"/>
    <xf numFmtId="2" fontId="27" fillId="0" borderId="0" xfId="0" applyNumberFormat="1" applyFont="1"/>
    <xf numFmtId="2" fontId="15" fillId="0" borderId="0" xfId="0" applyNumberFormat="1" applyFont="1"/>
    <xf numFmtId="2" fontId="0" fillId="0" borderId="0" xfId="0" applyNumberFormat="1"/>
    <xf numFmtId="0" fontId="0" fillId="0" borderId="0" xfId="0" applyAlignment="1">
      <alignment horizontal="right" wrapText="1"/>
    </xf>
    <xf numFmtId="170" fontId="0" fillId="0" borderId="6" xfId="148" applyNumberFormat="1" applyFont="1" applyBorder="1" applyAlignment="1"/>
    <xf numFmtId="168" fontId="27" fillId="0" borderId="1" xfId="0" applyNumberFormat="1" applyFont="1" applyBorder="1"/>
    <xf numFmtId="168" fontId="15" fillId="0" borderId="1" xfId="0" applyNumberFormat="1" applyFont="1" applyBorder="1"/>
    <xf numFmtId="0" fontId="56" fillId="0" borderId="0" xfId="18" applyFont="1" applyBorder="1" applyAlignment="1">
      <alignment horizontal="right" wrapText="1"/>
    </xf>
    <xf numFmtId="0" fontId="0" fillId="0" borderId="0" xfId="0" applyBorder="1" applyAlignment="1">
      <alignment horizontal="right"/>
    </xf>
    <xf numFmtId="168" fontId="16" fillId="0" borderId="1" xfId="0" applyNumberFormat="1" applyFont="1" applyFill="1" applyBorder="1" applyAlignment="1">
      <alignment horizontal="center" vertical="center" wrapText="1"/>
    </xf>
    <xf numFmtId="168" fontId="16" fillId="0" borderId="1" xfId="0" applyNumberFormat="1" applyFont="1" applyBorder="1" applyAlignment="1">
      <alignment horizontal="center" vertical="center" wrapText="1"/>
    </xf>
    <xf numFmtId="168" fontId="14" fillId="0" borderId="1" xfId="0" applyNumberFormat="1" applyFont="1" applyFill="1" applyBorder="1" applyAlignment="1">
      <alignment horizontal="center" vertical="center" wrapText="1"/>
    </xf>
    <xf numFmtId="168" fontId="14" fillId="0" borderId="1" xfId="0" applyNumberFormat="1" applyFont="1" applyFill="1" applyBorder="1" applyAlignment="1">
      <alignment horizontal="center" vertical="center"/>
    </xf>
    <xf numFmtId="168" fontId="14" fillId="0" borderId="1" xfId="0" applyNumberFormat="1" applyFont="1" applyBorder="1" applyAlignment="1">
      <alignment horizontal="center" vertical="center" wrapText="1"/>
    </xf>
    <xf numFmtId="168" fontId="16" fillId="0" borderId="1" xfId="0" applyNumberFormat="1" applyFont="1" applyFill="1" applyBorder="1" applyAlignment="1">
      <alignment horizontal="right" wrapText="1"/>
    </xf>
    <xf numFmtId="168" fontId="16" fillId="0" borderId="1" xfId="0" applyNumberFormat="1" applyFont="1" applyBorder="1" applyAlignment="1">
      <alignment horizontal="right" wrapText="1"/>
    </xf>
    <xf numFmtId="166" fontId="14" fillId="0" borderId="0" xfId="85" applyNumberFormat="1" applyFont="1" applyAlignment="1">
      <alignment vertical="top" wrapText="1"/>
    </xf>
    <xf numFmtId="168" fontId="27" fillId="0" borderId="0" xfId="0" applyNumberFormat="1" applyFont="1"/>
    <xf numFmtId="168" fontId="15" fillId="0" borderId="0" xfId="0" applyNumberFormat="1" applyFont="1"/>
    <xf numFmtId="2" fontId="45" fillId="0" borderId="1" xfId="85" applyNumberFormat="1" applyFont="1" applyFill="1" applyBorder="1" applyAlignment="1">
      <alignment horizontal="center" vertical="center" wrapText="1"/>
    </xf>
    <xf numFmtId="168" fontId="14" fillId="0" borderId="1" xfId="85" applyNumberFormat="1" applyFont="1" applyFill="1" applyBorder="1" applyAlignment="1">
      <alignment horizontal="center" vertical="center" wrapText="1"/>
    </xf>
    <xf numFmtId="166" fontId="16" fillId="0" borderId="0" xfId="85" applyNumberFormat="1" applyFont="1" applyAlignment="1">
      <alignment vertical="top" wrapText="1"/>
    </xf>
    <xf numFmtId="2" fontId="14" fillId="0" borderId="1" xfId="85" applyNumberFormat="1" applyFont="1" applyFill="1" applyBorder="1" applyAlignment="1">
      <alignment horizontal="center" vertical="center" wrapText="1"/>
    </xf>
    <xf numFmtId="168" fontId="45" fillId="0" borderId="1" xfId="85" applyNumberFormat="1" applyFont="1" applyFill="1" applyBorder="1" applyAlignment="1">
      <alignment horizontal="center" vertical="center" wrapText="1"/>
    </xf>
    <xf numFmtId="167" fontId="14" fillId="0" borderId="1" xfId="85" applyNumberFormat="1" applyFont="1" applyFill="1" applyBorder="1" applyAlignment="1">
      <alignment horizontal="center" vertical="center" wrapText="1"/>
    </xf>
    <xf numFmtId="0" fontId="48" fillId="0" borderId="1" xfId="0" applyFont="1" applyFill="1" applyBorder="1" applyAlignment="1">
      <alignment horizontal="center" vertical="center" wrapText="1"/>
    </xf>
    <xf numFmtId="0" fontId="48" fillId="0" borderId="1" xfId="0" applyFont="1" applyFill="1" applyBorder="1" applyAlignment="1">
      <alignment horizontal="justify" vertical="center" wrapText="1"/>
    </xf>
    <xf numFmtId="168" fontId="16" fillId="0" borderId="1" xfId="85" applyNumberFormat="1" applyFont="1" applyFill="1" applyBorder="1" applyAlignment="1">
      <alignment horizontal="center" vertical="center" wrapText="1"/>
    </xf>
    <xf numFmtId="0" fontId="14" fillId="0" borderId="0" xfId="85" applyFont="1" applyFill="1" applyAlignment="1">
      <alignment vertical="top" wrapText="1"/>
    </xf>
    <xf numFmtId="0" fontId="48" fillId="0" borderId="1" xfId="0" applyFont="1" applyFill="1" applyBorder="1" applyAlignment="1">
      <alignment horizontal="left" vertical="center" wrapText="1"/>
    </xf>
    <xf numFmtId="0" fontId="54" fillId="0" borderId="1" xfId="0" applyFont="1" applyFill="1" applyBorder="1" applyAlignment="1">
      <alignment horizontal="justify" vertical="center" wrapText="1"/>
    </xf>
    <xf numFmtId="166" fontId="16" fillId="0" borderId="1" xfId="85" applyNumberFormat="1" applyFont="1" applyFill="1" applyBorder="1" applyAlignment="1">
      <alignment horizontal="center" vertical="center" wrapText="1"/>
    </xf>
    <xf numFmtId="0" fontId="16" fillId="0" borderId="0" xfId="85" applyFont="1" applyFill="1" applyAlignment="1">
      <alignment vertical="top" wrapText="1"/>
    </xf>
    <xf numFmtId="0" fontId="49" fillId="0" borderId="1" xfId="0" applyFont="1" applyFill="1" applyBorder="1" applyAlignment="1">
      <alignment horizontal="justify" vertical="center" wrapText="1"/>
    </xf>
    <xf numFmtId="166" fontId="45" fillId="0" borderId="1" xfId="85" applyNumberFormat="1" applyFont="1" applyFill="1" applyBorder="1" applyAlignment="1">
      <alignment horizontal="center" vertical="center" wrapText="1"/>
    </xf>
    <xf numFmtId="0" fontId="16" fillId="0" borderId="1" xfId="85" applyFont="1" applyFill="1" applyBorder="1" applyAlignment="1">
      <alignment vertical="top" wrapText="1"/>
    </xf>
    <xf numFmtId="0" fontId="48" fillId="0" borderId="1" xfId="0" applyFont="1" applyBorder="1" applyAlignment="1">
      <alignment horizontal="right" vertical="center" wrapText="1"/>
    </xf>
    <xf numFmtId="168" fontId="30" fillId="0" borderId="1" xfId="85" applyNumberFormat="1" applyFont="1" applyFill="1" applyBorder="1" applyAlignment="1" applyProtection="1">
      <alignment horizontal="right" wrapText="1"/>
    </xf>
    <xf numFmtId="168" fontId="16" fillId="0" borderId="1" xfId="85" applyNumberFormat="1" applyFont="1" applyBorder="1" applyAlignment="1">
      <alignment horizontal="right" vertical="center" wrapText="1"/>
    </xf>
    <xf numFmtId="168" fontId="16" fillId="0" borderId="1" xfId="85" applyNumberFormat="1" applyFont="1" applyFill="1" applyBorder="1" applyAlignment="1">
      <alignment horizontal="right" vertical="center" wrapText="1"/>
    </xf>
    <xf numFmtId="0" fontId="14" fillId="0" borderId="3" xfId="85" applyFont="1" applyBorder="1" applyAlignment="1">
      <alignment vertical="top" wrapText="1"/>
    </xf>
    <xf numFmtId="0" fontId="30" fillId="0" borderId="5" xfId="85" applyNumberFormat="1" applyFont="1" applyFill="1" applyBorder="1" applyAlignment="1" applyProtection="1">
      <alignment horizontal="right" vertical="center" wrapText="1"/>
    </xf>
    <xf numFmtId="0" fontId="16" fillId="0" borderId="5" xfId="85" applyFont="1" applyBorder="1" applyAlignment="1">
      <alignment vertical="top" wrapText="1"/>
    </xf>
    <xf numFmtId="0" fontId="82" fillId="0" borderId="1" xfId="0" applyFont="1" applyBorder="1" applyAlignment="1">
      <alignment horizontal="center" vertical="center" wrapText="1"/>
    </xf>
    <xf numFmtId="168" fontId="30" fillId="0" borderId="1" xfId="85" applyNumberFormat="1" applyFont="1" applyBorder="1" applyAlignment="1">
      <alignment horizontal="center" vertical="center" wrapText="1"/>
    </xf>
    <xf numFmtId="0" fontId="30" fillId="0" borderId="1" xfId="85" applyFont="1" applyBorder="1" applyAlignment="1">
      <alignment horizontal="center" vertical="center" wrapText="1"/>
    </xf>
    <xf numFmtId="168" fontId="30" fillId="0" borderId="1" xfId="85" applyNumberFormat="1" applyFont="1" applyBorder="1" applyAlignment="1">
      <alignment horizontal="right" vertical="center" wrapText="1"/>
    </xf>
    <xf numFmtId="0" fontId="30" fillId="0" borderId="0" xfId="85" applyFont="1" applyAlignment="1">
      <alignment vertical="top" wrapText="1"/>
    </xf>
    <xf numFmtId="168" fontId="57" fillId="0" borderId="1" xfId="0" applyNumberFormat="1" applyFont="1" applyFill="1" applyBorder="1" applyAlignment="1">
      <alignment horizontal="center" wrapText="1"/>
    </xf>
    <xf numFmtId="168" fontId="16" fillId="0" borderId="3" xfId="5" applyNumberFormat="1" applyFont="1" applyFill="1" applyBorder="1" applyAlignment="1">
      <alignment horizontal="center"/>
    </xf>
    <xf numFmtId="168" fontId="58" fillId="0" borderId="1" xfId="0" applyNumberFormat="1" applyFont="1" applyFill="1" applyBorder="1" applyAlignment="1">
      <alignment horizontal="center" wrapText="1"/>
    </xf>
    <xf numFmtId="168" fontId="14" fillId="0" borderId="3" xfId="5" applyNumberFormat="1" applyFont="1" applyFill="1" applyBorder="1" applyAlignment="1">
      <alignment horizontal="center"/>
    </xf>
    <xf numFmtId="168" fontId="15" fillId="0" borderId="3" xfId="0" applyNumberFormat="1" applyFont="1" applyFill="1" applyBorder="1"/>
    <xf numFmtId="168" fontId="15" fillId="0" borderId="1" xfId="0" applyNumberFormat="1" applyFont="1" applyFill="1" applyBorder="1"/>
    <xf numFmtId="168" fontId="14" fillId="0" borderId="1" xfId="5" applyNumberFormat="1" applyFont="1" applyFill="1" applyBorder="1" applyAlignment="1">
      <alignment horizontal="center" vertical="center"/>
    </xf>
    <xf numFmtId="173" fontId="20" fillId="0" borderId="1" xfId="0" applyNumberFormat="1" applyFont="1" applyFill="1" applyBorder="1" applyAlignment="1">
      <alignment horizontal="center" vertical="center" wrapText="1"/>
    </xf>
    <xf numFmtId="173" fontId="32" fillId="0" borderId="1" xfId="0" applyNumberFormat="1" applyFont="1" applyFill="1" applyBorder="1" applyAlignment="1">
      <alignment horizontal="center" wrapText="1"/>
    </xf>
    <xf numFmtId="171" fontId="32" fillId="0" borderId="1" xfId="0" applyNumberFormat="1" applyFont="1" applyFill="1" applyBorder="1" applyAlignment="1">
      <alignment horizontal="center" vertical="center" wrapText="1"/>
    </xf>
    <xf numFmtId="171" fontId="32" fillId="0" borderId="1" xfId="0" applyNumberFormat="1" applyFont="1" applyFill="1" applyBorder="1" applyAlignment="1">
      <alignment horizontal="center" wrapText="1"/>
    </xf>
    <xf numFmtId="0" fontId="18" fillId="0" borderId="0" xfId="0" applyFont="1" applyBorder="1"/>
    <xf numFmtId="49" fontId="18" fillId="0" borderId="0" xfId="0" applyNumberFormat="1" applyFont="1" applyBorder="1" applyAlignment="1">
      <alignment horizontal="right"/>
    </xf>
    <xf numFmtId="49" fontId="20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167" fontId="14" fillId="0" borderId="0" xfId="156" applyNumberFormat="1" applyFont="1" applyFill="1" applyBorder="1"/>
    <xf numFmtId="0" fontId="14" fillId="0" borderId="0" xfId="156" applyFont="1" applyFill="1" applyBorder="1" applyAlignment="1"/>
    <xf numFmtId="49" fontId="14" fillId="0" borderId="0" xfId="553" applyNumberFormat="1" applyFont="1" applyAlignment="1">
      <alignment horizontal="right"/>
    </xf>
    <xf numFmtId="0" fontId="14" fillId="0" borderId="0" xfId="553" applyFont="1"/>
    <xf numFmtId="0" fontId="14" fillId="0" borderId="1" xfId="553" applyFont="1" applyBorder="1" applyAlignment="1">
      <alignment horizontal="center" vertical="center"/>
    </xf>
    <xf numFmtId="0" fontId="14" fillId="0" borderId="1" xfId="553" applyFont="1" applyBorder="1" applyAlignment="1">
      <alignment horizontal="center" vertical="center" wrapText="1"/>
    </xf>
    <xf numFmtId="0" fontId="14" fillId="0" borderId="1" xfId="553" applyFont="1" applyBorder="1" applyAlignment="1">
      <alignment horizontal="center"/>
    </xf>
    <xf numFmtId="0" fontId="14" fillId="0" borderId="1" xfId="553" applyFont="1" applyFill="1" applyBorder="1" applyAlignment="1">
      <alignment horizontal="center" vertical="center" wrapText="1"/>
    </xf>
    <xf numFmtId="165" fontId="14" fillId="0" borderId="1" xfId="539" applyFont="1" applyBorder="1" applyAlignment="1">
      <alignment horizontal="center" vertical="center"/>
    </xf>
    <xf numFmtId="49" fontId="14" fillId="0" borderId="1" xfId="539" applyNumberFormat="1" applyFont="1" applyBorder="1" applyAlignment="1">
      <alignment horizontal="left" vertical="center" wrapText="1"/>
    </xf>
    <xf numFmtId="0" fontId="14" fillId="0" borderId="1" xfId="554" applyFont="1" applyFill="1" applyBorder="1" applyAlignment="1">
      <alignment horizontal="left" vertical="center" wrapText="1"/>
    </xf>
    <xf numFmtId="165" fontId="14" fillId="0" borderId="1" xfId="539" applyFont="1" applyBorder="1" applyAlignment="1">
      <alignment horizontal="center" vertical="center" wrapText="1"/>
    </xf>
    <xf numFmtId="165" fontId="14" fillId="0" borderId="0" xfId="553" applyNumberFormat="1" applyFont="1"/>
    <xf numFmtId="0" fontId="14" fillId="0" borderId="0" xfId="553" applyFont="1" applyAlignment="1">
      <alignment horizontal="right"/>
    </xf>
    <xf numFmtId="165" fontId="14" fillId="0" borderId="0" xfId="539" applyFont="1"/>
    <xf numFmtId="165" fontId="14" fillId="0" borderId="0" xfId="539" applyFont="1" applyAlignment="1">
      <alignment horizontal="right"/>
    </xf>
    <xf numFmtId="0" fontId="14" fillId="0" borderId="1" xfId="553" applyFont="1" applyBorder="1" applyAlignment="1">
      <alignment horizontal="right" wrapText="1"/>
    </xf>
    <xf numFmtId="165" fontId="14" fillId="0" borderId="1" xfId="553" applyNumberFormat="1" applyFont="1" applyBorder="1"/>
    <xf numFmtId="43" fontId="14" fillId="0" borderId="0" xfId="553" applyNumberFormat="1" applyFont="1"/>
    <xf numFmtId="0" fontId="14" fillId="0" borderId="1" xfId="553" applyFont="1" applyBorder="1" applyAlignment="1">
      <alignment horizontal="right"/>
    </xf>
    <xf numFmtId="0" fontId="46" fillId="0" borderId="0" xfId="555" applyFont="1" applyAlignment="1">
      <alignment vertical="top"/>
    </xf>
    <xf numFmtId="0" fontId="14" fillId="0" borderId="0" xfId="156" applyFont="1" applyFill="1" applyBorder="1" applyAlignment="1">
      <alignment horizontal="center" vertical="center"/>
    </xf>
    <xf numFmtId="0" fontId="21" fillId="0" borderId="0" xfId="156" applyFont="1" applyFill="1" applyBorder="1"/>
    <xf numFmtId="167" fontId="21" fillId="0" borderId="0" xfId="156" applyNumberFormat="1" applyFont="1" applyFill="1" applyBorder="1"/>
    <xf numFmtId="0" fontId="46" fillId="0" borderId="0" xfId="555" applyFont="1" applyAlignment="1">
      <alignment horizontal="left" vertical="top"/>
    </xf>
    <xf numFmtId="0" fontId="14" fillId="0" borderId="1" xfId="554" applyFont="1" applyFill="1" applyBorder="1" applyAlignment="1">
      <alignment horizontal="center" vertical="center" wrapText="1"/>
    </xf>
    <xf numFmtId="0" fontId="14" fillId="7" borderId="1" xfId="554" applyFont="1" applyFill="1" applyBorder="1" applyAlignment="1">
      <alignment horizontal="center" vertical="center" wrapText="1"/>
    </xf>
    <xf numFmtId="0" fontId="14" fillId="0" borderId="1" xfId="554" applyFont="1" applyBorder="1" applyAlignment="1">
      <alignment horizontal="center" vertical="center"/>
    </xf>
    <xf numFmtId="16" fontId="14" fillId="0" borderId="1" xfId="554" applyNumberFormat="1" applyFont="1" applyBorder="1" applyAlignment="1">
      <alignment horizontal="center" vertical="center"/>
    </xf>
    <xf numFmtId="0" fontId="14" fillId="0" borderId="0" xfId="554" applyFont="1" applyAlignment="1">
      <alignment vertical="center"/>
    </xf>
    <xf numFmtId="165" fontId="14" fillId="0" borderId="0" xfId="554" applyNumberFormat="1" applyFont="1" applyAlignment="1">
      <alignment vertical="center"/>
    </xf>
    <xf numFmtId="43" fontId="14" fillId="0" borderId="0" xfId="554" applyNumberFormat="1" applyFont="1" applyAlignment="1">
      <alignment vertical="center"/>
    </xf>
    <xf numFmtId="0" fontId="14" fillId="7" borderId="4" xfId="554" applyFont="1" applyFill="1" applyBorder="1" applyAlignment="1">
      <alignment horizontal="center" vertical="center" wrapText="1"/>
    </xf>
    <xf numFmtId="16" fontId="14" fillId="0" borderId="4" xfId="554" applyNumberFormat="1" applyFont="1" applyBorder="1" applyAlignment="1">
      <alignment horizontal="center" vertical="center"/>
    </xf>
    <xf numFmtId="0" fontId="14" fillId="0" borderId="4" xfId="554" applyFont="1" applyBorder="1" applyAlignment="1">
      <alignment horizontal="center" vertical="center"/>
    </xf>
    <xf numFmtId="0" fontId="14" fillId="0" borderId="1" xfId="554" applyFont="1" applyBorder="1" applyAlignment="1">
      <alignment horizontal="center" vertical="center" wrapText="1"/>
    </xf>
    <xf numFmtId="0" fontId="14" fillId="0" borderId="7" xfId="554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6" xfId="554" applyFont="1" applyFill="1" applyBorder="1" applyAlignment="1">
      <alignment horizontal="center" vertical="center" wrapText="1"/>
    </xf>
    <xf numFmtId="0" fontId="14" fillId="7" borderId="1" xfId="554" applyFont="1" applyFill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554" applyFont="1" applyBorder="1" applyAlignment="1">
      <alignment vertical="center"/>
    </xf>
    <xf numFmtId="0" fontId="14" fillId="0" borderId="1" xfId="0" applyFont="1" applyBorder="1" applyAlignment="1">
      <alignment horizontal="center" vertical="top" wrapText="1"/>
    </xf>
    <xf numFmtId="0" fontId="14" fillId="0" borderId="1" xfId="553" applyFont="1" applyFill="1" applyBorder="1" applyAlignment="1">
      <alignment horizontal="center" vertical="center"/>
    </xf>
    <xf numFmtId="0" fontId="14" fillId="0" borderId="1" xfId="553" applyFont="1" applyFill="1" applyBorder="1" applyAlignment="1">
      <alignment horizontal="center"/>
    </xf>
    <xf numFmtId="165" fontId="14" fillId="0" borderId="1" xfId="539" applyFont="1" applyFill="1" applyBorder="1" applyAlignment="1">
      <alignment horizontal="center" vertical="center" wrapText="1"/>
    </xf>
    <xf numFmtId="165" fontId="14" fillId="0" borderId="1" xfId="539" applyFont="1" applyFill="1" applyBorder="1" applyAlignment="1">
      <alignment horizontal="center" vertical="center"/>
    </xf>
    <xf numFmtId="165" fontId="14" fillId="0" borderId="0" xfId="539" applyFont="1" applyFill="1"/>
    <xf numFmtId="165" fontId="14" fillId="0" borderId="0" xfId="553" applyNumberFormat="1" applyFont="1" applyFill="1"/>
    <xf numFmtId="0" fontId="14" fillId="0" borderId="0" xfId="553" applyFont="1" applyFill="1"/>
    <xf numFmtId="165" fontId="14" fillId="0" borderId="1" xfId="553" applyNumberFormat="1" applyFont="1" applyFill="1" applyBorder="1"/>
    <xf numFmtId="49" fontId="16" fillId="0" borderId="3" xfId="5" applyNumberFormat="1" applyFont="1" applyFill="1" applyBorder="1" applyAlignment="1">
      <alignment horizontal="center"/>
    </xf>
    <xf numFmtId="0" fontId="27" fillId="0" borderId="2" xfId="0" applyFont="1" applyBorder="1" applyAlignment="1">
      <alignment horizontal="center"/>
    </xf>
    <xf numFmtId="49" fontId="16" fillId="0" borderId="3" xfId="5" applyNumberFormat="1" applyFont="1" applyFill="1" applyBorder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27" fillId="0" borderId="2" xfId="0" applyFont="1" applyBorder="1" applyAlignment="1">
      <alignment horizontal="center" wrapText="1"/>
    </xf>
    <xf numFmtId="0" fontId="16" fillId="0" borderId="0" xfId="5" applyFont="1" applyBorder="1" applyAlignment="1">
      <alignment horizontal="center" vertical="center" wrapText="1"/>
    </xf>
    <xf numFmtId="0" fontId="14" fillId="0" borderId="0" xfId="5" applyFont="1" applyAlignment="1">
      <alignment vertical="center" wrapText="1"/>
    </xf>
    <xf numFmtId="0" fontId="13" fillId="0" borderId="0" xfId="18" applyAlignment="1">
      <alignment wrapText="1"/>
    </xf>
    <xf numFmtId="0" fontId="28" fillId="0" borderId="0" xfId="5" applyFont="1" applyBorder="1" applyAlignment="1">
      <alignment horizontal="center" wrapText="1"/>
    </xf>
    <xf numFmtId="0" fontId="13" fillId="0" borderId="0" xfId="18" applyFont="1" applyAlignment="1">
      <alignment wrapText="1"/>
    </xf>
    <xf numFmtId="0" fontId="56" fillId="0" borderId="12" xfId="18" applyFont="1" applyBorder="1" applyAlignment="1">
      <alignment horizontal="right" wrapText="1"/>
    </xf>
    <xf numFmtId="0" fontId="0" fillId="0" borderId="12" xfId="0" applyBorder="1" applyAlignment="1">
      <alignment horizontal="right"/>
    </xf>
    <xf numFmtId="0" fontId="16" fillId="0" borderId="4" xfId="5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16" fillId="0" borderId="11" xfId="5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7" fontId="16" fillId="0" borderId="4" xfId="1" applyNumberFormat="1" applyFont="1" applyFill="1" applyBorder="1" applyAlignment="1">
      <alignment horizontal="center" vertical="center" wrapText="1"/>
    </xf>
    <xf numFmtId="167" fontId="16" fillId="0" borderId="3" xfId="1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4" fillId="0" borderId="4" xfId="554" applyFont="1" applyFill="1" applyBorder="1" applyAlignment="1">
      <alignment horizontal="center" vertical="center" wrapText="1"/>
    </xf>
    <xf numFmtId="0" fontId="14" fillId="0" borderId="6" xfId="554" applyFont="1" applyFill="1" applyBorder="1" applyAlignment="1">
      <alignment horizontal="center" vertical="center" wrapText="1"/>
    </xf>
    <xf numFmtId="0" fontId="14" fillId="0" borderId="4" xfId="553" applyFont="1" applyBorder="1" applyAlignment="1">
      <alignment horizontal="center" vertical="center" wrapText="1"/>
    </xf>
    <xf numFmtId="0" fontId="14" fillId="0" borderId="6" xfId="553" applyFont="1" applyBorder="1" applyAlignment="1">
      <alignment horizontal="center" vertical="center" wrapText="1"/>
    </xf>
    <xf numFmtId="0" fontId="14" fillId="0" borderId="7" xfId="553" applyFont="1" applyBorder="1" applyAlignment="1">
      <alignment horizontal="center" vertical="center" wrapText="1"/>
    </xf>
    <xf numFmtId="0" fontId="14" fillId="0" borderId="7" xfId="554" applyFont="1" applyFill="1" applyBorder="1" applyAlignment="1">
      <alignment horizontal="center" vertical="center" wrapText="1"/>
    </xf>
    <xf numFmtId="0" fontId="30" fillId="0" borderId="0" xfId="553" applyFont="1" applyAlignment="1">
      <alignment horizontal="center" wrapText="1"/>
    </xf>
    <xf numFmtId="0" fontId="43" fillId="0" borderId="0" xfId="0" applyFont="1" applyAlignment="1">
      <alignment wrapText="1"/>
    </xf>
    <xf numFmtId="0" fontId="16" fillId="0" borderId="12" xfId="553" applyFont="1" applyBorder="1" applyAlignment="1">
      <alignment vertical="center" wrapText="1"/>
    </xf>
    <xf numFmtId="0" fontId="14" fillId="0" borderId="3" xfId="553" applyFont="1" applyBorder="1" applyAlignment="1">
      <alignment horizontal="center" vertical="center" wrapText="1"/>
    </xf>
    <xf numFmtId="0" fontId="14" fillId="0" borderId="2" xfId="553" applyFont="1" applyBorder="1" applyAlignment="1">
      <alignment horizontal="center" vertical="center" wrapText="1"/>
    </xf>
    <xf numFmtId="0" fontId="32" fillId="0" borderId="0" xfId="156" applyFont="1" applyFill="1" applyBorder="1" applyAlignment="1">
      <alignment horizontal="center" vertical="center"/>
    </xf>
    <xf numFmtId="0" fontId="0" fillId="0" borderId="0" xfId="0" applyAlignment="1"/>
    <xf numFmtId="0" fontId="20" fillId="0" borderId="1" xfId="156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67" fontId="34" fillId="0" borderId="1" xfId="156" applyNumberFormat="1" applyFont="1" applyFill="1" applyBorder="1" applyAlignment="1">
      <alignment horizontal="center" vertical="center" wrapText="1"/>
    </xf>
    <xf numFmtId="0" fontId="30" fillId="0" borderId="1" xfId="155" applyFont="1" applyBorder="1" applyAlignment="1">
      <alignment horizontal="center" vertical="center" wrapText="1"/>
    </xf>
    <xf numFmtId="0" fontId="18" fillId="0" borderId="1" xfId="157" applyFont="1" applyBorder="1" applyAlignment="1">
      <alignment horizontal="center" vertical="center" wrapText="1"/>
    </xf>
    <xf numFmtId="1" fontId="30" fillId="0" borderId="1" xfId="155" applyNumberFormat="1" applyFont="1" applyBorder="1" applyAlignment="1">
      <alignment horizontal="center" vertical="center"/>
    </xf>
    <xf numFmtId="0" fontId="30" fillId="0" borderId="0" xfId="0" applyFont="1" applyAlignment="1">
      <alignment horizontal="center" vertical="top" wrapText="1"/>
    </xf>
    <xf numFmtId="0" fontId="36" fillId="0" borderId="0" xfId="0" applyFont="1" applyAlignment="1">
      <alignment horizontal="center" vertical="top" wrapText="1"/>
    </xf>
    <xf numFmtId="167" fontId="17" fillId="0" borderId="12" xfId="1" applyNumberFormat="1" applyFont="1" applyFill="1" applyBorder="1" applyAlignment="1">
      <alignment horizontal="right" wrapText="1"/>
    </xf>
    <xf numFmtId="167" fontId="0" fillId="0" borderId="8" xfId="0" applyNumberFormat="1" applyBorder="1" applyAlignment="1">
      <alignment horizontal="right" wrapText="1"/>
    </xf>
    <xf numFmtId="0" fontId="30" fillId="0" borderId="1" xfId="0" applyFont="1" applyBorder="1" applyAlignment="1">
      <alignment horizontal="center" vertical="center" wrapText="1"/>
    </xf>
    <xf numFmtId="167" fontId="16" fillId="0" borderId="3" xfId="0" applyNumberFormat="1" applyFont="1" applyBorder="1" applyAlignment="1">
      <alignment horizontal="center" vertical="center" wrapText="1"/>
    </xf>
    <xf numFmtId="167" fontId="42" fillId="0" borderId="5" xfId="0" applyNumberFormat="1" applyFont="1" applyBorder="1" applyAlignment="1">
      <alignment horizontal="center" vertical="center" wrapText="1"/>
    </xf>
    <xf numFmtId="167" fontId="42" fillId="0" borderId="2" xfId="0" applyNumberFormat="1" applyFont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42" fillId="0" borderId="5" xfId="0" applyFont="1" applyFill="1" applyBorder="1" applyAlignment="1">
      <alignment horizontal="center" vertical="center" wrapText="1"/>
    </xf>
    <xf numFmtId="0" fontId="42" fillId="0" borderId="2" xfId="0" applyFont="1" applyFill="1" applyBorder="1" applyAlignment="1">
      <alignment horizontal="center" vertical="center" wrapText="1"/>
    </xf>
    <xf numFmtId="0" fontId="32" fillId="0" borderId="0" xfId="85" applyFont="1" applyBorder="1" applyAlignment="1">
      <alignment horizontal="center" vertical="center" wrapText="1"/>
    </xf>
    <xf numFmtId="0" fontId="16" fillId="0" borderId="1" xfId="85" applyFont="1" applyBorder="1" applyAlignment="1">
      <alignment horizontal="center" vertical="center" wrapText="1"/>
    </xf>
    <xf numFmtId="0" fontId="16" fillId="0" borderId="4" xfId="85" applyFont="1" applyBorder="1" applyAlignment="1">
      <alignment horizontal="center" vertical="center" wrapText="1"/>
    </xf>
    <xf numFmtId="0" fontId="16" fillId="0" borderId="3" xfId="85" applyFont="1" applyBorder="1" applyAlignment="1">
      <alignment horizontal="center" vertical="center" wrapText="1"/>
    </xf>
    <xf numFmtId="0" fontId="35" fillId="0" borderId="0" xfId="5" applyFont="1" applyBorder="1" applyAlignment="1">
      <alignment horizontal="center" wrapText="1"/>
    </xf>
    <xf numFmtId="0" fontId="34" fillId="0" borderId="0" xfId="5" applyFont="1" applyAlignment="1">
      <alignment wrapText="1"/>
    </xf>
    <xf numFmtId="0" fontId="32" fillId="0" borderId="4" xfId="0" applyFont="1" applyBorder="1" applyAlignment="1">
      <alignment horizontal="center" vertical="center" wrapText="1"/>
    </xf>
    <xf numFmtId="0" fontId="40" fillId="0" borderId="7" xfId="0" applyFont="1" applyBorder="1" applyAlignment="1">
      <alignment horizontal="center" vertical="center" wrapText="1"/>
    </xf>
    <xf numFmtId="0" fontId="40" fillId="0" borderId="6" xfId="0" applyFont="1" applyBorder="1" applyAlignment="1">
      <alignment horizontal="center" vertical="center" wrapText="1"/>
    </xf>
    <xf numFmtId="0" fontId="32" fillId="0" borderId="3" xfId="1" applyFont="1" applyFill="1" applyBorder="1" applyAlignment="1">
      <alignment horizontal="left" vertical="center" wrapText="1"/>
    </xf>
    <xf numFmtId="0" fontId="39" fillId="0" borderId="5" xfId="0" applyFont="1" applyBorder="1" applyAlignment="1">
      <alignment horizontal="left" vertical="center" wrapText="1"/>
    </xf>
    <xf numFmtId="0" fontId="39" fillId="0" borderId="2" xfId="0" applyFont="1" applyBorder="1" applyAlignment="1">
      <alignment horizontal="left" vertical="center" wrapText="1"/>
    </xf>
    <xf numFmtId="0" fontId="32" fillId="0" borderId="1" xfId="0" applyFont="1" applyBorder="1" applyAlignment="1">
      <alignment vertical="top" wrapText="1"/>
    </xf>
    <xf numFmtId="0" fontId="40" fillId="0" borderId="1" xfId="0" applyFont="1" applyBorder="1" applyAlignment="1">
      <alignment wrapText="1"/>
    </xf>
    <xf numFmtId="0" fontId="3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2" fillId="0" borderId="4" xfId="0" applyFont="1" applyBorder="1" applyAlignment="1">
      <alignment horizontal="justify" vertical="center"/>
    </xf>
    <xf numFmtId="0" fontId="40" fillId="0" borderId="7" xfId="0" applyFont="1" applyBorder="1"/>
    <xf numFmtId="0" fontId="40" fillId="0" borderId="6" xfId="0" applyFont="1" applyBorder="1"/>
    <xf numFmtId="0" fontId="32" fillId="0" borderId="7" xfId="0" applyFont="1" applyBorder="1" applyAlignment="1">
      <alignment horizontal="justify" vertical="center"/>
    </xf>
    <xf numFmtId="0" fontId="32" fillId="0" borderId="6" xfId="0" applyFont="1" applyBorder="1" applyAlignment="1">
      <alignment horizontal="justify" vertical="center"/>
    </xf>
    <xf numFmtId="0" fontId="41" fillId="0" borderId="7" xfId="0" applyFont="1" applyBorder="1"/>
    <xf numFmtId="0" fontId="41" fillId="0" borderId="6" xfId="0" applyFont="1" applyBorder="1"/>
    <xf numFmtId="0" fontId="32" fillId="0" borderId="3" xfId="0" applyFont="1" applyFill="1" applyBorder="1" applyAlignment="1">
      <alignment horizontal="center" wrapText="1"/>
    </xf>
    <xf numFmtId="0" fontId="39" fillId="0" borderId="5" xfId="0" applyFont="1" applyFill="1" applyBorder="1" applyAlignment="1">
      <alignment horizontal="center"/>
    </xf>
    <xf numFmtId="0" fontId="39" fillId="0" borderId="2" xfId="0" applyFont="1" applyFill="1" applyBorder="1" applyAlignment="1">
      <alignment horizontal="center"/>
    </xf>
    <xf numFmtId="0" fontId="32" fillId="0" borderId="4" xfId="0" applyFont="1" applyFill="1" applyBorder="1" applyAlignment="1">
      <alignment horizontal="center" vertical="center" wrapText="1"/>
    </xf>
    <xf numFmtId="0" fontId="32" fillId="0" borderId="6" xfId="0" applyFont="1" applyFill="1" applyBorder="1" applyAlignment="1">
      <alignment horizontal="center" vertical="center" wrapText="1"/>
    </xf>
    <xf numFmtId="0" fontId="42" fillId="0" borderId="5" xfId="0" applyFont="1" applyBorder="1" applyAlignment="1">
      <alignment horizontal="center"/>
    </xf>
    <xf numFmtId="0" fontId="42" fillId="0" borderId="2" xfId="0" applyFont="1" applyBorder="1" applyAlignment="1">
      <alignment horizontal="center"/>
    </xf>
    <xf numFmtId="0" fontId="42" fillId="0" borderId="6" xfId="0" applyFont="1" applyBorder="1" applyAlignment="1">
      <alignment horizontal="center" wrapText="1"/>
    </xf>
    <xf numFmtId="0" fontId="42" fillId="0" borderId="6" xfId="0" applyFont="1" applyBorder="1" applyAlignment="1">
      <alignment horizontal="center"/>
    </xf>
    <xf numFmtId="0" fontId="14" fillId="0" borderId="0" xfId="5" applyFont="1" applyBorder="1" applyAlignment="1">
      <alignment horizontal="right" wrapText="1"/>
    </xf>
    <xf numFmtId="165" fontId="16" fillId="0" borderId="4" xfId="542" applyFont="1" applyFill="1" applyBorder="1" applyAlignment="1">
      <alignment horizontal="center" vertical="center" wrapText="1"/>
    </xf>
    <xf numFmtId="165" fontId="0" fillId="0" borderId="6" xfId="542" applyFont="1" applyBorder="1" applyAlignment="1">
      <alignment horizontal="center" vertical="center" wrapText="1"/>
    </xf>
    <xf numFmtId="0" fontId="30" fillId="0" borderId="0" xfId="5" applyFont="1" applyBorder="1" applyAlignment="1">
      <alignment horizontal="center" vertical="center" wrapText="1"/>
    </xf>
    <xf numFmtId="0" fontId="18" fillId="0" borderId="0" xfId="5" applyFont="1" applyAlignment="1">
      <alignment vertical="center" wrapText="1"/>
    </xf>
    <xf numFmtId="0" fontId="81" fillId="0" borderId="0" xfId="18" applyFont="1" applyAlignment="1">
      <alignment wrapText="1"/>
    </xf>
    <xf numFmtId="166" fontId="14" fillId="0" borderId="0" xfId="1" applyNumberFormat="1" applyFont="1" applyFill="1" applyAlignment="1">
      <alignment horizontal="right" wrapText="1"/>
    </xf>
    <xf numFmtId="0" fontId="29" fillId="0" borderId="1" xfId="1" applyFont="1" applyFill="1" applyBorder="1" applyAlignment="1">
      <alignment horizontal="center" vertical="center" wrapText="1"/>
    </xf>
    <xf numFmtId="49" fontId="16" fillId="0" borderId="2" xfId="5" applyNumberFormat="1" applyFont="1" applyFill="1" applyBorder="1" applyAlignment="1">
      <alignment horizontal="center" wrapText="1"/>
    </xf>
    <xf numFmtId="49" fontId="16" fillId="0" borderId="2" xfId="5" applyNumberFormat="1" applyFont="1" applyFill="1" applyBorder="1" applyAlignment="1">
      <alignment horizontal="center"/>
    </xf>
    <xf numFmtId="166" fontId="21" fillId="0" borderId="0" xfId="0" applyNumberFormat="1" applyFont="1" applyFill="1" applyAlignment="1">
      <alignment horizontal="right" wrapText="1"/>
    </xf>
    <xf numFmtId="0" fontId="30" fillId="0" borderId="0" xfId="1" applyFont="1" applyFill="1" applyAlignment="1">
      <alignment horizontal="center" vertical="center" wrapText="1"/>
    </xf>
    <xf numFmtId="166" fontId="16" fillId="0" borderId="4" xfId="3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 wrapText="1"/>
    </xf>
  </cellXfs>
  <cellStyles count="556">
    <cellStyle name="br" xfId="160"/>
    <cellStyle name="br 2" xfId="161"/>
    <cellStyle name="col" xfId="162"/>
    <cellStyle name="col 2" xfId="163"/>
    <cellStyle name="Excel Built-in Normal" xfId="11"/>
    <cellStyle name="style0" xfId="164"/>
    <cellStyle name="style0 2" xfId="165"/>
    <cellStyle name="td" xfId="166"/>
    <cellStyle name="td 2" xfId="167"/>
    <cellStyle name="tr" xfId="168"/>
    <cellStyle name="tr 2" xfId="169"/>
    <cellStyle name="xl100" xfId="170"/>
    <cellStyle name="xl100 2" xfId="171"/>
    <cellStyle name="xl101" xfId="172"/>
    <cellStyle name="xl101 2" xfId="173"/>
    <cellStyle name="xl102" xfId="174"/>
    <cellStyle name="xl102 2" xfId="175"/>
    <cellStyle name="xl103" xfId="176"/>
    <cellStyle name="xl103 2" xfId="177"/>
    <cellStyle name="xl104" xfId="178"/>
    <cellStyle name="xl104 2" xfId="179"/>
    <cellStyle name="xl105" xfId="180"/>
    <cellStyle name="xl105 2" xfId="181"/>
    <cellStyle name="xl106" xfId="182"/>
    <cellStyle name="xl106 2" xfId="183"/>
    <cellStyle name="xl107" xfId="184"/>
    <cellStyle name="xl107 2" xfId="185"/>
    <cellStyle name="xl108" xfId="186"/>
    <cellStyle name="xl108 2" xfId="187"/>
    <cellStyle name="xl109" xfId="188"/>
    <cellStyle name="xl109 2" xfId="189"/>
    <cellStyle name="xl110" xfId="190"/>
    <cellStyle name="xl110 2" xfId="191"/>
    <cellStyle name="xl111" xfId="192"/>
    <cellStyle name="xl111 2" xfId="193"/>
    <cellStyle name="xl112" xfId="194"/>
    <cellStyle name="xl112 2" xfId="195"/>
    <cellStyle name="xl113" xfId="196"/>
    <cellStyle name="xl113 2" xfId="197"/>
    <cellStyle name="xl114" xfId="198"/>
    <cellStyle name="xl114 2" xfId="199"/>
    <cellStyle name="xl115" xfId="200"/>
    <cellStyle name="xl115 2" xfId="201"/>
    <cellStyle name="xl116" xfId="202"/>
    <cellStyle name="xl116 2" xfId="203"/>
    <cellStyle name="xl117" xfId="204"/>
    <cellStyle name="xl117 2" xfId="205"/>
    <cellStyle name="xl118" xfId="206"/>
    <cellStyle name="xl118 2" xfId="207"/>
    <cellStyle name="xl119" xfId="208"/>
    <cellStyle name="xl119 2" xfId="209"/>
    <cellStyle name="xl120" xfId="210"/>
    <cellStyle name="xl120 2" xfId="211"/>
    <cellStyle name="xl121" xfId="212"/>
    <cellStyle name="xl121 2" xfId="213"/>
    <cellStyle name="xl122" xfId="214"/>
    <cellStyle name="xl122 2" xfId="215"/>
    <cellStyle name="xl123" xfId="216"/>
    <cellStyle name="xl123 2" xfId="217"/>
    <cellStyle name="xl124" xfId="218"/>
    <cellStyle name="xl124 2" xfId="219"/>
    <cellStyle name="xl125" xfId="220"/>
    <cellStyle name="xl125 2" xfId="221"/>
    <cellStyle name="xl126" xfId="222"/>
    <cellStyle name="xl126 2" xfId="223"/>
    <cellStyle name="xl127" xfId="224"/>
    <cellStyle name="xl127 2" xfId="225"/>
    <cellStyle name="xl128" xfId="226"/>
    <cellStyle name="xl128 2" xfId="227"/>
    <cellStyle name="xl129" xfId="228"/>
    <cellStyle name="xl129 2" xfId="229"/>
    <cellStyle name="xl130" xfId="230"/>
    <cellStyle name="xl130 2" xfId="231"/>
    <cellStyle name="xl131" xfId="232"/>
    <cellStyle name="xl131 2" xfId="233"/>
    <cellStyle name="xl132" xfId="234"/>
    <cellStyle name="xl132 2" xfId="235"/>
    <cellStyle name="xl133" xfId="236"/>
    <cellStyle name="xl133 2" xfId="237"/>
    <cellStyle name="xl134" xfId="238"/>
    <cellStyle name="xl134 2" xfId="239"/>
    <cellStyle name="xl135" xfId="240"/>
    <cellStyle name="xl135 2" xfId="241"/>
    <cellStyle name="xl136" xfId="242"/>
    <cellStyle name="xl136 2" xfId="243"/>
    <cellStyle name="xl137" xfId="244"/>
    <cellStyle name="xl137 2" xfId="245"/>
    <cellStyle name="xl138" xfId="246"/>
    <cellStyle name="xl138 2" xfId="247"/>
    <cellStyle name="xl139" xfId="248"/>
    <cellStyle name="xl139 2" xfId="249"/>
    <cellStyle name="xl140" xfId="250"/>
    <cellStyle name="xl140 2" xfId="251"/>
    <cellStyle name="xl141" xfId="252"/>
    <cellStyle name="xl141 2" xfId="253"/>
    <cellStyle name="xl142" xfId="254"/>
    <cellStyle name="xl142 2" xfId="255"/>
    <cellStyle name="xl143" xfId="256"/>
    <cellStyle name="xl143 2" xfId="257"/>
    <cellStyle name="xl144" xfId="258"/>
    <cellStyle name="xl144 2" xfId="259"/>
    <cellStyle name="xl145" xfId="260"/>
    <cellStyle name="xl145 2" xfId="261"/>
    <cellStyle name="xl146" xfId="262"/>
    <cellStyle name="xl146 2" xfId="263"/>
    <cellStyle name="xl147" xfId="264"/>
    <cellStyle name="xl147 2" xfId="265"/>
    <cellStyle name="xl148" xfId="266"/>
    <cellStyle name="xl148 2" xfId="267"/>
    <cellStyle name="xl149" xfId="268"/>
    <cellStyle name="xl149 2" xfId="269"/>
    <cellStyle name="xl150" xfId="270"/>
    <cellStyle name="xl150 2" xfId="271"/>
    <cellStyle name="xl151" xfId="272"/>
    <cellStyle name="xl151 2" xfId="273"/>
    <cellStyle name="xl152" xfId="274"/>
    <cellStyle name="xl152 2" xfId="275"/>
    <cellStyle name="xl153" xfId="276"/>
    <cellStyle name="xl153 2" xfId="277"/>
    <cellStyle name="xl154" xfId="278"/>
    <cellStyle name="xl154 2" xfId="279"/>
    <cellStyle name="xl155" xfId="280"/>
    <cellStyle name="xl155 2" xfId="281"/>
    <cellStyle name="xl156" xfId="282"/>
    <cellStyle name="xl156 2" xfId="283"/>
    <cellStyle name="xl157" xfId="284"/>
    <cellStyle name="xl157 2" xfId="285"/>
    <cellStyle name="xl158" xfId="286"/>
    <cellStyle name="xl158 2" xfId="287"/>
    <cellStyle name="xl159" xfId="288"/>
    <cellStyle name="xl159 2" xfId="289"/>
    <cellStyle name="xl160" xfId="290"/>
    <cellStyle name="xl160 2" xfId="291"/>
    <cellStyle name="xl161" xfId="292"/>
    <cellStyle name="xl161 2" xfId="293"/>
    <cellStyle name="xl162" xfId="294"/>
    <cellStyle name="xl162 2" xfId="295"/>
    <cellStyle name="xl163" xfId="296"/>
    <cellStyle name="xl163 2" xfId="297"/>
    <cellStyle name="xl164" xfId="298"/>
    <cellStyle name="xl164 2" xfId="299"/>
    <cellStyle name="xl165" xfId="300"/>
    <cellStyle name="xl165 2" xfId="301"/>
    <cellStyle name="xl166" xfId="302"/>
    <cellStyle name="xl166 2" xfId="303"/>
    <cellStyle name="xl167" xfId="304"/>
    <cellStyle name="xl167 2" xfId="305"/>
    <cellStyle name="xl168" xfId="306"/>
    <cellStyle name="xl168 2" xfId="307"/>
    <cellStyle name="xl169" xfId="308"/>
    <cellStyle name="xl169 2" xfId="309"/>
    <cellStyle name="xl170" xfId="310"/>
    <cellStyle name="xl170 2" xfId="311"/>
    <cellStyle name="xl171" xfId="312"/>
    <cellStyle name="xl171 2" xfId="313"/>
    <cellStyle name="xl172" xfId="314"/>
    <cellStyle name="xl172 2" xfId="315"/>
    <cellStyle name="xl173" xfId="316"/>
    <cellStyle name="xl173 2" xfId="317"/>
    <cellStyle name="xl174" xfId="318"/>
    <cellStyle name="xl174 2" xfId="319"/>
    <cellStyle name="xl175" xfId="320"/>
    <cellStyle name="xl175 2" xfId="321"/>
    <cellStyle name="xl176" xfId="322"/>
    <cellStyle name="xl177" xfId="323"/>
    <cellStyle name="xl178" xfId="324"/>
    <cellStyle name="xl179" xfId="325"/>
    <cellStyle name="xl180" xfId="326"/>
    <cellStyle name="xl181" xfId="327"/>
    <cellStyle name="xl182" xfId="328"/>
    <cellStyle name="xl183" xfId="329"/>
    <cellStyle name="xl184" xfId="330"/>
    <cellStyle name="xl185" xfId="331"/>
    <cellStyle name="xl186" xfId="332"/>
    <cellStyle name="xl187" xfId="333"/>
    <cellStyle name="xl188" xfId="334"/>
    <cellStyle name="xl189" xfId="335"/>
    <cellStyle name="xl190" xfId="336"/>
    <cellStyle name="xl191" xfId="337"/>
    <cellStyle name="xl192" xfId="338"/>
    <cellStyle name="xl193" xfId="339"/>
    <cellStyle name="xl194" xfId="340"/>
    <cellStyle name="xl195" xfId="341"/>
    <cellStyle name="xl196" xfId="342"/>
    <cellStyle name="xl197" xfId="343"/>
    <cellStyle name="xl198" xfId="344"/>
    <cellStyle name="xl199" xfId="345"/>
    <cellStyle name="xl200" xfId="346"/>
    <cellStyle name="xl201" xfId="347"/>
    <cellStyle name="xl202" xfId="348"/>
    <cellStyle name="xl203" xfId="349"/>
    <cellStyle name="xl204" xfId="350"/>
    <cellStyle name="xl21" xfId="351"/>
    <cellStyle name="xl21 2" xfId="352"/>
    <cellStyle name="xl22" xfId="353"/>
    <cellStyle name="xl22 2" xfId="354"/>
    <cellStyle name="xl23" xfId="355"/>
    <cellStyle name="xl23 2" xfId="356"/>
    <cellStyle name="xl24" xfId="357"/>
    <cellStyle name="xl24 2" xfId="358"/>
    <cellStyle name="xl25" xfId="359"/>
    <cellStyle name="xl25 2" xfId="360"/>
    <cellStyle name="xl26" xfId="361"/>
    <cellStyle name="xl26 2" xfId="362"/>
    <cellStyle name="xl27" xfId="363"/>
    <cellStyle name="xl27 2" xfId="364"/>
    <cellStyle name="xl28" xfId="365"/>
    <cellStyle name="xl28 2" xfId="366"/>
    <cellStyle name="xl29" xfId="367"/>
    <cellStyle name="xl29 2" xfId="368"/>
    <cellStyle name="xl30" xfId="369"/>
    <cellStyle name="xl30 2" xfId="370"/>
    <cellStyle name="xl31" xfId="371"/>
    <cellStyle name="xl31 2" xfId="372"/>
    <cellStyle name="xl32" xfId="373"/>
    <cellStyle name="xl32 2" xfId="374"/>
    <cellStyle name="xl33" xfId="375"/>
    <cellStyle name="xl33 2" xfId="376"/>
    <cellStyle name="xl34" xfId="377"/>
    <cellStyle name="xl34 2" xfId="378"/>
    <cellStyle name="xl35" xfId="379"/>
    <cellStyle name="xl35 2" xfId="380"/>
    <cellStyle name="xl36" xfId="381"/>
    <cellStyle name="xl36 2" xfId="382"/>
    <cellStyle name="xl37" xfId="383"/>
    <cellStyle name="xl37 2" xfId="384"/>
    <cellStyle name="xl38" xfId="385"/>
    <cellStyle name="xl38 2" xfId="386"/>
    <cellStyle name="xl39" xfId="387"/>
    <cellStyle name="xl39 2" xfId="388"/>
    <cellStyle name="xl40" xfId="389"/>
    <cellStyle name="xl40 2" xfId="390"/>
    <cellStyle name="xl41" xfId="391"/>
    <cellStyle name="xl41 2" xfId="392"/>
    <cellStyle name="xl42" xfId="393"/>
    <cellStyle name="xl42 2" xfId="394"/>
    <cellStyle name="xl43" xfId="395"/>
    <cellStyle name="xl43 2" xfId="396"/>
    <cellStyle name="xl44" xfId="397"/>
    <cellStyle name="xl44 2" xfId="398"/>
    <cellStyle name="xl45" xfId="399"/>
    <cellStyle name="xl45 2" xfId="400"/>
    <cellStyle name="xl46" xfId="401"/>
    <cellStyle name="xl46 2" xfId="402"/>
    <cellStyle name="xl47" xfId="403"/>
    <cellStyle name="xl47 2" xfId="404"/>
    <cellStyle name="xl48" xfId="405"/>
    <cellStyle name="xl48 2" xfId="406"/>
    <cellStyle name="xl49" xfId="407"/>
    <cellStyle name="xl49 2" xfId="408"/>
    <cellStyle name="xl50" xfId="409"/>
    <cellStyle name="xl50 2" xfId="410"/>
    <cellStyle name="xl51" xfId="411"/>
    <cellStyle name="xl51 2" xfId="412"/>
    <cellStyle name="xl52" xfId="413"/>
    <cellStyle name="xl52 2" xfId="414"/>
    <cellStyle name="xl53" xfId="415"/>
    <cellStyle name="xl53 2" xfId="416"/>
    <cellStyle name="xl54" xfId="417"/>
    <cellStyle name="xl54 2" xfId="418"/>
    <cellStyle name="xl55" xfId="419"/>
    <cellStyle name="xl55 2" xfId="420"/>
    <cellStyle name="xl56" xfId="421"/>
    <cellStyle name="xl56 2" xfId="422"/>
    <cellStyle name="xl57" xfId="423"/>
    <cellStyle name="xl57 2" xfId="424"/>
    <cellStyle name="xl58" xfId="425"/>
    <cellStyle name="xl58 2" xfId="426"/>
    <cellStyle name="xl59" xfId="427"/>
    <cellStyle name="xl59 2" xfId="428"/>
    <cellStyle name="xl60" xfId="429"/>
    <cellStyle name="xl60 2" xfId="430"/>
    <cellStyle name="xl61" xfId="431"/>
    <cellStyle name="xl61 2" xfId="432"/>
    <cellStyle name="xl62" xfId="433"/>
    <cellStyle name="xl62 2" xfId="434"/>
    <cellStyle name="xl63" xfId="435"/>
    <cellStyle name="xl63 2" xfId="436"/>
    <cellStyle name="xl64" xfId="437"/>
    <cellStyle name="xl64 2" xfId="438"/>
    <cellStyle name="xl65" xfId="439"/>
    <cellStyle name="xl65 2" xfId="440"/>
    <cellStyle name="xl66" xfId="441"/>
    <cellStyle name="xl66 2" xfId="442"/>
    <cellStyle name="xl67" xfId="443"/>
    <cellStyle name="xl67 2" xfId="444"/>
    <cellStyle name="xl68" xfId="445"/>
    <cellStyle name="xl68 2" xfId="446"/>
    <cellStyle name="xl69" xfId="447"/>
    <cellStyle name="xl69 2" xfId="448"/>
    <cellStyle name="xl70" xfId="449"/>
    <cellStyle name="xl70 2" xfId="450"/>
    <cellStyle name="xl71" xfId="451"/>
    <cellStyle name="xl71 2" xfId="452"/>
    <cellStyle name="xl72" xfId="453"/>
    <cellStyle name="xl72 2" xfId="454"/>
    <cellStyle name="xl73" xfId="455"/>
    <cellStyle name="xl73 2" xfId="456"/>
    <cellStyle name="xl74" xfId="457"/>
    <cellStyle name="xl74 2" xfId="458"/>
    <cellStyle name="xl75" xfId="459"/>
    <cellStyle name="xl75 2" xfId="460"/>
    <cellStyle name="xl76" xfId="461"/>
    <cellStyle name="xl76 2" xfId="462"/>
    <cellStyle name="xl77" xfId="463"/>
    <cellStyle name="xl77 2" xfId="464"/>
    <cellStyle name="xl78" xfId="465"/>
    <cellStyle name="xl78 2" xfId="466"/>
    <cellStyle name="xl79" xfId="467"/>
    <cellStyle name="xl79 2" xfId="468"/>
    <cellStyle name="xl80" xfId="469"/>
    <cellStyle name="xl80 2" xfId="470"/>
    <cellStyle name="xl81" xfId="471"/>
    <cellStyle name="xl81 2" xfId="472"/>
    <cellStyle name="xl82" xfId="473"/>
    <cellStyle name="xl82 2" xfId="474"/>
    <cellStyle name="xl83" xfId="475"/>
    <cellStyle name="xl83 2" xfId="476"/>
    <cellStyle name="xl84" xfId="477"/>
    <cellStyle name="xl84 2" xfId="478"/>
    <cellStyle name="xl85" xfId="479"/>
    <cellStyle name="xl85 2" xfId="480"/>
    <cellStyle name="xl86" xfId="481"/>
    <cellStyle name="xl86 2" xfId="482"/>
    <cellStyle name="xl87" xfId="483"/>
    <cellStyle name="xl87 2" xfId="484"/>
    <cellStyle name="xl88" xfId="485"/>
    <cellStyle name="xl88 2" xfId="486"/>
    <cellStyle name="xl89" xfId="487"/>
    <cellStyle name="xl89 2" xfId="488"/>
    <cellStyle name="xl90" xfId="489"/>
    <cellStyle name="xl90 2" xfId="490"/>
    <cellStyle name="xl91" xfId="491"/>
    <cellStyle name="xl91 2" xfId="492"/>
    <cellStyle name="xl92" xfId="493"/>
    <cellStyle name="xl92 2" xfId="494"/>
    <cellStyle name="xl93" xfId="495"/>
    <cellStyle name="xl93 2" xfId="496"/>
    <cellStyle name="xl94" xfId="497"/>
    <cellStyle name="xl94 2" xfId="498"/>
    <cellStyle name="xl95" xfId="499"/>
    <cellStyle name="xl95 2" xfId="500"/>
    <cellStyle name="xl96" xfId="501"/>
    <cellStyle name="xl96 2" xfId="502"/>
    <cellStyle name="xl97" xfId="503"/>
    <cellStyle name="xl97 2" xfId="504"/>
    <cellStyle name="xl98" xfId="505"/>
    <cellStyle name="xl98 2" xfId="506"/>
    <cellStyle name="xl99" xfId="507"/>
    <cellStyle name="xl99 2" xfId="508"/>
    <cellStyle name="Гиперссылка 2" xfId="12"/>
    <cellStyle name="Денежный" xfId="147" builtinId="4"/>
    <cellStyle name="Денежный 2" xfId="509"/>
    <cellStyle name="Денежный 3" xfId="549"/>
    <cellStyle name="Обычный" xfId="0" builtinId="0"/>
    <cellStyle name="Обычный 10" xfId="3"/>
    <cellStyle name="Обычный 11" xfId="13"/>
    <cellStyle name="Обычный 12" xfId="14"/>
    <cellStyle name="Обычный 13" xfId="15"/>
    <cellStyle name="Обычный 14" xfId="16"/>
    <cellStyle name="Обычный 15" xfId="17"/>
    <cellStyle name="Обычный 16" xfId="1"/>
    <cellStyle name="Обычный 17" xfId="18"/>
    <cellStyle name="Обычный 18" xfId="19"/>
    <cellStyle name="Обычный 18 2" xfId="2"/>
    <cellStyle name="Обычный 18 2 2" xfId="20"/>
    <cellStyle name="Обычный 18 2 2 2" xfId="6"/>
    <cellStyle name="Обычный 18 2 2 2 2" xfId="141"/>
    <cellStyle name="Обычный 18 2 2 3" xfId="510"/>
    <cellStyle name="Обычный 18 2 3" xfId="142"/>
    <cellStyle name="Обычный 18 2 4" xfId="145"/>
    <cellStyle name="Обычный 18 2 4 2" xfId="146"/>
    <cellStyle name="Обычный 18 2 5" xfId="511"/>
    <cellStyle name="Обычный 18 2 6" xfId="512"/>
    <cellStyle name="Обычный 18 2 7" xfId="513"/>
    <cellStyle name="Обычный 18 3" xfId="21"/>
    <cellStyle name="Обычный 18 3 2" xfId="143"/>
    <cellStyle name="Обычный 18 3 2 2" xfId="149"/>
    <cellStyle name="Обычный 18 3 2 3" xfId="150"/>
    <cellStyle name="Обычный 18 3 2 3 2" xfId="151"/>
    <cellStyle name="Обычный 18 3 3" xfId="144"/>
    <cellStyle name="Обычный 18 3 3 2" xfId="152"/>
    <cellStyle name="Обычный 18 3 3 3" xfId="153"/>
    <cellStyle name="Обычный 18 3 3 3 2" xfId="154"/>
    <cellStyle name="Обычный 18 4" xfId="22"/>
    <cellStyle name="Обычный 18 4 2" xfId="514"/>
    <cellStyle name="Обычный 18 5" xfId="515"/>
    <cellStyle name="Обычный 18 6" xfId="516"/>
    <cellStyle name="Обычный 18 7" xfId="517"/>
    <cellStyle name="Обычный 19" xfId="23"/>
    <cellStyle name="Обычный 2" xfId="8"/>
    <cellStyle name="Обычный 2 10" xfId="24"/>
    <cellStyle name="Обычный 2 11" xfId="25"/>
    <cellStyle name="Обычный 2 12" xfId="26"/>
    <cellStyle name="Обычный 2 13" xfId="27"/>
    <cellStyle name="Обычный 2 14" xfId="28"/>
    <cellStyle name="Обычный 2 15" xfId="29"/>
    <cellStyle name="Обычный 2 16" xfId="30"/>
    <cellStyle name="Обычный 2 17" xfId="31"/>
    <cellStyle name="Обычный 2 18" xfId="32"/>
    <cellStyle name="Обычный 2 19" xfId="33"/>
    <cellStyle name="Обычный 2 2" xfId="34"/>
    <cellStyle name="Обычный 2 2 2" xfId="9"/>
    <cellStyle name="Обычный 2 2 2 2" xfId="554"/>
    <cellStyle name="Обычный 2 2 3" xfId="518"/>
    <cellStyle name="Обычный 2 2 4" xfId="519"/>
    <cellStyle name="Обычный 2 2 5" xfId="553"/>
    <cellStyle name="Обычный 2 20" xfId="35"/>
    <cellStyle name="Обычный 2 21" xfId="36"/>
    <cellStyle name="Обычный 2 22" xfId="37"/>
    <cellStyle name="Обычный 2 23" xfId="38"/>
    <cellStyle name="Обычный 2 24" xfId="39"/>
    <cellStyle name="Обычный 2 25" xfId="40"/>
    <cellStyle name="Обычный 2 26" xfId="41"/>
    <cellStyle name="Обычный 2 27" xfId="42"/>
    <cellStyle name="Обычный 2 28" xfId="43"/>
    <cellStyle name="Обычный 2 29" xfId="44"/>
    <cellStyle name="Обычный 2 3" xfId="45"/>
    <cellStyle name="Обычный 2 30" xfId="46"/>
    <cellStyle name="Обычный 2 31" xfId="47"/>
    <cellStyle name="Обычный 2 32" xfId="520"/>
    <cellStyle name="Обычный 2 4" xfId="48"/>
    <cellStyle name="Обычный 2 5" xfId="49"/>
    <cellStyle name="Обычный 2 6" xfId="50"/>
    <cellStyle name="Обычный 2 7" xfId="51"/>
    <cellStyle name="Обычный 2 8" xfId="52"/>
    <cellStyle name="Обычный 2 9" xfId="53"/>
    <cellStyle name="Обычный 20" xfId="54"/>
    <cellStyle name="Обычный 20 2" xfId="521"/>
    <cellStyle name="Обычный 21" xfId="55"/>
    <cellStyle name="Обычный 22" xfId="56"/>
    <cellStyle name="Обычный 23" xfId="57"/>
    <cellStyle name="Обычный 24" xfId="58"/>
    <cellStyle name="Обычный 25" xfId="159"/>
    <cellStyle name="Обычный 26" xfId="522"/>
    <cellStyle name="Обычный 26 2" xfId="523"/>
    <cellStyle name="Обычный 26 2 2" xfId="524"/>
    <cellStyle name="Обычный 26 2 3" xfId="552"/>
    <cellStyle name="Обычный 26 2 4" xfId="555"/>
    <cellStyle name="Обычный 27" xfId="525"/>
    <cellStyle name="Обычный 28" xfId="526"/>
    <cellStyle name="Обычный 28 2" xfId="527"/>
    <cellStyle name="Обычный 28 2 2" xfId="546"/>
    <cellStyle name="Обычный 29" xfId="528"/>
    <cellStyle name="Обычный 3" xfId="59"/>
    <cellStyle name="Обычный 3 10" xfId="60"/>
    <cellStyle name="Обычный 3 11" xfId="61"/>
    <cellStyle name="Обычный 3 12" xfId="62"/>
    <cellStyle name="Обычный 3 13" xfId="63"/>
    <cellStyle name="Обычный 3 14" xfId="64"/>
    <cellStyle name="Обычный 3 15" xfId="65"/>
    <cellStyle name="Обычный 3 16" xfId="66"/>
    <cellStyle name="Обычный 3 17" xfId="67"/>
    <cellStyle name="Обычный 3 18" xfId="68"/>
    <cellStyle name="Обычный 3 19" xfId="69"/>
    <cellStyle name="Обычный 3 2" xfId="70"/>
    <cellStyle name="Обычный 3 2 2" xfId="71"/>
    <cellStyle name="Обычный 3 2 3" xfId="529"/>
    <cellStyle name="Обычный 3 20" xfId="72"/>
    <cellStyle name="Обычный 3 21" xfId="73"/>
    <cellStyle name="Обычный 3 22" xfId="74"/>
    <cellStyle name="Обычный 3 23" xfId="75"/>
    <cellStyle name="Обычный 3 24" xfId="76"/>
    <cellStyle name="Обычный 3 25" xfId="77"/>
    <cellStyle name="Обычный 3 26" xfId="78"/>
    <cellStyle name="Обычный 3 27" xfId="79"/>
    <cellStyle name="Обычный 3 28" xfId="80"/>
    <cellStyle name="Обычный 3 29" xfId="81"/>
    <cellStyle name="Обычный 3 3" xfId="82"/>
    <cellStyle name="Обычный 3 30" xfId="83"/>
    <cellStyle name="Обычный 3 31" xfId="4"/>
    <cellStyle name="Обычный 3 32" xfId="84"/>
    <cellStyle name="Обычный 3 33" xfId="85"/>
    <cellStyle name="Обычный 3 34" xfId="140"/>
    <cellStyle name="Обычный 3 4" xfId="86"/>
    <cellStyle name="Обычный 3 5" xfId="87"/>
    <cellStyle name="Обычный 3 6" xfId="88"/>
    <cellStyle name="Обычный 3 7" xfId="89"/>
    <cellStyle name="Обычный 3 8" xfId="90"/>
    <cellStyle name="Обычный 3 9" xfId="91"/>
    <cellStyle name="Обычный 30" xfId="530"/>
    <cellStyle name="Обычный 31" xfId="531"/>
    <cellStyle name="Обычный 32" xfId="532"/>
    <cellStyle name="Обычный 33" xfId="547"/>
    <cellStyle name="Обычный 4" xfId="92"/>
    <cellStyle name="Обычный 4 10" xfId="93"/>
    <cellStyle name="Обычный 4 11" xfId="94"/>
    <cellStyle name="Обычный 4 12" xfId="95"/>
    <cellStyle name="Обычный 4 13" xfId="96"/>
    <cellStyle name="Обычный 4 14" xfId="97"/>
    <cellStyle name="Обычный 4 15" xfId="98"/>
    <cellStyle name="Обычный 4 16" xfId="99"/>
    <cellStyle name="Обычный 4 17" xfId="100"/>
    <cellStyle name="Обычный 4 18" xfId="101"/>
    <cellStyle name="Обычный 4 19" xfId="102"/>
    <cellStyle name="Обычный 4 2" xfId="103"/>
    <cellStyle name="Обычный 4 20" xfId="104"/>
    <cellStyle name="Обычный 4 21" xfId="105"/>
    <cellStyle name="Обычный 4 22" xfId="106"/>
    <cellStyle name="Обычный 4 23" xfId="107"/>
    <cellStyle name="Обычный 4 24" xfId="108"/>
    <cellStyle name="Обычный 4 25" xfId="109"/>
    <cellStyle name="Обычный 4 26" xfId="110"/>
    <cellStyle name="Обычный 4 27" xfId="111"/>
    <cellStyle name="Обычный 4 28" xfId="112"/>
    <cellStyle name="Обычный 4 29" xfId="113"/>
    <cellStyle name="Обычный 4 3" xfId="114"/>
    <cellStyle name="Обычный 4 30" xfId="115"/>
    <cellStyle name="Обычный 4 31" xfId="116"/>
    <cellStyle name="Обычный 4 31 2" xfId="533"/>
    <cellStyle name="Обычный 4 32" xfId="534"/>
    <cellStyle name="Обычный 4 4" xfId="117"/>
    <cellStyle name="Обычный 4 5" xfId="118"/>
    <cellStyle name="Обычный 4 6" xfId="119"/>
    <cellStyle name="Обычный 4 7" xfId="120"/>
    <cellStyle name="Обычный 4 8" xfId="121"/>
    <cellStyle name="Обычный 4 9" xfId="122"/>
    <cellStyle name="Обычный 5" xfId="123"/>
    <cellStyle name="Обычный 5 2" xfId="124"/>
    <cellStyle name="Обычный 5 3" xfId="125"/>
    <cellStyle name="Обычный 6" xfId="126"/>
    <cellStyle name="Обычный 6 2" xfId="535"/>
    <cellStyle name="Обычный 7" xfId="127"/>
    <cellStyle name="Обычный 7 2" xfId="536"/>
    <cellStyle name="Обычный 7 3" xfId="537"/>
    <cellStyle name="Обычный 8" xfId="128"/>
    <cellStyle name="Обычный 8 2" xfId="538"/>
    <cellStyle name="Обычный 9" xfId="129"/>
    <cellStyle name="Обычный_ПР 13 фин.помощь1" xfId="155"/>
    <cellStyle name="Обычный_Прил 22,23,24" xfId="156"/>
    <cellStyle name="Обычный_Прил 5,6,8,18" xfId="157"/>
    <cellStyle name="Обычный_прил 7,9-2009-2010 нов классиф." xfId="7"/>
    <cellStyle name="Обычный_прилож 8,10 -2008г." xfId="5"/>
    <cellStyle name="Обычный_Прилож.№9 кап.стр." xfId="158"/>
    <cellStyle name="Процентный 2" xfId="130"/>
    <cellStyle name="Тысячи [0]_перечис.11" xfId="131"/>
    <cellStyle name="Тысячи_перечис.11" xfId="132"/>
    <cellStyle name="Финансовый" xfId="148" builtinId="3"/>
    <cellStyle name="Финансовый 10" xfId="539"/>
    <cellStyle name="Финансовый 11" xfId="540"/>
    <cellStyle name="Финансовый 12" xfId="550"/>
    <cellStyle name="Финансовый 13" xfId="133"/>
    <cellStyle name="Финансовый 14" xfId="551"/>
    <cellStyle name="Финансовый 2" xfId="134"/>
    <cellStyle name="Финансовый 3" xfId="135"/>
    <cellStyle name="Финансовый 3 2" xfId="10"/>
    <cellStyle name="Финансовый 3 3" xfId="136"/>
    <cellStyle name="Финансовый 3 4" xfId="541"/>
    <cellStyle name="Финансовый 4" xfId="137"/>
    <cellStyle name="Финансовый 5" xfId="138"/>
    <cellStyle name="Финансовый 6" xfId="542"/>
    <cellStyle name="Финансовый 7" xfId="543"/>
    <cellStyle name="Финансовый 8" xfId="544"/>
    <cellStyle name="Финансовый 8 2" xfId="545"/>
    <cellStyle name="Финансовый 8 2 2" xfId="548"/>
    <cellStyle name="Финансовый 9" xfId="1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3;&#1103;%20&#1086;&#1073;&#1084;&#1077;&#1085;&#1072;%20&#1085;&#1072;%20&#1087;&#1088;&#1086;&#1077;&#1082;&#1090;%20&#1073;&#1102;&#1076;&#1078;&#1077;&#1090;&#1072;%202016%20&#1075;/&#1073;&#1102;&#1076;&#1078;&#1077;&#1090;%20&#1052;&#1054;%20&#1085;&#1072;%202016&#1075;%201%20&#1095;&#1090;&#1077;&#1085;&#1080;&#1077;,%20&#1090;&#1077;&#1082;&#1089;&#1090;%20&#1080;%20&#1087;&#1088;&#1080;&#1083;&#1086;&#1078;&#1077;&#1085;&#1080;&#1077;/&#1055;&#1088;&#1080;&#1083;&#1086;&#1078;&#1077;&#1085;&#1080;&#1103;%20%202016&#1075;%20&#1088;&#1072;&#1089;&#10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 публич."/>
      <sheetName val="прил 8 разд подр 2016"/>
      <sheetName val="прил 10 2016"/>
      <sheetName val="прил 7 МП"/>
      <sheetName val="прил 9 Пр, КЦСР,КВР "/>
      <sheetName val="11БИ"/>
      <sheetName val="прил 12ДФ "/>
      <sheetName val="прил 13 МБТ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70"/>
  <sheetViews>
    <sheetView view="pageBreakPreview" zoomScaleNormal="100" zoomScaleSheetLayoutView="100" workbookViewId="0">
      <pane xSplit="3" ySplit="6" topLeftCell="D39" activePane="bottomRight" state="frozen"/>
      <selection pane="topRight" activeCell="D1" sqref="D1"/>
      <selection pane="bottomLeft" activeCell="A7" sqref="A7"/>
      <selection pane="bottomRight" activeCell="G63" sqref="G63"/>
    </sheetView>
  </sheetViews>
  <sheetFormatPr defaultRowHeight="15" x14ac:dyDescent="0.25"/>
  <cols>
    <col min="1" max="1" width="41.140625" style="9" customWidth="1"/>
    <col min="3" max="3" width="9.140625" style="8"/>
    <col min="4" max="6" width="12" style="273" customWidth="1"/>
    <col min="7" max="7" width="11" style="273" customWidth="1"/>
    <col min="8" max="8" width="8.28515625" customWidth="1"/>
    <col min="9" max="9" width="11.42578125" customWidth="1"/>
    <col min="10" max="10" width="12.42578125" style="8" hidden="1" customWidth="1"/>
  </cols>
  <sheetData>
    <row r="1" spans="1:10" s="9" customFormat="1" ht="18.75" customHeight="1" x14ac:dyDescent="0.2">
      <c r="B1" s="20"/>
      <c r="C1" s="20"/>
      <c r="D1" s="258"/>
      <c r="E1" s="258"/>
      <c r="F1" s="258" t="s">
        <v>672</v>
      </c>
      <c r="J1" s="20"/>
    </row>
    <row r="2" spans="1:10" s="9" customFormat="1" ht="12.75" x14ac:dyDescent="0.2">
      <c r="A2" s="390" t="s">
        <v>673</v>
      </c>
      <c r="B2" s="391"/>
      <c r="C2" s="391"/>
      <c r="D2" s="392"/>
      <c r="E2" s="392"/>
      <c r="F2" s="392"/>
      <c r="G2" s="392"/>
    </row>
    <row r="3" spans="1:10" s="9" customFormat="1" ht="27.75" customHeight="1" x14ac:dyDescent="0.2">
      <c r="A3" s="393" t="s">
        <v>684</v>
      </c>
      <c r="B3" s="394"/>
      <c r="C3" s="394"/>
      <c r="D3" s="392"/>
      <c r="E3" s="392"/>
      <c r="F3" s="392"/>
      <c r="G3" s="392"/>
    </row>
    <row r="4" spans="1:10" s="9" customFormat="1" ht="24.75" customHeight="1" x14ac:dyDescent="0.25">
      <c r="A4" s="259"/>
      <c r="B4" s="260"/>
      <c r="C4" s="260"/>
      <c r="D4" s="261"/>
      <c r="E4" s="261"/>
      <c r="F4" s="261"/>
      <c r="H4" s="395" t="s">
        <v>144</v>
      </c>
      <c r="I4" s="396"/>
      <c r="J4" s="260"/>
    </row>
    <row r="5" spans="1:10" s="10" customFormat="1" ht="21.75" customHeight="1" x14ac:dyDescent="0.2">
      <c r="A5" s="397" t="s">
        <v>191</v>
      </c>
      <c r="B5" s="399" t="s">
        <v>190</v>
      </c>
      <c r="C5" s="400"/>
      <c r="D5" s="403" t="s">
        <v>683</v>
      </c>
      <c r="E5" s="404" t="s">
        <v>682</v>
      </c>
      <c r="F5" s="405"/>
      <c r="G5" s="405"/>
      <c r="H5" s="406"/>
      <c r="I5" s="403" t="s">
        <v>681</v>
      </c>
      <c r="J5" s="262" t="s">
        <v>674</v>
      </c>
    </row>
    <row r="6" spans="1:10" s="10" customFormat="1" ht="67.5" customHeight="1" x14ac:dyDescent="0.2">
      <c r="A6" s="398"/>
      <c r="B6" s="401"/>
      <c r="C6" s="402"/>
      <c r="D6" s="398"/>
      <c r="E6" s="263" t="s">
        <v>675</v>
      </c>
      <c r="F6" s="263" t="s">
        <v>653</v>
      </c>
      <c r="G6" s="264" t="s">
        <v>676</v>
      </c>
      <c r="H6" s="264" t="s">
        <v>677</v>
      </c>
      <c r="I6" s="398"/>
      <c r="J6" s="262"/>
    </row>
    <row r="7" spans="1:10" s="10" customFormat="1" ht="17.25" customHeight="1" x14ac:dyDescent="0.2">
      <c r="A7" s="14" t="s">
        <v>140</v>
      </c>
      <c r="B7" s="387" t="s">
        <v>189</v>
      </c>
      <c r="C7" s="388"/>
      <c r="D7" s="265">
        <f>SUM(D8:D15)</f>
        <v>45140.205249999999</v>
      </c>
      <c r="E7" s="265">
        <f>SUM(E8:E15)</f>
        <v>50069.51165</v>
      </c>
      <c r="F7" s="265">
        <f>SUM(F8:F15)</f>
        <v>49451.299549999996</v>
      </c>
      <c r="G7" s="266">
        <f t="shared" ref="G7:G33" si="0">F7/E7*100</f>
        <v>98.765292331346316</v>
      </c>
      <c r="H7" s="267">
        <f t="shared" ref="H7:H18" si="1">F7/$F$67*100</f>
        <v>6.5424783053143685</v>
      </c>
      <c r="I7" s="267">
        <f t="shared" ref="I7:I24" si="2">F7/D7*100</f>
        <v>109.55045347296021</v>
      </c>
      <c r="J7" s="266">
        <f>SUM(J8:J15)</f>
        <v>27239.350000000002</v>
      </c>
    </row>
    <row r="8" spans="1:10" s="10" customFormat="1" ht="25.5" x14ac:dyDescent="0.2">
      <c r="A8" s="17" t="s">
        <v>188</v>
      </c>
      <c r="B8" s="16" t="s">
        <v>13</v>
      </c>
      <c r="C8" s="15" t="s">
        <v>24</v>
      </c>
      <c r="D8" s="268">
        <v>6694.5825699999996</v>
      </c>
      <c r="E8" s="268">
        <v>6974.7504300000001</v>
      </c>
      <c r="F8" s="268">
        <v>6888.1652899999999</v>
      </c>
      <c r="G8" s="269">
        <f t="shared" si="0"/>
        <v>98.758591567268454</v>
      </c>
      <c r="H8" s="270">
        <f t="shared" si="1"/>
        <v>0.91131420980511846</v>
      </c>
      <c r="I8" s="270">
        <f t="shared" si="2"/>
        <v>102.89163242033177</v>
      </c>
      <c r="J8" s="269">
        <v>1351.23</v>
      </c>
    </row>
    <row r="9" spans="1:10" s="10" customFormat="1" ht="25.5" x14ac:dyDescent="0.2">
      <c r="A9" s="17" t="s">
        <v>187</v>
      </c>
      <c r="B9" s="16" t="s">
        <v>13</v>
      </c>
      <c r="C9" s="15" t="s">
        <v>6</v>
      </c>
      <c r="D9" s="268">
        <v>2133.0457900000001</v>
      </c>
      <c r="E9" s="268">
        <v>2137.2368000000001</v>
      </c>
      <c r="F9" s="268">
        <v>2114.8836799999999</v>
      </c>
      <c r="G9" s="269">
        <f t="shared" si="0"/>
        <v>98.954111215004332</v>
      </c>
      <c r="H9" s="270">
        <f t="shared" si="1"/>
        <v>0.27980216335211389</v>
      </c>
      <c r="I9" s="270">
        <f t="shared" si="2"/>
        <v>99.148536328420761</v>
      </c>
      <c r="J9" s="269">
        <v>1786.31</v>
      </c>
    </row>
    <row r="10" spans="1:10" s="10" customFormat="1" ht="12.75" x14ac:dyDescent="0.2">
      <c r="A10" s="17" t="s">
        <v>186</v>
      </c>
      <c r="B10" s="16" t="s">
        <v>13</v>
      </c>
      <c r="C10" s="15" t="s">
        <v>53</v>
      </c>
      <c r="D10" s="268">
        <v>29045.150440000001</v>
      </c>
      <c r="E10" s="268">
        <v>32218.619320000002</v>
      </c>
      <c r="F10" s="268">
        <v>31880.632249999999</v>
      </c>
      <c r="G10" s="269">
        <f t="shared" si="0"/>
        <v>98.950957312468717</v>
      </c>
      <c r="H10" s="270">
        <f t="shared" si="1"/>
        <v>4.2178536611446971</v>
      </c>
      <c r="I10" s="270">
        <f t="shared" si="2"/>
        <v>109.76232440543694</v>
      </c>
      <c r="J10" s="269">
        <v>18006.330000000002</v>
      </c>
    </row>
    <row r="11" spans="1:10" s="10" customFormat="1" ht="12.75" customHeight="1" x14ac:dyDescent="0.2">
      <c r="A11" s="17" t="s">
        <v>185</v>
      </c>
      <c r="B11" s="16" t="s">
        <v>13</v>
      </c>
      <c r="C11" s="15" t="s">
        <v>31</v>
      </c>
      <c r="D11" s="268"/>
      <c r="E11" s="268">
        <v>9.9</v>
      </c>
      <c r="F11" s="268">
        <v>0</v>
      </c>
      <c r="G11" s="269">
        <f t="shared" si="0"/>
        <v>0</v>
      </c>
      <c r="H11" s="270">
        <f t="shared" si="1"/>
        <v>0</v>
      </c>
      <c r="I11" s="270" t="e">
        <f t="shared" si="2"/>
        <v>#DIV/0!</v>
      </c>
      <c r="J11" s="269"/>
    </row>
    <row r="12" spans="1:10" s="10" customFormat="1" ht="25.5" x14ac:dyDescent="0.2">
      <c r="A12" s="17" t="s">
        <v>184</v>
      </c>
      <c r="B12" s="16" t="s">
        <v>13</v>
      </c>
      <c r="C12" s="15" t="s">
        <v>47</v>
      </c>
      <c r="D12" s="268">
        <v>5921.4658600000002</v>
      </c>
      <c r="E12" s="268">
        <v>7382.7731000000003</v>
      </c>
      <c r="F12" s="268">
        <v>7274.5221300000003</v>
      </c>
      <c r="G12" s="269">
        <f t="shared" si="0"/>
        <v>98.53373565009062</v>
      </c>
      <c r="H12" s="270">
        <f t="shared" si="1"/>
        <v>0.96242977737992075</v>
      </c>
      <c r="I12" s="270">
        <f t="shared" si="2"/>
        <v>122.85002230849642</v>
      </c>
      <c r="J12" s="269">
        <v>4864.09</v>
      </c>
    </row>
    <row r="13" spans="1:10" s="10" customFormat="1" ht="25.5" x14ac:dyDescent="0.2">
      <c r="A13" s="17" t="s">
        <v>116</v>
      </c>
      <c r="B13" s="16" t="s">
        <v>13</v>
      </c>
      <c r="C13" s="15" t="s">
        <v>70</v>
      </c>
      <c r="D13" s="268">
        <v>394.80475999999999</v>
      </c>
      <c r="E13" s="268">
        <v>184.77</v>
      </c>
      <c r="F13" s="268">
        <v>184.63419999999999</v>
      </c>
      <c r="G13" s="269">
        <f t="shared" si="0"/>
        <v>99.926503220219715</v>
      </c>
      <c r="H13" s="270">
        <f t="shared" si="1"/>
        <v>2.4427371149219359E-2</v>
      </c>
      <c r="I13" s="270">
        <f t="shared" si="2"/>
        <v>46.765950846185341</v>
      </c>
      <c r="J13" s="269">
        <v>183</v>
      </c>
    </row>
    <row r="14" spans="1:10" s="10" customFormat="1" ht="12.75" x14ac:dyDescent="0.2">
      <c r="A14" s="17" t="s">
        <v>115</v>
      </c>
      <c r="B14" s="16" t="s">
        <v>13</v>
      </c>
      <c r="C14" s="15" t="s">
        <v>32</v>
      </c>
      <c r="D14" s="268">
        <v>0</v>
      </c>
      <c r="E14" s="268">
        <v>48</v>
      </c>
      <c r="F14" s="268">
        <v>0</v>
      </c>
      <c r="G14" s="269">
        <f t="shared" si="0"/>
        <v>0</v>
      </c>
      <c r="H14" s="270">
        <f t="shared" si="1"/>
        <v>0</v>
      </c>
      <c r="I14" s="270" t="e">
        <f t="shared" si="2"/>
        <v>#DIV/0!</v>
      </c>
      <c r="J14" s="269"/>
    </row>
    <row r="15" spans="1:10" s="10" customFormat="1" ht="12.75" x14ac:dyDescent="0.2">
      <c r="A15" s="5" t="s">
        <v>114</v>
      </c>
      <c r="B15" s="16" t="s">
        <v>13</v>
      </c>
      <c r="C15" s="15" t="s">
        <v>21</v>
      </c>
      <c r="D15" s="268">
        <v>951.15583000000004</v>
      </c>
      <c r="E15" s="268">
        <v>1113.462</v>
      </c>
      <c r="F15" s="268">
        <v>1108.462</v>
      </c>
      <c r="G15" s="269">
        <f t="shared" si="0"/>
        <v>99.550950099778888</v>
      </c>
      <c r="H15" s="270">
        <f t="shared" si="1"/>
        <v>0.14665112248329937</v>
      </c>
      <c r="I15" s="270">
        <f t="shared" si="2"/>
        <v>116.53842252115511</v>
      </c>
      <c r="J15" s="269">
        <v>1048.3900000000001</v>
      </c>
    </row>
    <row r="16" spans="1:10" s="12" customFormat="1" ht="12.75" x14ac:dyDescent="0.2">
      <c r="A16" s="14" t="s">
        <v>109</v>
      </c>
      <c r="B16" s="387" t="s">
        <v>183</v>
      </c>
      <c r="C16" s="388"/>
      <c r="D16" s="266">
        <f>D17</f>
        <v>950.8</v>
      </c>
      <c r="E16" s="266">
        <f>E17</f>
        <v>1078.3</v>
      </c>
      <c r="F16" s="266">
        <f>F17</f>
        <v>1078.3</v>
      </c>
      <c r="G16" s="266">
        <f t="shared" si="0"/>
        <v>100</v>
      </c>
      <c r="H16" s="267">
        <f t="shared" si="1"/>
        <v>0.14266064634939374</v>
      </c>
      <c r="I16" s="267">
        <f t="shared" si="2"/>
        <v>113.4097602019352</v>
      </c>
      <c r="J16" s="266">
        <f>J17</f>
        <v>517.20000000000005</v>
      </c>
    </row>
    <row r="17" spans="1:10" s="10" customFormat="1" ht="12.75" x14ac:dyDescent="0.2">
      <c r="A17" s="17" t="s">
        <v>182</v>
      </c>
      <c r="B17" s="16" t="s">
        <v>24</v>
      </c>
      <c r="C17" s="15" t="s">
        <v>6</v>
      </c>
      <c r="D17" s="269">
        <v>950.8</v>
      </c>
      <c r="E17" s="269">
        <v>1078.3</v>
      </c>
      <c r="F17" s="269">
        <v>1078.3</v>
      </c>
      <c r="G17" s="269">
        <f t="shared" si="0"/>
        <v>100</v>
      </c>
      <c r="H17" s="270">
        <f t="shared" si="1"/>
        <v>0.14266064634939374</v>
      </c>
      <c r="I17" s="270">
        <f t="shared" si="2"/>
        <v>113.4097602019352</v>
      </c>
      <c r="J17" s="269">
        <v>517.20000000000005</v>
      </c>
    </row>
    <row r="18" spans="1:10" s="12" customFormat="1" ht="27.75" customHeight="1" x14ac:dyDescent="0.2">
      <c r="A18" s="14" t="s">
        <v>108</v>
      </c>
      <c r="B18" s="387" t="s">
        <v>181</v>
      </c>
      <c r="C18" s="389"/>
      <c r="D18" s="266">
        <f>SUM(D19:D21)</f>
        <v>7847.2380499999999</v>
      </c>
      <c r="E18" s="266">
        <f>SUM(E19:E21)</f>
        <v>5606.4894599999989</v>
      </c>
      <c r="F18" s="266">
        <f>SUM(F19:F21)</f>
        <v>5521.0063099999998</v>
      </c>
      <c r="G18" s="266">
        <f t="shared" si="0"/>
        <v>98.475282070716688</v>
      </c>
      <c r="H18" s="267">
        <f t="shared" si="1"/>
        <v>0.73043710348111035</v>
      </c>
      <c r="I18" s="267">
        <f t="shared" si="2"/>
        <v>70.356044697790196</v>
      </c>
      <c r="J18" s="266">
        <f>SUM(J20:J22)</f>
        <v>1522.09</v>
      </c>
    </row>
    <row r="19" spans="1:10" s="10" customFormat="1" ht="38.25" x14ac:dyDescent="0.2">
      <c r="A19" s="17" t="s">
        <v>179</v>
      </c>
      <c r="B19" s="16" t="s">
        <v>6</v>
      </c>
      <c r="C19" s="15" t="s">
        <v>60</v>
      </c>
      <c r="D19" s="269">
        <v>6791.3036199999997</v>
      </c>
      <c r="E19" s="269">
        <v>5263.7891799999998</v>
      </c>
      <c r="F19" s="269">
        <v>5214.3860199999999</v>
      </c>
      <c r="G19" s="269">
        <f t="shared" si="0"/>
        <v>99.061452533325053</v>
      </c>
      <c r="H19" s="270">
        <f>D19/$D$67*100</f>
        <v>0.83789737579425205</v>
      </c>
      <c r="I19" s="270">
        <f t="shared" si="2"/>
        <v>76.780340149186259</v>
      </c>
      <c r="J19" s="269" t="e">
        <f>'[1]прил 10 2016'!N650</f>
        <v>#REF!</v>
      </c>
    </row>
    <row r="20" spans="1:10" s="10" customFormat="1" ht="12.75" x14ac:dyDescent="0.2">
      <c r="A20" s="17" t="s">
        <v>363</v>
      </c>
      <c r="B20" s="16" t="s">
        <v>6</v>
      </c>
      <c r="C20" s="15" t="s">
        <v>48</v>
      </c>
      <c r="D20" s="269">
        <v>1029.93443</v>
      </c>
      <c r="E20" s="269">
        <v>276.72784000000001</v>
      </c>
      <c r="F20" s="269">
        <v>251.67784</v>
      </c>
      <c r="G20" s="269">
        <f t="shared" si="0"/>
        <v>90.947784653687165</v>
      </c>
      <c r="H20" s="270">
        <f>F20/$F$67*100</f>
        <v>3.3297341487730038E-2</v>
      </c>
      <c r="I20" s="270">
        <f t="shared" si="2"/>
        <v>24.436297367008113</v>
      </c>
      <c r="J20" s="269">
        <v>1262.0899999999999</v>
      </c>
    </row>
    <row r="21" spans="1:10" s="10" customFormat="1" ht="38.25" x14ac:dyDescent="0.2">
      <c r="A21" s="17" t="s">
        <v>103</v>
      </c>
      <c r="B21" s="16" t="s">
        <v>6</v>
      </c>
      <c r="C21" s="15" t="s">
        <v>7</v>
      </c>
      <c r="D21" s="269">
        <v>26</v>
      </c>
      <c r="E21" s="269">
        <v>65.972440000000006</v>
      </c>
      <c r="F21" s="269">
        <v>54.942450000000001</v>
      </c>
      <c r="G21" s="269">
        <f t="shared" si="0"/>
        <v>83.280912453745827</v>
      </c>
      <c r="H21" s="270">
        <f>D21/$D$67*100</f>
        <v>3.2078276851728437E-3</v>
      </c>
      <c r="I21" s="270">
        <f t="shared" si="2"/>
        <v>211.31711538461539</v>
      </c>
      <c r="J21" s="269"/>
    </row>
    <row r="22" spans="1:10" s="12" customFormat="1" ht="12.75" x14ac:dyDescent="0.2">
      <c r="A22" s="14" t="s">
        <v>99</v>
      </c>
      <c r="B22" s="387" t="s">
        <v>178</v>
      </c>
      <c r="C22" s="389"/>
      <c r="D22" s="266">
        <f>SUM(D24:D28)</f>
        <v>40755.680670000002</v>
      </c>
      <c r="E22" s="266">
        <f>SUM(E24:E28)</f>
        <v>51208.765090000001</v>
      </c>
      <c r="F22" s="266">
        <f>SUM(F24:F28)</f>
        <v>43176.955710000002</v>
      </c>
      <c r="G22" s="266">
        <f t="shared" si="0"/>
        <v>84.315557374047202</v>
      </c>
      <c r="H22" s="267">
        <f>D22/$D$67*100</f>
        <v>5.0283538762034503</v>
      </c>
      <c r="I22" s="267">
        <f t="shared" si="2"/>
        <v>105.94095105319217</v>
      </c>
      <c r="J22" s="269">
        <v>260</v>
      </c>
    </row>
    <row r="23" spans="1:10" s="10" customFormat="1" ht="12.75" hidden="1" customHeight="1" x14ac:dyDescent="0.2">
      <c r="A23" s="17" t="s">
        <v>177</v>
      </c>
      <c r="B23" s="16" t="s">
        <v>53</v>
      </c>
      <c r="C23" s="15" t="s">
        <v>13</v>
      </c>
      <c r="D23" s="269"/>
      <c r="E23" s="269"/>
      <c r="F23" s="269"/>
      <c r="G23" s="269" t="e">
        <f t="shared" si="0"/>
        <v>#DIV/0!</v>
      </c>
      <c r="H23" s="270">
        <f>D23/$D$67*100</f>
        <v>0</v>
      </c>
      <c r="I23" s="270" t="e">
        <f t="shared" si="2"/>
        <v>#DIV/0!</v>
      </c>
      <c r="J23" s="266">
        <f>SUM(J26:J29)</f>
        <v>11254.439999999999</v>
      </c>
    </row>
    <row r="24" spans="1:10" s="10" customFormat="1" ht="12.75" x14ac:dyDescent="0.2">
      <c r="A24" s="17" t="s">
        <v>98</v>
      </c>
      <c r="B24" s="16" t="s">
        <v>53</v>
      </c>
      <c r="C24" s="15" t="s">
        <v>31</v>
      </c>
      <c r="D24" s="269">
        <v>1041.71</v>
      </c>
      <c r="E24" s="269">
        <v>1033.9646600000001</v>
      </c>
      <c r="F24" s="269">
        <v>659.2</v>
      </c>
      <c r="G24" s="269">
        <f t="shared" si="0"/>
        <v>63.754596796374067</v>
      </c>
      <c r="H24" s="270">
        <f>D24/$D$67*100</f>
        <v>0.1285240837662078</v>
      </c>
      <c r="I24" s="270">
        <f t="shared" si="2"/>
        <v>63.280567528390819</v>
      </c>
      <c r="J24" s="269" t="e">
        <f>'[1]прил 10 2016'!N654</f>
        <v>#REF!</v>
      </c>
    </row>
    <row r="25" spans="1:10" s="10" customFormat="1" ht="12.75" x14ac:dyDescent="0.2">
      <c r="A25" s="17"/>
      <c r="B25" s="16" t="s">
        <v>53</v>
      </c>
      <c r="C25" s="15" t="s">
        <v>47</v>
      </c>
      <c r="D25" s="269"/>
      <c r="E25" s="269">
        <v>2801.45</v>
      </c>
      <c r="F25" s="269">
        <v>200</v>
      </c>
      <c r="G25" s="269">
        <f t="shared" si="0"/>
        <v>7.1391600778168458</v>
      </c>
      <c r="H25" s="270"/>
      <c r="I25" s="270"/>
      <c r="J25" s="269"/>
    </row>
    <row r="26" spans="1:10" s="10" customFormat="1" ht="12.75" x14ac:dyDescent="0.2">
      <c r="A26" s="17" t="s">
        <v>176</v>
      </c>
      <c r="B26" s="16" t="s">
        <v>53</v>
      </c>
      <c r="C26" s="15" t="s">
        <v>60</v>
      </c>
      <c r="D26" s="269">
        <v>11593.26614</v>
      </c>
      <c r="E26" s="269">
        <v>17793.138200000001</v>
      </c>
      <c r="F26" s="269">
        <v>16017.52433</v>
      </c>
      <c r="G26" s="269">
        <f t="shared" si="0"/>
        <v>90.020794252022384</v>
      </c>
      <c r="H26" s="270">
        <f>D26/$D$67*100</f>
        <v>1.4303538494411119</v>
      </c>
      <c r="I26" s="270">
        <f>F26/D26*100</f>
        <v>138.16231022882391</v>
      </c>
      <c r="J26" s="269">
        <v>815.9</v>
      </c>
    </row>
    <row r="27" spans="1:10" s="10" customFormat="1" ht="25.5" x14ac:dyDescent="0.2">
      <c r="A27" s="17" t="s">
        <v>678</v>
      </c>
      <c r="B27" s="16" t="s">
        <v>53</v>
      </c>
      <c r="C27" s="15" t="s">
        <v>48</v>
      </c>
      <c r="D27" s="269"/>
      <c r="E27" s="269"/>
      <c r="F27" s="269"/>
      <c r="G27" s="269" t="e">
        <f t="shared" si="0"/>
        <v>#DIV/0!</v>
      </c>
      <c r="H27" s="270"/>
      <c r="I27" s="270"/>
      <c r="J27" s="269">
        <v>3585.3</v>
      </c>
    </row>
    <row r="28" spans="1:10" s="10" customFormat="1" ht="25.5" x14ac:dyDescent="0.2">
      <c r="A28" s="17" t="s">
        <v>175</v>
      </c>
      <c r="B28" s="16" t="s">
        <v>53</v>
      </c>
      <c r="C28" s="15" t="s">
        <v>25</v>
      </c>
      <c r="D28" s="269">
        <v>28120.704529999999</v>
      </c>
      <c r="E28" s="269">
        <v>29580.212230000001</v>
      </c>
      <c r="F28" s="269">
        <v>26300.231380000001</v>
      </c>
      <c r="G28" s="269">
        <f t="shared" si="0"/>
        <v>88.911570936352263</v>
      </c>
      <c r="H28" s="270">
        <f t="shared" ref="H28:H67" si="3">D28/$D$67*100</f>
        <v>3.469475942996131</v>
      </c>
      <c r="I28" s="270">
        <f t="shared" ref="I28:I67" si="4">F28/D28*100</f>
        <v>93.526217851128649</v>
      </c>
      <c r="J28" s="269"/>
    </row>
    <row r="29" spans="1:10" s="12" customFormat="1" ht="12.75" x14ac:dyDescent="0.2">
      <c r="A29" s="14" t="s">
        <v>174</v>
      </c>
      <c r="B29" s="385" t="s">
        <v>173</v>
      </c>
      <c r="C29" s="386"/>
      <c r="D29" s="266">
        <f>SUM(D30:D33)</f>
        <v>30454.620579999999</v>
      </c>
      <c r="E29" s="266">
        <f>SUM(E30:E33)</f>
        <v>32136.708160000002</v>
      </c>
      <c r="F29" s="266">
        <f>SUM(F30:F33)</f>
        <v>28747.509829999999</v>
      </c>
      <c r="G29" s="266">
        <f t="shared" si="0"/>
        <v>89.453809913802942</v>
      </c>
      <c r="H29" s="267">
        <f t="shared" si="3"/>
        <v>3.757429809152256</v>
      </c>
      <c r="I29" s="267">
        <f t="shared" si="4"/>
        <v>94.394575543912424</v>
      </c>
      <c r="J29" s="269">
        <v>6853.24</v>
      </c>
    </row>
    <row r="30" spans="1:10" s="10" customFormat="1" ht="12.75" x14ac:dyDescent="0.2">
      <c r="A30" s="17" t="s">
        <v>87</v>
      </c>
      <c r="B30" s="16" t="s">
        <v>31</v>
      </c>
      <c r="C30" s="15" t="s">
        <v>13</v>
      </c>
      <c r="D30" s="269">
        <v>0</v>
      </c>
      <c r="E30" s="269">
        <v>3000</v>
      </c>
      <c r="F30" s="269">
        <v>3000</v>
      </c>
      <c r="G30" s="269">
        <f t="shared" si="0"/>
        <v>100</v>
      </c>
      <c r="H30" s="270">
        <f t="shared" si="3"/>
        <v>0</v>
      </c>
      <c r="I30" s="270" t="e">
        <f t="shared" si="4"/>
        <v>#DIV/0!</v>
      </c>
      <c r="J30" s="266">
        <f>SUM(J31:J33)</f>
        <v>11460.080000000002</v>
      </c>
    </row>
    <row r="31" spans="1:10" s="10" customFormat="1" ht="12.75" x14ac:dyDescent="0.2">
      <c r="A31" s="17" t="s">
        <v>86</v>
      </c>
      <c r="B31" s="16" t="s">
        <v>31</v>
      </c>
      <c r="C31" s="15" t="s">
        <v>24</v>
      </c>
      <c r="D31" s="269">
        <v>23658.851620000001</v>
      </c>
      <c r="E31" s="269">
        <v>19311.809140000001</v>
      </c>
      <c r="F31" s="269">
        <v>16536.916369999999</v>
      </c>
      <c r="G31" s="269">
        <f t="shared" si="0"/>
        <v>85.631109183590439</v>
      </c>
      <c r="H31" s="270">
        <f t="shared" si="3"/>
        <v>2.9189815086935536</v>
      </c>
      <c r="I31" s="270">
        <f t="shared" si="4"/>
        <v>69.89737555993851</v>
      </c>
      <c r="J31" s="269"/>
    </row>
    <row r="32" spans="1:10" s="10" customFormat="1" ht="12.75" x14ac:dyDescent="0.2">
      <c r="A32" s="17" t="s">
        <v>172</v>
      </c>
      <c r="B32" s="16" t="s">
        <v>31</v>
      </c>
      <c r="C32" s="15" t="s">
        <v>6</v>
      </c>
      <c r="D32" s="269">
        <v>6088.1482699999997</v>
      </c>
      <c r="E32" s="269">
        <v>9104.4567999999999</v>
      </c>
      <c r="F32" s="269">
        <v>8504.7361999999994</v>
      </c>
      <c r="G32" s="269">
        <f t="shared" si="0"/>
        <v>93.412889827759955</v>
      </c>
      <c r="H32" s="270">
        <f t="shared" si="3"/>
        <v>0.75114348353627514</v>
      </c>
      <c r="I32" s="270">
        <f t="shared" si="4"/>
        <v>139.69331597766754</v>
      </c>
      <c r="J32" s="269">
        <v>8646.7800000000007</v>
      </c>
    </row>
    <row r="33" spans="1:11" s="10" customFormat="1" ht="12.75" x14ac:dyDescent="0.2">
      <c r="A33" s="17" t="s">
        <v>679</v>
      </c>
      <c r="B33" s="16" t="s">
        <v>31</v>
      </c>
      <c r="C33" s="15" t="s">
        <v>31</v>
      </c>
      <c r="D33" s="269">
        <v>707.62068999999997</v>
      </c>
      <c r="E33" s="269">
        <v>720.44222000000002</v>
      </c>
      <c r="F33" s="269">
        <v>705.85726</v>
      </c>
      <c r="G33" s="269">
        <f t="shared" si="0"/>
        <v>97.975554514281512</v>
      </c>
      <c r="H33" s="270">
        <f t="shared" si="3"/>
        <v>8.7304816922427322E-2</v>
      </c>
      <c r="I33" s="270">
        <f t="shared" si="4"/>
        <v>99.750794454582731</v>
      </c>
      <c r="J33" s="269">
        <v>2813.3</v>
      </c>
    </row>
    <row r="34" spans="1:11" s="12" customFormat="1" ht="12.75" hidden="1" customHeight="1" x14ac:dyDescent="0.2">
      <c r="A34" s="14" t="s">
        <v>171</v>
      </c>
      <c r="B34" s="385" t="s">
        <v>170</v>
      </c>
      <c r="C34" s="386"/>
      <c r="D34" s="269"/>
      <c r="E34" s="269"/>
      <c r="F34" s="269"/>
      <c r="G34" s="269"/>
      <c r="H34" s="270">
        <f t="shared" si="3"/>
        <v>0</v>
      </c>
      <c r="I34" s="270" t="e">
        <f t="shared" si="4"/>
        <v>#DIV/0!</v>
      </c>
      <c r="J34" s="269" t="e">
        <f>'[1]прил 10 2016'!N662</f>
        <v>#REF!</v>
      </c>
    </row>
    <row r="35" spans="1:11" s="10" customFormat="1" ht="25.5" hidden="1" customHeight="1" x14ac:dyDescent="0.2">
      <c r="A35" s="19" t="s">
        <v>169</v>
      </c>
      <c r="B35" s="16" t="s">
        <v>47</v>
      </c>
      <c r="C35" s="15" t="s">
        <v>6</v>
      </c>
      <c r="D35" s="269"/>
      <c r="E35" s="269"/>
      <c r="F35" s="269"/>
      <c r="G35" s="269"/>
      <c r="H35" s="270">
        <f t="shared" si="3"/>
        <v>0</v>
      </c>
      <c r="I35" s="270" t="e">
        <f t="shared" si="4"/>
        <v>#DIV/0!</v>
      </c>
      <c r="J35" s="269" t="e">
        <f>'[1]прил 10 2016'!N663</f>
        <v>#REF!</v>
      </c>
    </row>
    <row r="36" spans="1:11" s="12" customFormat="1" ht="12.75" x14ac:dyDescent="0.2">
      <c r="A36" s="14" t="s">
        <v>168</v>
      </c>
      <c r="B36" s="385" t="s">
        <v>167</v>
      </c>
      <c r="C36" s="386"/>
      <c r="D36" s="266">
        <f>SUM(D37:D42)</f>
        <v>584087.96663000004</v>
      </c>
      <c r="E36" s="266">
        <f>SUM(E37:E42)</f>
        <v>564622.68380999996</v>
      </c>
      <c r="F36" s="266">
        <f>SUM(F37:F42)</f>
        <v>534974.80776</v>
      </c>
      <c r="G36" s="266">
        <f t="shared" ref="G36:G67" si="5">F36/E36*100</f>
        <v>94.749081661059037</v>
      </c>
      <c r="H36" s="267">
        <f t="shared" si="3"/>
        <v>72.063598074308715</v>
      </c>
      <c r="I36" s="267">
        <f t="shared" si="4"/>
        <v>91.591479079192951</v>
      </c>
      <c r="J36" s="266">
        <f>SUM(J37:J42)</f>
        <v>308063.71000000002</v>
      </c>
      <c r="K36" s="271">
        <f>H36+H43+H51+H57</f>
        <v>84.383880791791711</v>
      </c>
    </row>
    <row r="37" spans="1:11" s="10" customFormat="1" ht="12.75" x14ac:dyDescent="0.2">
      <c r="A37" s="17" t="s">
        <v>79</v>
      </c>
      <c r="B37" s="16" t="s">
        <v>70</v>
      </c>
      <c r="C37" s="15" t="s">
        <v>13</v>
      </c>
      <c r="D37" s="269">
        <v>216344.90552</v>
      </c>
      <c r="E37" s="269">
        <v>128039.11476</v>
      </c>
      <c r="F37" s="269">
        <v>127217.96676</v>
      </c>
      <c r="G37" s="269">
        <f t="shared" si="5"/>
        <v>99.358674103972689</v>
      </c>
      <c r="H37" s="270">
        <f t="shared" si="3"/>
        <v>26.692199133583046</v>
      </c>
      <c r="I37" s="270">
        <f t="shared" si="4"/>
        <v>58.803310599906567</v>
      </c>
      <c r="J37" s="269">
        <v>15934.7</v>
      </c>
    </row>
    <row r="38" spans="1:11" s="10" customFormat="1" ht="12.75" x14ac:dyDescent="0.2">
      <c r="A38" s="17" t="s">
        <v>78</v>
      </c>
      <c r="B38" s="16" t="s">
        <v>70</v>
      </c>
      <c r="C38" s="15" t="s">
        <v>24</v>
      </c>
      <c r="D38" s="269">
        <v>312760.56955999997</v>
      </c>
      <c r="E38" s="269">
        <v>379808.96278</v>
      </c>
      <c r="F38" s="269">
        <v>351121.71009000001</v>
      </c>
      <c r="G38" s="269">
        <f t="shared" si="5"/>
        <v>92.446925822912519</v>
      </c>
      <c r="H38" s="270">
        <f t="shared" si="3"/>
        <v>38.587769764038264</v>
      </c>
      <c r="I38" s="270">
        <f t="shared" si="4"/>
        <v>112.265337853799</v>
      </c>
      <c r="J38" s="269">
        <v>279898.02</v>
      </c>
    </row>
    <row r="39" spans="1:11" s="10" customFormat="1" ht="14.25" customHeight="1" x14ac:dyDescent="0.2">
      <c r="A39" s="17" t="s">
        <v>680</v>
      </c>
      <c r="B39" s="16" t="s">
        <v>70</v>
      </c>
      <c r="C39" s="15" t="s">
        <v>6</v>
      </c>
      <c r="D39" s="269">
        <v>35758.337240000001</v>
      </c>
      <c r="E39" s="269">
        <v>37134.730100000001</v>
      </c>
      <c r="F39" s="269">
        <v>37025.756789999999</v>
      </c>
      <c r="G39" s="269">
        <f t="shared" si="5"/>
        <v>99.706546110052372</v>
      </c>
      <c r="H39" s="270">
        <f t="shared" si="3"/>
        <v>4.4117916990084272</v>
      </c>
      <c r="I39" s="270">
        <f t="shared" si="4"/>
        <v>103.54440292201907</v>
      </c>
      <c r="J39" s="269"/>
    </row>
    <row r="40" spans="1:11" s="10" customFormat="1" ht="25.5" x14ac:dyDescent="0.2">
      <c r="A40" s="17" t="s">
        <v>166</v>
      </c>
      <c r="B40" s="16" t="s">
        <v>70</v>
      </c>
      <c r="C40" s="15" t="s">
        <v>31</v>
      </c>
      <c r="D40" s="269"/>
      <c r="E40" s="269"/>
      <c r="F40" s="269"/>
      <c r="G40" s="269" t="e">
        <f t="shared" si="5"/>
        <v>#DIV/0!</v>
      </c>
      <c r="H40" s="270">
        <f t="shared" si="3"/>
        <v>0</v>
      </c>
      <c r="I40" s="270" t="e">
        <f t="shared" si="4"/>
        <v>#DIV/0!</v>
      </c>
      <c r="J40" s="269">
        <v>515.99</v>
      </c>
    </row>
    <row r="41" spans="1:11" s="10" customFormat="1" ht="12.75" x14ac:dyDescent="0.2">
      <c r="A41" s="17" t="s">
        <v>74</v>
      </c>
      <c r="B41" s="16" t="s">
        <v>70</v>
      </c>
      <c r="C41" s="15" t="s">
        <v>70</v>
      </c>
      <c r="D41" s="269">
        <v>2765.4973199999999</v>
      </c>
      <c r="E41" s="269">
        <v>1004.23783</v>
      </c>
      <c r="F41" s="269">
        <v>973.73577999999998</v>
      </c>
      <c r="G41" s="269">
        <f t="shared" si="5"/>
        <v>96.962666702169543</v>
      </c>
      <c r="H41" s="270">
        <f t="shared" si="3"/>
        <v>0.3412014948602809</v>
      </c>
      <c r="I41" s="270">
        <f t="shared" si="4"/>
        <v>35.210150917810331</v>
      </c>
      <c r="J41" s="269">
        <v>1912.07</v>
      </c>
    </row>
    <row r="42" spans="1:11" s="10" customFormat="1" ht="12.75" x14ac:dyDescent="0.2">
      <c r="A42" s="17" t="s">
        <v>73</v>
      </c>
      <c r="B42" s="16" t="s">
        <v>70</v>
      </c>
      <c r="C42" s="15" t="s">
        <v>60</v>
      </c>
      <c r="D42" s="269">
        <v>16458.656989999999</v>
      </c>
      <c r="E42" s="269">
        <v>18635.638340000001</v>
      </c>
      <c r="F42" s="269">
        <v>18635.638340000001</v>
      </c>
      <c r="G42" s="269">
        <f t="shared" si="5"/>
        <v>100</v>
      </c>
      <c r="H42" s="270">
        <f t="shared" si="3"/>
        <v>2.0306359828186746</v>
      </c>
      <c r="I42" s="270">
        <f t="shared" si="4"/>
        <v>113.22696834451742</v>
      </c>
      <c r="J42" s="269">
        <v>9802.93</v>
      </c>
    </row>
    <row r="43" spans="1:11" s="12" customFormat="1" ht="12.75" x14ac:dyDescent="0.2">
      <c r="A43" s="14" t="s">
        <v>165</v>
      </c>
      <c r="B43" s="385" t="s">
        <v>164</v>
      </c>
      <c r="C43" s="386"/>
      <c r="D43" s="266">
        <f>SUM(D44:D45)</f>
        <v>72627.088959999994</v>
      </c>
      <c r="E43" s="266">
        <f>SUM(E44:E45)</f>
        <v>69278.685100000002</v>
      </c>
      <c r="F43" s="266">
        <f>SUM(F44:F45)</f>
        <v>65785.094400000002</v>
      </c>
      <c r="G43" s="266">
        <f t="shared" si="5"/>
        <v>94.957192540595727</v>
      </c>
      <c r="H43" s="267">
        <f t="shared" si="3"/>
        <v>8.9605841022845762</v>
      </c>
      <c r="I43" s="267">
        <f t="shared" si="4"/>
        <v>90.579280185980906</v>
      </c>
      <c r="J43" s="266">
        <f>SUM(J44:J45)</f>
        <v>25257.260000000002</v>
      </c>
    </row>
    <row r="44" spans="1:11" s="10" customFormat="1" ht="12.75" x14ac:dyDescent="0.2">
      <c r="A44" s="17" t="s">
        <v>68</v>
      </c>
      <c r="B44" s="16" t="s">
        <v>64</v>
      </c>
      <c r="C44" s="15" t="s">
        <v>13</v>
      </c>
      <c r="D44" s="269">
        <v>63791.37341</v>
      </c>
      <c r="E44" s="269">
        <v>59136.251239999998</v>
      </c>
      <c r="F44" s="269">
        <v>55642.660539999997</v>
      </c>
      <c r="G44" s="269">
        <f t="shared" si="5"/>
        <v>94.092302730145121</v>
      </c>
      <c r="H44" s="270">
        <f t="shared" si="3"/>
        <v>7.8704512961460305</v>
      </c>
      <c r="I44" s="270">
        <f t="shared" si="4"/>
        <v>87.225995562712555</v>
      </c>
      <c r="J44" s="269">
        <v>22144.79</v>
      </c>
    </row>
    <row r="45" spans="1:11" s="10" customFormat="1" ht="25.5" x14ac:dyDescent="0.2">
      <c r="A45" s="17" t="s">
        <v>163</v>
      </c>
      <c r="B45" s="16" t="s">
        <v>64</v>
      </c>
      <c r="C45" s="15" t="s">
        <v>53</v>
      </c>
      <c r="D45" s="269">
        <v>8835.7155500000008</v>
      </c>
      <c r="E45" s="269">
        <v>10142.433859999999</v>
      </c>
      <c r="F45" s="269">
        <v>10142.433859999999</v>
      </c>
      <c r="G45" s="269">
        <f t="shared" si="5"/>
        <v>100</v>
      </c>
      <c r="H45" s="270">
        <f t="shared" si="3"/>
        <v>1.0901328061385462</v>
      </c>
      <c r="I45" s="270">
        <f t="shared" si="4"/>
        <v>114.78904908838989</v>
      </c>
      <c r="J45" s="269">
        <v>3112.47</v>
      </c>
    </row>
    <row r="46" spans="1:11" s="12" customFormat="1" ht="12.75" x14ac:dyDescent="0.2">
      <c r="A46" s="14" t="s">
        <v>162</v>
      </c>
      <c r="B46" s="385" t="s">
        <v>161</v>
      </c>
      <c r="C46" s="386"/>
      <c r="D46" s="266">
        <f>D50+D47</f>
        <v>0</v>
      </c>
      <c r="E46" s="266">
        <f>E50+E47</f>
        <v>0</v>
      </c>
      <c r="F46" s="266">
        <f>F50+F47</f>
        <v>0</v>
      </c>
      <c r="G46" s="266" t="e">
        <f t="shared" si="5"/>
        <v>#DIV/0!</v>
      </c>
      <c r="H46" s="267">
        <f t="shared" si="3"/>
        <v>0</v>
      </c>
      <c r="I46" s="267" t="e">
        <f t="shared" si="4"/>
        <v>#DIV/0!</v>
      </c>
      <c r="J46" s="266">
        <f>J50+J47</f>
        <v>6997.4</v>
      </c>
    </row>
    <row r="47" spans="1:11" s="10" customFormat="1" ht="12.75" x14ac:dyDescent="0.2">
      <c r="A47" s="17" t="s">
        <v>63</v>
      </c>
      <c r="B47" s="16" t="s">
        <v>60</v>
      </c>
      <c r="C47" s="15" t="s">
        <v>13</v>
      </c>
      <c r="D47" s="269"/>
      <c r="E47" s="269"/>
      <c r="F47" s="269"/>
      <c r="G47" s="269" t="e">
        <f t="shared" si="5"/>
        <v>#DIV/0!</v>
      </c>
      <c r="H47" s="270">
        <f t="shared" si="3"/>
        <v>0</v>
      </c>
      <c r="I47" s="270" t="e">
        <f t="shared" si="4"/>
        <v>#DIV/0!</v>
      </c>
      <c r="J47" s="269">
        <v>6482.4</v>
      </c>
    </row>
    <row r="48" spans="1:11" s="10" customFormat="1" ht="12.75" hidden="1" customHeight="1" x14ac:dyDescent="0.2">
      <c r="A48" s="17" t="s">
        <v>160</v>
      </c>
      <c r="B48" s="16" t="s">
        <v>60</v>
      </c>
      <c r="C48" s="15" t="s">
        <v>24</v>
      </c>
      <c r="D48" s="269"/>
      <c r="E48" s="269"/>
      <c r="F48" s="269"/>
      <c r="G48" s="269" t="e">
        <f t="shared" si="5"/>
        <v>#DIV/0!</v>
      </c>
      <c r="H48" s="270">
        <f t="shared" si="3"/>
        <v>0</v>
      </c>
      <c r="I48" s="270" t="e">
        <f t="shared" si="4"/>
        <v>#DIV/0!</v>
      </c>
      <c r="J48" s="269"/>
    </row>
    <row r="49" spans="1:10" s="10" customFormat="1" ht="12.75" hidden="1" customHeight="1" x14ac:dyDescent="0.2">
      <c r="A49" s="17" t="s">
        <v>159</v>
      </c>
      <c r="B49" s="16" t="s">
        <v>60</v>
      </c>
      <c r="C49" s="15" t="s">
        <v>53</v>
      </c>
      <c r="D49" s="269"/>
      <c r="E49" s="269"/>
      <c r="F49" s="269"/>
      <c r="G49" s="269" t="e">
        <f t="shared" si="5"/>
        <v>#DIV/0!</v>
      </c>
      <c r="H49" s="270">
        <f t="shared" si="3"/>
        <v>0</v>
      </c>
      <c r="I49" s="270" t="e">
        <f t="shared" si="4"/>
        <v>#DIV/0!</v>
      </c>
      <c r="J49" s="269"/>
    </row>
    <row r="50" spans="1:10" s="10" customFormat="1" ht="12.75" x14ac:dyDescent="0.2">
      <c r="A50" s="17" t="s">
        <v>61</v>
      </c>
      <c r="B50" s="16" t="s">
        <v>60</v>
      </c>
      <c r="C50" s="15" t="s">
        <v>60</v>
      </c>
      <c r="D50" s="269"/>
      <c r="E50" s="269"/>
      <c r="F50" s="269"/>
      <c r="G50" s="269" t="e">
        <f t="shared" si="5"/>
        <v>#DIV/0!</v>
      </c>
      <c r="H50" s="270">
        <f t="shared" si="3"/>
        <v>0</v>
      </c>
      <c r="I50" s="270" t="e">
        <f t="shared" si="4"/>
        <v>#DIV/0!</v>
      </c>
      <c r="J50" s="269">
        <v>515</v>
      </c>
    </row>
    <row r="51" spans="1:10" s="12" customFormat="1" ht="12.75" x14ac:dyDescent="0.2">
      <c r="A51" s="14" t="s">
        <v>59</v>
      </c>
      <c r="B51" s="385" t="s">
        <v>158</v>
      </c>
      <c r="C51" s="386"/>
      <c r="D51" s="266">
        <f>SUM(D52:D56)</f>
        <v>9842.7390799999994</v>
      </c>
      <c r="E51" s="266">
        <f>SUM(E52:E56)</f>
        <v>6195.1503899999998</v>
      </c>
      <c r="F51" s="266">
        <f>SUM(F52:F56)</f>
        <v>6195.1503899999998</v>
      </c>
      <c r="G51" s="266">
        <f t="shared" si="5"/>
        <v>100</v>
      </c>
      <c r="H51" s="267">
        <f t="shared" si="3"/>
        <v>1.2143773430291032</v>
      </c>
      <c r="I51" s="267">
        <f t="shared" si="4"/>
        <v>62.941324967033466</v>
      </c>
      <c r="J51" s="266">
        <f>SUM(J52:J56)</f>
        <v>16842.12</v>
      </c>
    </row>
    <row r="52" spans="1:10" s="10" customFormat="1" ht="12.75" x14ac:dyDescent="0.2">
      <c r="A52" s="17" t="s">
        <v>58</v>
      </c>
      <c r="B52" s="16" t="s">
        <v>48</v>
      </c>
      <c r="C52" s="15" t="s">
        <v>13</v>
      </c>
      <c r="D52" s="269">
        <v>990.62963999999999</v>
      </c>
      <c r="E52" s="269">
        <v>999.62963999999999</v>
      </c>
      <c r="F52" s="269">
        <v>999.62963999999999</v>
      </c>
      <c r="G52" s="269">
        <f t="shared" si="5"/>
        <v>100</v>
      </c>
      <c r="H52" s="270">
        <f t="shared" si="3"/>
        <v>0.12222189172864645</v>
      </c>
      <c r="I52" s="270">
        <f t="shared" si="4"/>
        <v>100.90851309476263</v>
      </c>
      <c r="J52" s="269">
        <v>103.15</v>
      </c>
    </row>
    <row r="53" spans="1:10" s="10" customFormat="1" ht="12.75" hidden="1" customHeight="1" x14ac:dyDescent="0.2">
      <c r="A53" s="17" t="s">
        <v>157</v>
      </c>
      <c r="B53" s="16" t="s">
        <v>48</v>
      </c>
      <c r="C53" s="15" t="s">
        <v>24</v>
      </c>
      <c r="D53" s="269"/>
      <c r="E53" s="269"/>
      <c r="F53" s="269"/>
      <c r="G53" s="269" t="e">
        <f t="shared" si="5"/>
        <v>#DIV/0!</v>
      </c>
      <c r="H53" s="270">
        <f t="shared" si="3"/>
        <v>0</v>
      </c>
      <c r="I53" s="270" t="e">
        <f t="shared" si="4"/>
        <v>#DIV/0!</v>
      </c>
      <c r="J53" s="269"/>
    </row>
    <row r="54" spans="1:10" s="10" customFormat="1" ht="12.75" x14ac:dyDescent="0.2">
      <c r="A54" s="17" t="s">
        <v>156</v>
      </c>
      <c r="B54" s="16" t="s">
        <v>48</v>
      </c>
      <c r="C54" s="15" t="s">
        <v>6</v>
      </c>
      <c r="D54" s="269">
        <v>5973.7313599999998</v>
      </c>
      <c r="E54" s="269">
        <v>3511.6636199999998</v>
      </c>
      <c r="F54" s="269">
        <v>3511.6636199999998</v>
      </c>
      <c r="G54" s="269">
        <f t="shared" si="5"/>
        <v>100</v>
      </c>
      <c r="H54" s="270">
        <f t="shared" si="3"/>
        <v>0.73702695539973939</v>
      </c>
      <c r="I54" s="270">
        <f t="shared" si="4"/>
        <v>58.785094413753484</v>
      </c>
      <c r="J54" s="269">
        <v>5346.95</v>
      </c>
    </row>
    <row r="55" spans="1:10" s="10" customFormat="1" ht="12.75" x14ac:dyDescent="0.2">
      <c r="A55" s="17" t="s">
        <v>155</v>
      </c>
      <c r="B55" s="16" t="s">
        <v>48</v>
      </c>
      <c r="C55" s="15" t="s">
        <v>53</v>
      </c>
      <c r="D55" s="269">
        <v>2743.5780800000002</v>
      </c>
      <c r="E55" s="269">
        <v>1492.3</v>
      </c>
      <c r="F55" s="269">
        <v>1492.3</v>
      </c>
      <c r="G55" s="269">
        <f t="shared" si="5"/>
        <v>100</v>
      </c>
      <c r="H55" s="270">
        <f t="shared" si="3"/>
        <v>0.33849714313297524</v>
      </c>
      <c r="I55" s="270">
        <f t="shared" si="4"/>
        <v>54.392474224753975</v>
      </c>
      <c r="J55" s="269">
        <v>10699.67</v>
      </c>
    </row>
    <row r="56" spans="1:10" s="10" customFormat="1" ht="12.75" x14ac:dyDescent="0.2">
      <c r="A56" s="17" t="s">
        <v>52</v>
      </c>
      <c r="B56" s="16" t="s">
        <v>48</v>
      </c>
      <c r="C56" s="15" t="s">
        <v>47</v>
      </c>
      <c r="D56" s="269">
        <v>134.80000000000001</v>
      </c>
      <c r="E56" s="269">
        <v>191.55713</v>
      </c>
      <c r="F56" s="269">
        <v>191.55713</v>
      </c>
      <c r="G56" s="269">
        <f t="shared" si="5"/>
        <v>100</v>
      </c>
      <c r="H56" s="270">
        <f t="shared" si="3"/>
        <v>1.6631352767742285E-2</v>
      </c>
      <c r="I56" s="270">
        <f t="shared" si="4"/>
        <v>142.10469584569731</v>
      </c>
      <c r="J56" s="269">
        <v>692.35</v>
      </c>
    </row>
    <row r="57" spans="1:10" s="12" customFormat="1" ht="12.75" x14ac:dyDescent="0.2">
      <c r="A57" s="14" t="s">
        <v>44</v>
      </c>
      <c r="B57" s="385" t="s">
        <v>154</v>
      </c>
      <c r="C57" s="386"/>
      <c r="D57" s="266">
        <f>D58+D59</f>
        <v>17388.201160000001</v>
      </c>
      <c r="E57" s="266">
        <f>E58+E59</f>
        <v>19738.552350000002</v>
      </c>
      <c r="F57" s="266">
        <f>F58+F59</f>
        <v>18938.145769999999</v>
      </c>
      <c r="G57" s="266">
        <f t="shared" si="5"/>
        <v>95.944958040451212</v>
      </c>
      <c r="H57" s="270">
        <f t="shared" si="3"/>
        <v>2.1453212721693293</v>
      </c>
      <c r="I57" s="270">
        <f t="shared" si="4"/>
        <v>108.91377202125719</v>
      </c>
      <c r="J57" s="266">
        <f>J58+J59</f>
        <v>2342.12</v>
      </c>
    </row>
    <row r="58" spans="1:10" s="10" customFormat="1" ht="12.75" x14ac:dyDescent="0.2">
      <c r="A58" s="17" t="s">
        <v>153</v>
      </c>
      <c r="B58" s="16" t="s">
        <v>32</v>
      </c>
      <c r="C58" s="15" t="s">
        <v>13</v>
      </c>
      <c r="D58" s="269">
        <v>1184</v>
      </c>
      <c r="E58" s="269">
        <v>1330</v>
      </c>
      <c r="F58" s="269">
        <v>1330</v>
      </c>
      <c r="G58" s="269">
        <f t="shared" si="5"/>
        <v>100</v>
      </c>
      <c r="H58" s="270">
        <f t="shared" si="3"/>
        <v>0.14607953766325568</v>
      </c>
      <c r="I58" s="270">
        <f t="shared" si="4"/>
        <v>112.33108108108108</v>
      </c>
      <c r="J58" s="269">
        <v>625.5</v>
      </c>
    </row>
    <row r="59" spans="1:10" s="10" customFormat="1" ht="25.5" x14ac:dyDescent="0.2">
      <c r="A59" s="17" t="s">
        <v>36</v>
      </c>
      <c r="B59" s="18" t="s">
        <v>32</v>
      </c>
      <c r="C59" s="16" t="s">
        <v>31</v>
      </c>
      <c r="D59" s="269">
        <v>16204.201160000001</v>
      </c>
      <c r="E59" s="269">
        <v>18408.552350000002</v>
      </c>
      <c r="F59" s="269">
        <v>17608.145769999999</v>
      </c>
      <c r="G59" s="269">
        <f t="shared" si="5"/>
        <v>95.651985203496992</v>
      </c>
      <c r="H59" s="270">
        <f t="shared" si="3"/>
        <v>1.9992417345060736</v>
      </c>
      <c r="I59" s="270">
        <f t="shared" si="4"/>
        <v>108.66407789027966</v>
      </c>
      <c r="J59" s="269">
        <v>1716.62</v>
      </c>
    </row>
    <row r="60" spans="1:10" s="12" customFormat="1" ht="12.75" x14ac:dyDescent="0.2">
      <c r="A60" s="14" t="s">
        <v>29</v>
      </c>
      <c r="B60" s="385" t="s">
        <v>152</v>
      </c>
      <c r="C60" s="386"/>
      <c r="D60" s="266">
        <f>D61</f>
        <v>1420.4059999999999</v>
      </c>
      <c r="E60" s="266">
        <f>E61</f>
        <v>1980.75</v>
      </c>
      <c r="F60" s="266">
        <f>F61</f>
        <v>1980.75</v>
      </c>
      <c r="G60" s="266">
        <f t="shared" si="5"/>
        <v>100</v>
      </c>
      <c r="H60" s="267">
        <f t="shared" si="3"/>
        <v>0.17524683426867763</v>
      </c>
      <c r="I60" s="270">
        <f t="shared" si="4"/>
        <v>139.44956582836176</v>
      </c>
      <c r="J60" s="266">
        <f>J61</f>
        <v>1519.04</v>
      </c>
    </row>
    <row r="61" spans="1:10" s="10" customFormat="1" ht="12.75" x14ac:dyDescent="0.2">
      <c r="A61" s="17" t="s">
        <v>28</v>
      </c>
      <c r="B61" s="16" t="s">
        <v>25</v>
      </c>
      <c r="C61" s="15" t="s">
        <v>24</v>
      </c>
      <c r="D61" s="269">
        <v>1420.4059999999999</v>
      </c>
      <c r="E61" s="269">
        <v>1980.75</v>
      </c>
      <c r="F61" s="269">
        <v>1980.75</v>
      </c>
      <c r="G61" s="269">
        <f t="shared" si="5"/>
        <v>100</v>
      </c>
      <c r="H61" s="270">
        <f t="shared" si="3"/>
        <v>0.17524683426867763</v>
      </c>
      <c r="I61" s="270">
        <f t="shared" si="4"/>
        <v>139.44956582836176</v>
      </c>
      <c r="J61" s="269">
        <v>1519.04</v>
      </c>
    </row>
    <row r="62" spans="1:10" s="12" customFormat="1" ht="25.5" x14ac:dyDescent="0.2">
      <c r="A62" s="14" t="s">
        <v>151</v>
      </c>
      <c r="B62" s="385" t="s">
        <v>150</v>
      </c>
      <c r="C62" s="386"/>
      <c r="D62" s="266">
        <f>SUM(D63)</f>
        <v>2.4052899999999999</v>
      </c>
      <c r="E62" s="266">
        <f>SUM(E63)</f>
        <v>2.2330000000000001</v>
      </c>
      <c r="F62" s="266">
        <f>SUM(F63)</f>
        <v>0.63300000000000001</v>
      </c>
      <c r="G62" s="266">
        <f t="shared" si="5"/>
        <v>28.347514554411106</v>
      </c>
      <c r="H62" s="270">
        <f t="shared" si="3"/>
        <v>2.9675984049497652E-4</v>
      </c>
      <c r="I62" s="270">
        <f t="shared" si="4"/>
        <v>26.316992961347697</v>
      </c>
      <c r="J62" s="266">
        <f>SUM(J63)</f>
        <v>221</v>
      </c>
    </row>
    <row r="63" spans="1:10" s="10" customFormat="1" ht="25.5" x14ac:dyDescent="0.2">
      <c r="A63" s="17" t="s">
        <v>22</v>
      </c>
      <c r="B63" s="16" t="s">
        <v>21</v>
      </c>
      <c r="C63" s="15" t="s">
        <v>13</v>
      </c>
      <c r="D63" s="269">
        <v>2.4052899999999999</v>
      </c>
      <c r="E63" s="269">
        <v>2.2330000000000001</v>
      </c>
      <c r="F63" s="269">
        <v>0.63300000000000001</v>
      </c>
      <c r="G63" s="269">
        <f t="shared" si="5"/>
        <v>28.347514554411106</v>
      </c>
      <c r="H63" s="270">
        <f t="shared" si="3"/>
        <v>2.9675984049497652E-4</v>
      </c>
      <c r="I63" s="270">
        <f t="shared" si="4"/>
        <v>26.316992961347697</v>
      </c>
      <c r="J63" s="269">
        <v>221</v>
      </c>
    </row>
    <row r="64" spans="1:10" s="12" customFormat="1" ht="25.5" hidden="1" customHeight="1" x14ac:dyDescent="0.2">
      <c r="A64" s="14" t="s">
        <v>149</v>
      </c>
      <c r="B64" s="385" t="s">
        <v>148</v>
      </c>
      <c r="C64" s="386"/>
      <c r="D64" s="266">
        <f>SUM(D65:D66)</f>
        <v>0</v>
      </c>
      <c r="E64" s="266">
        <f>SUM(E65:E66)</f>
        <v>0</v>
      </c>
      <c r="F64" s="266">
        <f>SUM(F65:F66)</f>
        <v>0</v>
      </c>
      <c r="G64" s="266" t="e">
        <f t="shared" si="5"/>
        <v>#DIV/0!</v>
      </c>
      <c r="H64" s="267">
        <f t="shared" si="3"/>
        <v>0</v>
      </c>
      <c r="I64" s="267" t="e">
        <f t="shared" si="4"/>
        <v>#DIV/0!</v>
      </c>
      <c r="J64" s="266">
        <f>SUM(J65:J66)</f>
        <v>31813.03</v>
      </c>
    </row>
    <row r="65" spans="1:10" s="10" customFormat="1" ht="38.25" hidden="1" customHeight="1" x14ac:dyDescent="0.2">
      <c r="A65" s="17" t="s">
        <v>147</v>
      </c>
      <c r="B65" s="16" t="s">
        <v>7</v>
      </c>
      <c r="C65" s="15" t="s">
        <v>13</v>
      </c>
      <c r="D65" s="269"/>
      <c r="E65" s="269"/>
      <c r="F65" s="269"/>
      <c r="G65" s="269" t="e">
        <f t="shared" si="5"/>
        <v>#DIV/0!</v>
      </c>
      <c r="H65" s="270">
        <f t="shared" si="3"/>
        <v>0</v>
      </c>
      <c r="I65" s="270" t="e">
        <f t="shared" si="4"/>
        <v>#DIV/0!</v>
      </c>
      <c r="J65" s="269">
        <v>25487</v>
      </c>
    </row>
    <row r="66" spans="1:10" s="10" customFormat="1" ht="38.25" hidden="1" customHeight="1" x14ac:dyDescent="0.2">
      <c r="A66" s="17" t="s">
        <v>146</v>
      </c>
      <c r="B66" s="16" t="s">
        <v>7</v>
      </c>
      <c r="C66" s="15" t="s">
        <v>6</v>
      </c>
      <c r="D66" s="269"/>
      <c r="E66" s="269"/>
      <c r="F66" s="269"/>
      <c r="G66" s="269" t="e">
        <f t="shared" si="5"/>
        <v>#DIV/0!</v>
      </c>
      <c r="H66" s="270">
        <f t="shared" si="3"/>
        <v>0</v>
      </c>
      <c r="I66" s="270" t="e">
        <f t="shared" si="4"/>
        <v>#DIV/0!</v>
      </c>
      <c r="J66" s="269">
        <v>6326.03</v>
      </c>
    </row>
    <row r="67" spans="1:10" s="12" customFormat="1" ht="12.75" x14ac:dyDescent="0.2">
      <c r="A67" s="14" t="s">
        <v>145</v>
      </c>
      <c r="B67" s="257"/>
      <c r="C67" s="13"/>
      <c r="D67" s="266">
        <f>D7+D16+D18+D22+D29+D36+D43+D46+D51+D57+D60+D62+D64</f>
        <v>810517.35167</v>
      </c>
      <c r="E67" s="266">
        <f>E7+E16+E18+E22+E29+E36+E43+E46+E51+E57+E60+E62+E64</f>
        <v>801917.82900999999</v>
      </c>
      <c r="F67" s="266">
        <f>F7+F16+F18+F22+F29+F36+F43+F46+F51+F57+F60+F62+F64</f>
        <v>755849.65272000001</v>
      </c>
      <c r="G67" s="266">
        <f t="shared" si="5"/>
        <v>94.255249774546982</v>
      </c>
      <c r="H67" s="267">
        <f t="shared" si="3"/>
        <v>100</v>
      </c>
      <c r="I67" s="267">
        <f t="shared" si="4"/>
        <v>93.255209300903672</v>
      </c>
      <c r="J67" s="266">
        <f>J7+J16+J18+J23+J30+J36+J43+J46+J51+J57+J60+J62+J64</f>
        <v>445048.83999999997</v>
      </c>
    </row>
    <row r="68" spans="1:10" s="10" customFormat="1" ht="12.75" x14ac:dyDescent="0.2">
      <c r="A68" s="9"/>
      <c r="C68" s="11"/>
      <c r="D68" s="61"/>
      <c r="E68" s="61">
        <v>801917.82900999999</v>
      </c>
      <c r="F68" s="61">
        <v>755849.65272000001</v>
      </c>
      <c r="G68" s="61"/>
      <c r="J68" s="11"/>
    </row>
    <row r="69" spans="1:10" s="10" customFormat="1" ht="12.75" x14ac:dyDescent="0.2">
      <c r="A69" s="9"/>
      <c r="C69" s="11"/>
      <c r="D69" s="272"/>
      <c r="E69" s="272">
        <f>E67-E68</f>
        <v>0</v>
      </c>
      <c r="F69" s="272">
        <f>F67-F68</f>
        <v>0</v>
      </c>
      <c r="G69" s="272"/>
      <c r="J69" s="11"/>
    </row>
    <row r="70" spans="1:10" s="10" customFormat="1" ht="12.75" x14ac:dyDescent="0.2">
      <c r="A70" s="9"/>
      <c r="C70" s="11"/>
      <c r="D70" s="272"/>
      <c r="E70" s="272"/>
      <c r="F70" s="272"/>
      <c r="G70" s="272"/>
      <c r="J70" s="11"/>
    </row>
  </sheetData>
  <mergeCells count="22">
    <mergeCell ref="A2:G2"/>
    <mergeCell ref="A3:G3"/>
    <mergeCell ref="H4:I4"/>
    <mergeCell ref="A5:A6"/>
    <mergeCell ref="B5:C6"/>
    <mergeCell ref="D5:D6"/>
    <mergeCell ref="E5:H5"/>
    <mergeCell ref="I5:I6"/>
    <mergeCell ref="B7:C7"/>
    <mergeCell ref="B16:C16"/>
    <mergeCell ref="B18:C18"/>
    <mergeCell ref="B22:C22"/>
    <mergeCell ref="B29:C29"/>
    <mergeCell ref="B34:C34"/>
    <mergeCell ref="B62:C62"/>
    <mergeCell ref="B64:C64"/>
    <mergeCell ref="B36:C36"/>
    <mergeCell ref="B43:C43"/>
    <mergeCell ref="B46:C46"/>
    <mergeCell ref="B51:C51"/>
    <mergeCell ref="B57:C57"/>
    <mergeCell ref="B60:C60"/>
  </mergeCells>
  <pageMargins left="0.9055118110236221" right="0" top="0.35433070866141736" bottom="0.35433070866141736" header="0" footer="0"/>
  <pageSetup paperSize="9"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97"/>
  <sheetViews>
    <sheetView view="pageBreakPreview" zoomScaleNormal="100" zoomScaleSheetLayoutView="100" workbookViewId="0">
      <selection activeCell="E8" sqref="E8"/>
    </sheetView>
  </sheetViews>
  <sheetFormatPr defaultRowHeight="12.75" x14ac:dyDescent="0.2"/>
  <cols>
    <col min="1" max="1" width="5.28515625" style="337" customWidth="1"/>
    <col min="2" max="2" width="25.28515625" style="337" customWidth="1"/>
    <col min="3" max="3" width="35" style="337" customWidth="1"/>
    <col min="4" max="4" width="13.28515625" style="383" customWidth="1"/>
    <col min="5" max="5" width="35.85546875" style="337" customWidth="1"/>
    <col min="6" max="6" width="18.5703125" style="383" customWidth="1"/>
    <col min="7" max="7" width="13.7109375" style="337" customWidth="1"/>
    <col min="8" max="8" width="19" style="337" customWidth="1"/>
    <col min="9" max="9" width="16.85546875" style="337" customWidth="1"/>
    <col min="10" max="10" width="14.7109375" style="337" bestFit="1" customWidth="1"/>
    <col min="11" max="12" width="11.28515625" style="337" bestFit="1" customWidth="1"/>
    <col min="13" max="16384" width="9.140625" style="337"/>
  </cols>
  <sheetData>
    <row r="1" spans="1:256" x14ac:dyDescent="0.2">
      <c r="A1" s="183"/>
      <c r="B1" s="334"/>
      <c r="C1" s="183"/>
      <c r="D1" s="183"/>
      <c r="E1" s="183"/>
      <c r="F1" s="183"/>
      <c r="G1" s="356" t="s">
        <v>672</v>
      </c>
      <c r="H1" s="183"/>
      <c r="I1" s="183"/>
      <c r="J1" s="335"/>
      <c r="K1" s="335"/>
      <c r="L1" s="336"/>
      <c r="M1" s="336"/>
      <c r="N1" s="336"/>
      <c r="O1" s="336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3"/>
      <c r="AV1" s="183"/>
      <c r="AW1" s="183"/>
      <c r="AX1" s="183"/>
      <c r="AY1" s="183"/>
      <c r="AZ1" s="183"/>
      <c r="BA1" s="183"/>
      <c r="BB1" s="183"/>
      <c r="BC1" s="183"/>
      <c r="BD1" s="183"/>
      <c r="BE1" s="183"/>
      <c r="BF1" s="183"/>
      <c r="BG1" s="183"/>
      <c r="BH1" s="183"/>
      <c r="BI1" s="183"/>
      <c r="BJ1" s="183"/>
      <c r="BK1" s="183"/>
      <c r="BL1" s="183"/>
      <c r="BM1" s="183"/>
      <c r="BN1" s="183"/>
      <c r="BO1" s="183"/>
      <c r="BP1" s="183"/>
      <c r="BQ1" s="183"/>
      <c r="BR1" s="183"/>
      <c r="BS1" s="183"/>
      <c r="BT1" s="183"/>
      <c r="BU1" s="183"/>
      <c r="BV1" s="183"/>
      <c r="BW1" s="183"/>
      <c r="BX1" s="183"/>
      <c r="BY1" s="183"/>
      <c r="BZ1" s="183"/>
      <c r="CA1" s="183"/>
      <c r="CB1" s="183"/>
      <c r="CC1" s="183"/>
      <c r="CD1" s="183"/>
      <c r="CE1" s="183"/>
      <c r="CF1" s="183"/>
      <c r="CG1" s="183"/>
      <c r="CH1" s="183"/>
      <c r="CI1" s="183"/>
      <c r="CJ1" s="183"/>
      <c r="CK1" s="183"/>
      <c r="CL1" s="183"/>
      <c r="CM1" s="183"/>
      <c r="CN1" s="183"/>
      <c r="CO1" s="183"/>
      <c r="CP1" s="183"/>
      <c r="CQ1" s="183"/>
      <c r="CR1" s="183"/>
      <c r="CS1" s="183"/>
      <c r="CT1" s="183"/>
      <c r="CU1" s="183"/>
      <c r="CV1" s="183"/>
      <c r="CW1" s="183"/>
      <c r="CX1" s="183"/>
      <c r="CY1" s="183"/>
      <c r="CZ1" s="183"/>
      <c r="DA1" s="183"/>
      <c r="DB1" s="183"/>
      <c r="DC1" s="183"/>
      <c r="DD1" s="183"/>
      <c r="DE1" s="183"/>
      <c r="DF1" s="183"/>
      <c r="DG1" s="183"/>
      <c r="DH1" s="183"/>
      <c r="DI1" s="183"/>
      <c r="DJ1" s="183"/>
      <c r="DK1" s="183"/>
      <c r="DL1" s="183"/>
      <c r="DM1" s="183"/>
      <c r="DN1" s="183"/>
      <c r="DO1" s="183"/>
      <c r="DP1" s="183"/>
      <c r="DQ1" s="183"/>
      <c r="DR1" s="183"/>
      <c r="DS1" s="183"/>
      <c r="DT1" s="183"/>
      <c r="DU1" s="183"/>
      <c r="DV1" s="183"/>
      <c r="DW1" s="183"/>
      <c r="DX1" s="183"/>
      <c r="DY1" s="183"/>
      <c r="DZ1" s="183"/>
      <c r="EA1" s="183"/>
      <c r="EB1" s="183"/>
      <c r="EC1" s="183"/>
      <c r="ED1" s="183"/>
      <c r="EE1" s="183"/>
      <c r="EF1" s="183"/>
      <c r="EG1" s="183"/>
      <c r="EH1" s="183"/>
      <c r="EI1" s="183"/>
      <c r="EJ1" s="183"/>
      <c r="EK1" s="183"/>
      <c r="EL1" s="183"/>
      <c r="EM1" s="183"/>
      <c r="EN1" s="183"/>
      <c r="EO1" s="183"/>
      <c r="EP1" s="183"/>
      <c r="EQ1" s="183"/>
      <c r="ER1" s="183"/>
      <c r="ES1" s="183"/>
      <c r="ET1" s="183"/>
      <c r="EU1" s="183"/>
      <c r="EV1" s="183"/>
      <c r="EW1" s="183"/>
      <c r="EX1" s="183"/>
      <c r="EY1" s="183"/>
      <c r="EZ1" s="183"/>
      <c r="FA1" s="183"/>
      <c r="FB1" s="183"/>
      <c r="FC1" s="183"/>
      <c r="FD1" s="183"/>
      <c r="FE1" s="183"/>
      <c r="FF1" s="183"/>
      <c r="FG1" s="183"/>
      <c r="FH1" s="183"/>
      <c r="FI1" s="183"/>
      <c r="FJ1" s="183"/>
      <c r="FK1" s="183"/>
      <c r="FL1" s="183"/>
      <c r="FM1" s="183"/>
      <c r="FN1" s="183"/>
      <c r="FO1" s="183"/>
      <c r="FP1" s="183"/>
      <c r="FQ1" s="183"/>
      <c r="FR1" s="183"/>
      <c r="FS1" s="183"/>
      <c r="FT1" s="183"/>
      <c r="FU1" s="183"/>
      <c r="FV1" s="183"/>
      <c r="FW1" s="183"/>
      <c r="FX1" s="183"/>
      <c r="FY1" s="183"/>
      <c r="FZ1" s="183"/>
      <c r="GA1" s="183"/>
      <c r="GB1" s="183"/>
      <c r="GC1" s="183"/>
      <c r="GD1" s="183"/>
      <c r="GE1" s="183"/>
      <c r="GF1" s="183"/>
      <c r="GG1" s="183"/>
      <c r="GH1" s="183"/>
      <c r="GI1" s="183"/>
      <c r="GJ1" s="183"/>
      <c r="GK1" s="183"/>
      <c r="GL1" s="183"/>
      <c r="GM1" s="183"/>
      <c r="GN1" s="183"/>
      <c r="GO1" s="183"/>
      <c r="GP1" s="183"/>
      <c r="GQ1" s="183"/>
      <c r="GR1" s="183"/>
      <c r="GS1" s="183"/>
      <c r="GT1" s="183"/>
      <c r="GU1" s="183"/>
      <c r="GV1" s="183"/>
      <c r="GW1" s="183"/>
      <c r="GX1" s="183"/>
      <c r="GY1" s="183"/>
      <c r="GZ1" s="183"/>
      <c r="HA1" s="183"/>
      <c r="HB1" s="183"/>
      <c r="HC1" s="183"/>
      <c r="HD1" s="183"/>
      <c r="HE1" s="183"/>
      <c r="HF1" s="183"/>
      <c r="HG1" s="183"/>
      <c r="HH1" s="183"/>
      <c r="HI1" s="183"/>
      <c r="HJ1" s="183"/>
      <c r="HK1" s="183"/>
      <c r="HL1" s="183"/>
      <c r="HM1" s="183"/>
      <c r="HN1" s="183"/>
      <c r="HO1" s="183"/>
      <c r="HP1" s="183"/>
      <c r="HQ1" s="183"/>
      <c r="HR1" s="183"/>
      <c r="HS1" s="183"/>
      <c r="HT1" s="183"/>
      <c r="HU1" s="183"/>
      <c r="HV1" s="183"/>
      <c r="HW1" s="183"/>
      <c r="HX1" s="183"/>
      <c r="HY1" s="183"/>
      <c r="HZ1" s="183"/>
      <c r="IA1" s="183"/>
      <c r="IB1" s="183"/>
      <c r="IC1" s="183"/>
      <c r="ID1" s="183"/>
      <c r="IE1" s="183"/>
      <c r="IF1" s="183"/>
      <c r="IG1" s="183"/>
      <c r="IH1" s="183"/>
      <c r="II1" s="183"/>
      <c r="IJ1" s="183"/>
      <c r="IK1" s="183"/>
      <c r="IL1" s="183"/>
      <c r="IM1" s="183"/>
      <c r="IN1" s="183"/>
      <c r="IO1" s="183"/>
      <c r="IP1" s="183"/>
      <c r="IQ1" s="183"/>
      <c r="IR1" s="183"/>
      <c r="IS1" s="183"/>
      <c r="IT1" s="183"/>
      <c r="IU1" s="183"/>
      <c r="IV1" s="183"/>
    </row>
    <row r="2" spans="1:256" ht="40.5" customHeight="1" x14ac:dyDescent="0.25">
      <c r="A2" s="413" t="s">
        <v>919</v>
      </c>
      <c r="B2" s="413"/>
      <c r="C2" s="413"/>
      <c r="D2" s="413"/>
      <c r="E2" s="413"/>
      <c r="F2" s="413"/>
      <c r="G2" s="413"/>
      <c r="H2" s="414"/>
    </row>
    <row r="3" spans="1:256" x14ac:dyDescent="0.2">
      <c r="A3" s="415"/>
      <c r="B3" s="415"/>
      <c r="C3" s="415"/>
      <c r="D3" s="415"/>
      <c r="E3" s="415"/>
      <c r="F3" s="415"/>
      <c r="G3" s="415"/>
      <c r="H3" s="347" t="s">
        <v>847</v>
      </c>
    </row>
    <row r="4" spans="1:256" ht="15" customHeight="1" x14ac:dyDescent="0.2">
      <c r="A4" s="409" t="s">
        <v>605</v>
      </c>
      <c r="B4" s="409" t="s">
        <v>720</v>
      </c>
      <c r="C4" s="416" t="s">
        <v>721</v>
      </c>
      <c r="D4" s="417"/>
      <c r="E4" s="416" t="s">
        <v>722</v>
      </c>
      <c r="F4" s="417"/>
      <c r="G4" s="409" t="s">
        <v>723</v>
      </c>
      <c r="H4" s="409" t="s">
        <v>724</v>
      </c>
      <c r="I4" s="409" t="s">
        <v>725</v>
      </c>
      <c r="J4" s="409" t="s">
        <v>726</v>
      </c>
    </row>
    <row r="5" spans="1:256" ht="61.5" customHeight="1" x14ac:dyDescent="0.2">
      <c r="A5" s="410"/>
      <c r="B5" s="410"/>
      <c r="C5" s="338" t="s">
        <v>727</v>
      </c>
      <c r="D5" s="377" t="s">
        <v>728</v>
      </c>
      <c r="E5" s="339" t="s">
        <v>729</v>
      </c>
      <c r="F5" s="341" t="s">
        <v>730</v>
      </c>
      <c r="G5" s="410"/>
      <c r="H5" s="410"/>
      <c r="I5" s="411"/>
      <c r="J5" s="411"/>
    </row>
    <row r="6" spans="1:256" x14ac:dyDescent="0.2">
      <c r="A6" s="340">
        <v>1</v>
      </c>
      <c r="B6" s="340">
        <v>2</v>
      </c>
      <c r="C6" s="340">
        <v>3</v>
      </c>
      <c r="D6" s="378">
        <v>4</v>
      </c>
      <c r="E6" s="340">
        <v>5</v>
      </c>
      <c r="F6" s="378">
        <v>6</v>
      </c>
      <c r="G6" s="340">
        <v>7</v>
      </c>
      <c r="H6" s="340">
        <v>8</v>
      </c>
      <c r="I6" s="410"/>
      <c r="J6" s="410"/>
    </row>
    <row r="7" spans="1:256" s="363" customFormat="1" ht="51" customHeight="1" x14ac:dyDescent="0.25">
      <c r="A7" s="359">
        <v>1</v>
      </c>
      <c r="B7" s="359" t="s">
        <v>731</v>
      </c>
      <c r="C7" s="360" t="s">
        <v>732</v>
      </c>
      <c r="D7" s="379">
        <v>10000</v>
      </c>
      <c r="E7" s="344" t="s">
        <v>916</v>
      </c>
      <c r="F7" s="380">
        <v>10000</v>
      </c>
      <c r="G7" s="342">
        <f t="shared" ref="G7:G67" si="0">D7-F7</f>
        <v>0</v>
      </c>
      <c r="H7" s="361"/>
      <c r="I7" s="362">
        <v>43873</v>
      </c>
      <c r="J7" s="361" t="s">
        <v>733</v>
      </c>
      <c r="L7" s="364"/>
    </row>
    <row r="8" spans="1:256" s="363" customFormat="1" ht="70.5" customHeight="1" x14ac:dyDescent="0.25">
      <c r="A8" s="359">
        <v>2</v>
      </c>
      <c r="B8" s="359" t="s">
        <v>734</v>
      </c>
      <c r="C8" s="360" t="s">
        <v>735</v>
      </c>
      <c r="D8" s="379">
        <f>19170-19170</f>
        <v>0</v>
      </c>
      <c r="E8" s="344"/>
      <c r="F8" s="380">
        <v>0</v>
      </c>
      <c r="G8" s="342">
        <f t="shared" si="0"/>
        <v>0</v>
      </c>
      <c r="H8" s="343" t="s">
        <v>736</v>
      </c>
      <c r="I8" s="362">
        <v>43886</v>
      </c>
      <c r="J8" s="361" t="s">
        <v>737</v>
      </c>
    </row>
    <row r="9" spans="1:256" s="363" customFormat="1" ht="51" customHeight="1" x14ac:dyDescent="0.25">
      <c r="A9" s="359">
        <v>3</v>
      </c>
      <c r="B9" s="359" t="s">
        <v>738</v>
      </c>
      <c r="C9" s="360" t="s">
        <v>739</v>
      </c>
      <c r="D9" s="379">
        <v>25000</v>
      </c>
      <c r="E9" s="344" t="s">
        <v>896</v>
      </c>
      <c r="F9" s="380">
        <v>25000</v>
      </c>
      <c r="G9" s="342">
        <f t="shared" si="0"/>
        <v>0</v>
      </c>
      <c r="H9" s="361"/>
      <c r="I9" s="362">
        <v>43892</v>
      </c>
      <c r="J9" s="361" t="s">
        <v>733</v>
      </c>
      <c r="K9" s="365"/>
      <c r="L9" s="364"/>
    </row>
    <row r="10" spans="1:256" s="363" customFormat="1" ht="147.75" customHeight="1" x14ac:dyDescent="0.25">
      <c r="A10" s="359">
        <v>4</v>
      </c>
      <c r="B10" s="359" t="s">
        <v>740</v>
      </c>
      <c r="C10" s="360" t="s">
        <v>741</v>
      </c>
      <c r="D10" s="379">
        <v>488971</v>
      </c>
      <c r="E10" s="344" t="s">
        <v>915</v>
      </c>
      <c r="F10" s="380">
        <f>229691+5000+35091+186879+32310</f>
        <v>488971</v>
      </c>
      <c r="G10" s="342">
        <f t="shared" si="0"/>
        <v>0</v>
      </c>
      <c r="H10" s="343"/>
      <c r="I10" s="362">
        <v>43895</v>
      </c>
      <c r="J10" s="361" t="s">
        <v>737</v>
      </c>
      <c r="K10" s="365"/>
    </row>
    <row r="11" spans="1:256" s="363" customFormat="1" ht="51" customHeight="1" x14ac:dyDescent="0.25">
      <c r="A11" s="407">
        <v>5</v>
      </c>
      <c r="B11" s="407" t="s">
        <v>742</v>
      </c>
      <c r="C11" s="366" t="s">
        <v>743</v>
      </c>
      <c r="D11" s="379">
        <v>30900</v>
      </c>
      <c r="E11" s="344" t="s">
        <v>897</v>
      </c>
      <c r="F11" s="380">
        <v>30900</v>
      </c>
      <c r="G11" s="342">
        <f t="shared" si="0"/>
        <v>0</v>
      </c>
      <c r="H11" s="361"/>
      <c r="I11" s="367">
        <v>43895</v>
      </c>
      <c r="J11" s="368" t="s">
        <v>733</v>
      </c>
      <c r="K11" s="365"/>
      <c r="L11" s="364"/>
    </row>
    <row r="12" spans="1:256" s="363" customFormat="1" ht="51" customHeight="1" x14ac:dyDescent="0.25">
      <c r="A12" s="408"/>
      <c r="B12" s="408"/>
      <c r="C12" s="366" t="s">
        <v>744</v>
      </c>
      <c r="D12" s="379">
        <v>36000</v>
      </c>
      <c r="E12" s="344" t="s">
        <v>898</v>
      </c>
      <c r="F12" s="380">
        <v>36000</v>
      </c>
      <c r="G12" s="342">
        <f t="shared" si="0"/>
        <v>0</v>
      </c>
      <c r="H12" s="369"/>
      <c r="I12" s="367">
        <v>43895</v>
      </c>
      <c r="J12" s="368" t="s">
        <v>733</v>
      </c>
      <c r="L12" s="364"/>
    </row>
    <row r="13" spans="1:256" s="363" customFormat="1" ht="51" customHeight="1" x14ac:dyDescent="0.25">
      <c r="A13" s="370">
        <v>6</v>
      </c>
      <c r="B13" s="370" t="s">
        <v>745</v>
      </c>
      <c r="C13" s="366" t="s">
        <v>746</v>
      </c>
      <c r="D13" s="379">
        <v>5000</v>
      </c>
      <c r="E13" s="344" t="s">
        <v>899</v>
      </c>
      <c r="F13" s="380">
        <v>5000</v>
      </c>
      <c r="G13" s="342">
        <f t="shared" si="0"/>
        <v>0</v>
      </c>
      <c r="H13" s="361"/>
      <c r="I13" s="367">
        <v>43906</v>
      </c>
      <c r="J13" s="368" t="s">
        <v>733</v>
      </c>
      <c r="L13" s="364"/>
    </row>
    <row r="14" spans="1:256" s="363" customFormat="1" ht="64.5" customHeight="1" x14ac:dyDescent="0.25">
      <c r="A14" s="359">
        <v>7</v>
      </c>
      <c r="B14" s="359" t="s">
        <v>747</v>
      </c>
      <c r="C14" s="366" t="s">
        <v>748</v>
      </c>
      <c r="D14" s="379">
        <v>278000</v>
      </c>
      <c r="E14" s="371" t="s">
        <v>900</v>
      </c>
      <c r="F14" s="380">
        <v>278000</v>
      </c>
      <c r="G14" s="342">
        <f t="shared" si="0"/>
        <v>0</v>
      </c>
      <c r="H14" s="369"/>
      <c r="I14" s="367">
        <v>43906</v>
      </c>
      <c r="J14" s="368" t="s">
        <v>749</v>
      </c>
    </row>
    <row r="15" spans="1:256" s="363" customFormat="1" ht="78" customHeight="1" x14ac:dyDescent="0.25">
      <c r="A15" s="359">
        <v>8</v>
      </c>
      <c r="B15" s="359" t="s">
        <v>750</v>
      </c>
      <c r="C15" s="366" t="s">
        <v>751</v>
      </c>
      <c r="D15" s="379">
        <v>250000</v>
      </c>
      <c r="E15" s="344" t="s">
        <v>901</v>
      </c>
      <c r="F15" s="380">
        <v>243800</v>
      </c>
      <c r="G15" s="342">
        <f>D15-F15</f>
        <v>6200</v>
      </c>
      <c r="H15" s="369"/>
      <c r="I15" s="367">
        <v>43915</v>
      </c>
      <c r="J15" s="368" t="s">
        <v>733</v>
      </c>
      <c r="L15" s="364"/>
    </row>
    <row r="16" spans="1:256" s="363" customFormat="1" ht="55.5" customHeight="1" x14ac:dyDescent="0.25">
      <c r="A16" s="359">
        <v>9</v>
      </c>
      <c r="B16" s="359" t="s">
        <v>752</v>
      </c>
      <c r="C16" s="366" t="s">
        <v>753</v>
      </c>
      <c r="D16" s="379">
        <v>30000</v>
      </c>
      <c r="E16" s="344" t="s">
        <v>902</v>
      </c>
      <c r="F16" s="380">
        <v>30000</v>
      </c>
      <c r="G16" s="342">
        <f t="shared" si="0"/>
        <v>0</v>
      </c>
      <c r="H16" s="361"/>
      <c r="I16" s="367">
        <v>43915</v>
      </c>
      <c r="J16" s="368" t="s">
        <v>733</v>
      </c>
      <c r="L16" s="364"/>
    </row>
    <row r="17" spans="1:12" s="363" customFormat="1" ht="55.5" customHeight="1" x14ac:dyDescent="0.25">
      <c r="A17" s="359">
        <v>10</v>
      </c>
      <c r="B17" s="359" t="s">
        <v>754</v>
      </c>
      <c r="C17" s="366" t="s">
        <v>755</v>
      </c>
      <c r="D17" s="379">
        <v>50000</v>
      </c>
      <c r="E17" s="344" t="s">
        <v>903</v>
      </c>
      <c r="F17" s="380">
        <v>50000</v>
      </c>
      <c r="G17" s="342">
        <f t="shared" si="0"/>
        <v>0</v>
      </c>
      <c r="H17" s="369"/>
      <c r="I17" s="367">
        <v>43917</v>
      </c>
      <c r="J17" s="368" t="s">
        <v>733</v>
      </c>
      <c r="L17" s="364"/>
    </row>
    <row r="18" spans="1:12" s="363" customFormat="1" ht="48.75" customHeight="1" x14ac:dyDescent="0.25">
      <c r="A18" s="407">
        <v>11</v>
      </c>
      <c r="B18" s="407" t="s">
        <v>756</v>
      </c>
      <c r="C18" s="366" t="s">
        <v>757</v>
      </c>
      <c r="D18" s="379">
        <v>118078</v>
      </c>
      <c r="E18" s="344" t="s">
        <v>904</v>
      </c>
      <c r="F18" s="380">
        <v>118078</v>
      </c>
      <c r="G18" s="342">
        <f t="shared" si="0"/>
        <v>0</v>
      </c>
      <c r="H18" s="361"/>
      <c r="I18" s="367">
        <v>43922</v>
      </c>
      <c r="J18" s="368" t="s">
        <v>733</v>
      </c>
      <c r="L18" s="364"/>
    </row>
    <row r="19" spans="1:12" s="363" customFormat="1" ht="45" customHeight="1" x14ac:dyDescent="0.25">
      <c r="A19" s="408"/>
      <c r="B19" s="408"/>
      <c r="C19" s="366" t="s">
        <v>758</v>
      </c>
      <c r="D19" s="379">
        <v>102768</v>
      </c>
      <c r="E19" s="344" t="s">
        <v>905</v>
      </c>
      <c r="F19" s="380">
        <v>102768</v>
      </c>
      <c r="G19" s="342">
        <f t="shared" si="0"/>
        <v>0</v>
      </c>
      <c r="H19" s="361"/>
      <c r="I19" s="367">
        <v>43922</v>
      </c>
      <c r="J19" s="368" t="s">
        <v>733</v>
      </c>
      <c r="L19" s="364"/>
    </row>
    <row r="20" spans="1:12" s="363" customFormat="1" ht="89.25" customHeight="1" x14ac:dyDescent="0.25">
      <c r="A20" s="372">
        <v>12</v>
      </c>
      <c r="B20" s="359" t="s">
        <v>759</v>
      </c>
      <c r="C20" s="366" t="s">
        <v>760</v>
      </c>
      <c r="D20" s="379">
        <v>79204</v>
      </c>
      <c r="E20" s="344" t="s">
        <v>906</v>
      </c>
      <c r="F20" s="380">
        <v>79204</v>
      </c>
      <c r="G20" s="342">
        <f t="shared" si="0"/>
        <v>0</v>
      </c>
      <c r="H20" s="361"/>
      <c r="I20" s="367">
        <v>43941</v>
      </c>
      <c r="J20" s="368" t="s">
        <v>733</v>
      </c>
      <c r="L20" s="364"/>
    </row>
    <row r="21" spans="1:12" s="363" customFormat="1" ht="78" customHeight="1" x14ac:dyDescent="0.25">
      <c r="A21" s="359">
        <v>13</v>
      </c>
      <c r="B21" s="359" t="s">
        <v>761</v>
      </c>
      <c r="C21" s="360" t="s">
        <v>762</v>
      </c>
      <c r="D21" s="379">
        <v>20000</v>
      </c>
      <c r="E21" s="371" t="s">
        <v>763</v>
      </c>
      <c r="F21" s="380">
        <v>20000</v>
      </c>
      <c r="G21" s="342">
        <f t="shared" si="0"/>
        <v>0</v>
      </c>
      <c r="H21" s="342"/>
      <c r="I21" s="362">
        <v>43941</v>
      </c>
      <c r="J21" s="361" t="s">
        <v>764</v>
      </c>
    </row>
    <row r="22" spans="1:12" s="363" customFormat="1" ht="55.5" customHeight="1" x14ac:dyDescent="0.25">
      <c r="A22" s="372">
        <v>14</v>
      </c>
      <c r="B22" s="359" t="s">
        <v>765</v>
      </c>
      <c r="C22" s="366" t="s">
        <v>766</v>
      </c>
      <c r="D22" s="379">
        <v>36000</v>
      </c>
      <c r="E22" s="344" t="s">
        <v>907</v>
      </c>
      <c r="F22" s="380">
        <v>36000</v>
      </c>
      <c r="G22" s="342">
        <f t="shared" si="0"/>
        <v>0</v>
      </c>
      <c r="H22" s="361"/>
      <c r="I22" s="362">
        <v>43945</v>
      </c>
      <c r="J22" s="361" t="s">
        <v>733</v>
      </c>
      <c r="L22" s="364"/>
    </row>
    <row r="23" spans="1:12" s="363" customFormat="1" ht="162" customHeight="1" x14ac:dyDescent="0.25">
      <c r="A23" s="359">
        <v>15</v>
      </c>
      <c r="B23" s="359" t="s">
        <v>767</v>
      </c>
      <c r="C23" s="366" t="s">
        <v>768</v>
      </c>
      <c r="D23" s="379">
        <v>150000</v>
      </c>
      <c r="E23" s="371" t="s">
        <v>908</v>
      </c>
      <c r="F23" s="380">
        <v>150000</v>
      </c>
      <c r="G23" s="342">
        <f t="shared" si="0"/>
        <v>0</v>
      </c>
      <c r="H23" s="369"/>
      <c r="I23" s="367">
        <v>43969</v>
      </c>
      <c r="J23" s="368" t="s">
        <v>749</v>
      </c>
    </row>
    <row r="24" spans="1:12" s="363" customFormat="1" ht="96.75" customHeight="1" x14ac:dyDescent="0.25">
      <c r="A24" s="372">
        <v>16</v>
      </c>
      <c r="B24" s="359" t="s">
        <v>769</v>
      </c>
      <c r="C24" s="366" t="s">
        <v>770</v>
      </c>
      <c r="D24" s="379">
        <v>127980</v>
      </c>
      <c r="E24" s="344" t="s">
        <v>909</v>
      </c>
      <c r="F24" s="380">
        <v>127980</v>
      </c>
      <c r="G24" s="342">
        <f t="shared" si="0"/>
        <v>0</v>
      </c>
      <c r="H24" s="361"/>
      <c r="I24" s="362">
        <v>43969</v>
      </c>
      <c r="J24" s="361" t="s">
        <v>733</v>
      </c>
      <c r="L24" s="364"/>
    </row>
    <row r="25" spans="1:12" s="363" customFormat="1" ht="61.5" customHeight="1" x14ac:dyDescent="0.25">
      <c r="A25" s="407">
        <v>17</v>
      </c>
      <c r="B25" s="407" t="s">
        <v>848</v>
      </c>
      <c r="C25" s="366" t="s">
        <v>849</v>
      </c>
      <c r="D25" s="379">
        <v>57068</v>
      </c>
      <c r="E25" s="344" t="s">
        <v>895</v>
      </c>
      <c r="F25" s="380">
        <v>57068</v>
      </c>
      <c r="G25" s="342">
        <f t="shared" si="0"/>
        <v>0</v>
      </c>
      <c r="H25" s="361"/>
      <c r="I25" s="362">
        <v>44345</v>
      </c>
      <c r="J25" s="361" t="s">
        <v>737</v>
      </c>
      <c r="L25" s="364"/>
    </row>
    <row r="26" spans="1:12" s="363" customFormat="1" ht="61.5" customHeight="1" x14ac:dyDescent="0.25">
      <c r="A26" s="408"/>
      <c r="B26" s="408"/>
      <c r="C26" s="366" t="s">
        <v>850</v>
      </c>
      <c r="D26" s="379">
        <v>27165.68</v>
      </c>
      <c r="E26" s="344" t="s">
        <v>894</v>
      </c>
      <c r="F26" s="380">
        <v>27165.68</v>
      </c>
      <c r="G26" s="342">
        <f t="shared" si="0"/>
        <v>0</v>
      </c>
      <c r="H26" s="361"/>
      <c r="I26" s="362">
        <v>44439</v>
      </c>
      <c r="J26" s="361" t="s">
        <v>737</v>
      </c>
      <c r="L26" s="364"/>
    </row>
    <row r="27" spans="1:12" s="363" customFormat="1" ht="63" customHeight="1" x14ac:dyDescent="0.25">
      <c r="A27" s="372">
        <v>18</v>
      </c>
      <c r="B27" s="372" t="s">
        <v>771</v>
      </c>
      <c r="C27" s="360" t="s">
        <v>772</v>
      </c>
      <c r="D27" s="379">
        <v>136500</v>
      </c>
      <c r="E27" s="344" t="s">
        <v>910</v>
      </c>
      <c r="F27" s="380">
        <v>136500</v>
      </c>
      <c r="G27" s="342">
        <f t="shared" si="0"/>
        <v>0</v>
      </c>
      <c r="H27" s="343"/>
      <c r="I27" s="362">
        <v>43997</v>
      </c>
      <c r="J27" s="361" t="s">
        <v>737</v>
      </c>
    </row>
    <row r="28" spans="1:12" s="363" customFormat="1" ht="99.75" customHeight="1" x14ac:dyDescent="0.25">
      <c r="A28" s="407">
        <v>19</v>
      </c>
      <c r="B28" s="407" t="s">
        <v>773</v>
      </c>
      <c r="C28" s="373" t="s">
        <v>852</v>
      </c>
      <c r="D28" s="379">
        <f>SUM(D29:D38)</f>
        <v>43080</v>
      </c>
      <c r="E28" s="371"/>
      <c r="F28" s="379">
        <f>SUM(F29:F38)</f>
        <v>43080</v>
      </c>
      <c r="G28" s="342">
        <f t="shared" si="0"/>
        <v>0</v>
      </c>
      <c r="H28" s="361"/>
      <c r="I28" s="367">
        <v>44007</v>
      </c>
      <c r="J28" s="368" t="s">
        <v>749</v>
      </c>
    </row>
    <row r="29" spans="1:12" s="363" customFormat="1" ht="27" customHeight="1" x14ac:dyDescent="0.25">
      <c r="A29" s="412"/>
      <c r="B29" s="412"/>
      <c r="C29" s="373" t="s">
        <v>851</v>
      </c>
      <c r="D29" s="379">
        <v>7572</v>
      </c>
      <c r="E29" s="371" t="s">
        <v>911</v>
      </c>
      <c r="F29" s="380">
        <v>7572</v>
      </c>
      <c r="G29" s="342">
        <f t="shared" ref="G29" si="1">D29-F29</f>
        <v>0</v>
      </c>
      <c r="H29" s="361"/>
      <c r="I29" s="367">
        <v>44007</v>
      </c>
      <c r="J29" s="368" t="s">
        <v>749</v>
      </c>
    </row>
    <row r="30" spans="1:12" s="363" customFormat="1" ht="27" customHeight="1" x14ac:dyDescent="0.25">
      <c r="A30" s="412"/>
      <c r="B30" s="412"/>
      <c r="C30" s="373" t="s">
        <v>853</v>
      </c>
      <c r="D30" s="379">
        <v>3135</v>
      </c>
      <c r="E30" s="371" t="s">
        <v>912</v>
      </c>
      <c r="F30" s="380">
        <v>3135</v>
      </c>
      <c r="G30" s="342">
        <f t="shared" si="0"/>
        <v>0</v>
      </c>
      <c r="H30" s="361"/>
      <c r="I30" s="367">
        <v>44007</v>
      </c>
      <c r="J30" s="368" t="s">
        <v>749</v>
      </c>
    </row>
    <row r="31" spans="1:12" s="363" customFormat="1" ht="27" customHeight="1" x14ac:dyDescent="0.25">
      <c r="A31" s="412"/>
      <c r="B31" s="412"/>
      <c r="C31" s="373" t="s">
        <v>854</v>
      </c>
      <c r="D31" s="379">
        <v>2610</v>
      </c>
      <c r="E31" s="344" t="s">
        <v>774</v>
      </c>
      <c r="F31" s="380">
        <v>2610</v>
      </c>
      <c r="G31" s="342">
        <f t="shared" si="0"/>
        <v>0</v>
      </c>
      <c r="H31" s="361"/>
      <c r="I31" s="367">
        <v>44007</v>
      </c>
      <c r="J31" s="368" t="s">
        <v>749</v>
      </c>
    </row>
    <row r="32" spans="1:12" s="363" customFormat="1" ht="27" customHeight="1" x14ac:dyDescent="0.25">
      <c r="A32" s="412"/>
      <c r="B32" s="412"/>
      <c r="C32" s="373" t="s">
        <v>855</v>
      </c>
      <c r="D32" s="379">
        <v>5220</v>
      </c>
      <c r="E32" s="371" t="s">
        <v>862</v>
      </c>
      <c r="F32" s="380">
        <v>5220</v>
      </c>
      <c r="G32" s="342">
        <f t="shared" si="0"/>
        <v>0</v>
      </c>
      <c r="H32" s="361"/>
      <c r="I32" s="367">
        <v>44007</v>
      </c>
      <c r="J32" s="368" t="s">
        <v>749</v>
      </c>
    </row>
    <row r="33" spans="1:12" s="363" customFormat="1" ht="27" customHeight="1" x14ac:dyDescent="0.25">
      <c r="A33" s="412"/>
      <c r="B33" s="412"/>
      <c r="C33" s="373" t="s">
        <v>856</v>
      </c>
      <c r="D33" s="379">
        <v>1830</v>
      </c>
      <c r="E33" s="371" t="s">
        <v>863</v>
      </c>
      <c r="F33" s="380">
        <v>1830</v>
      </c>
      <c r="G33" s="342">
        <f t="shared" si="0"/>
        <v>0</v>
      </c>
      <c r="H33" s="361"/>
      <c r="I33" s="367">
        <v>44007</v>
      </c>
      <c r="J33" s="368" t="s">
        <v>749</v>
      </c>
    </row>
    <row r="34" spans="1:12" s="363" customFormat="1" ht="27" customHeight="1" x14ac:dyDescent="0.25">
      <c r="A34" s="412"/>
      <c r="B34" s="412"/>
      <c r="C34" s="373" t="s">
        <v>857</v>
      </c>
      <c r="D34" s="379">
        <v>1305</v>
      </c>
      <c r="E34" s="344" t="s">
        <v>775</v>
      </c>
      <c r="F34" s="380">
        <v>1305</v>
      </c>
      <c r="G34" s="342">
        <f t="shared" si="0"/>
        <v>0</v>
      </c>
      <c r="H34" s="361"/>
      <c r="I34" s="367">
        <v>44007</v>
      </c>
      <c r="J34" s="368" t="s">
        <v>749</v>
      </c>
    </row>
    <row r="35" spans="1:12" s="363" customFormat="1" ht="27" customHeight="1" x14ac:dyDescent="0.25">
      <c r="A35" s="412"/>
      <c r="B35" s="412"/>
      <c r="C35" s="373" t="s">
        <v>858</v>
      </c>
      <c r="D35" s="379">
        <v>6006</v>
      </c>
      <c r="E35" s="371" t="s">
        <v>864</v>
      </c>
      <c r="F35" s="380">
        <v>6006</v>
      </c>
      <c r="G35" s="342">
        <f t="shared" si="0"/>
        <v>0</v>
      </c>
      <c r="H35" s="361"/>
      <c r="I35" s="367">
        <v>44007</v>
      </c>
      <c r="J35" s="368" t="s">
        <v>749</v>
      </c>
    </row>
    <row r="36" spans="1:12" s="363" customFormat="1" ht="27" customHeight="1" x14ac:dyDescent="0.25">
      <c r="A36" s="412"/>
      <c r="B36" s="412"/>
      <c r="C36" s="373" t="s">
        <v>859</v>
      </c>
      <c r="D36" s="379">
        <v>2610</v>
      </c>
      <c r="E36" s="344" t="s">
        <v>776</v>
      </c>
      <c r="F36" s="380">
        <v>2610</v>
      </c>
      <c r="G36" s="342">
        <f t="shared" si="0"/>
        <v>0</v>
      </c>
      <c r="H36" s="361"/>
      <c r="I36" s="367">
        <v>44007</v>
      </c>
      <c r="J36" s="368" t="s">
        <v>749</v>
      </c>
    </row>
    <row r="37" spans="1:12" s="363" customFormat="1" ht="27" customHeight="1" x14ac:dyDescent="0.25">
      <c r="A37" s="412"/>
      <c r="B37" s="412"/>
      <c r="C37" s="373" t="s">
        <v>860</v>
      </c>
      <c r="D37" s="379">
        <v>8352</v>
      </c>
      <c r="E37" s="371" t="s">
        <v>777</v>
      </c>
      <c r="F37" s="380">
        <v>8352</v>
      </c>
      <c r="G37" s="342">
        <f t="shared" si="0"/>
        <v>0</v>
      </c>
      <c r="H37" s="369"/>
      <c r="I37" s="367">
        <v>44007</v>
      </c>
      <c r="J37" s="368" t="s">
        <v>749</v>
      </c>
    </row>
    <row r="38" spans="1:12" s="363" customFormat="1" ht="27" customHeight="1" x14ac:dyDescent="0.25">
      <c r="A38" s="408"/>
      <c r="B38" s="408"/>
      <c r="C38" s="373" t="s">
        <v>861</v>
      </c>
      <c r="D38" s="379">
        <v>4440</v>
      </c>
      <c r="E38" s="371" t="s">
        <v>865</v>
      </c>
      <c r="F38" s="380">
        <v>4440</v>
      </c>
      <c r="G38" s="342">
        <f t="shared" si="0"/>
        <v>0</v>
      </c>
      <c r="H38" s="369"/>
      <c r="I38" s="367">
        <v>44007</v>
      </c>
      <c r="J38" s="368" t="s">
        <v>749</v>
      </c>
    </row>
    <row r="39" spans="1:12" s="363" customFormat="1" ht="55.5" customHeight="1" x14ac:dyDescent="0.25">
      <c r="A39" s="372">
        <v>20</v>
      </c>
      <c r="B39" s="372" t="s">
        <v>778</v>
      </c>
      <c r="C39" s="366" t="s">
        <v>779</v>
      </c>
      <c r="D39" s="379">
        <v>20000</v>
      </c>
      <c r="E39" s="344" t="s">
        <v>866</v>
      </c>
      <c r="F39" s="380">
        <v>20000</v>
      </c>
      <c r="G39" s="342">
        <f t="shared" si="0"/>
        <v>0</v>
      </c>
      <c r="H39" s="361"/>
      <c r="I39" s="362">
        <v>44005</v>
      </c>
      <c r="J39" s="361" t="s">
        <v>733</v>
      </c>
      <c r="L39" s="364"/>
    </row>
    <row r="40" spans="1:12" s="363" customFormat="1" ht="55.5" customHeight="1" x14ac:dyDescent="0.25">
      <c r="A40" s="372">
        <v>21</v>
      </c>
      <c r="B40" s="372" t="s">
        <v>780</v>
      </c>
      <c r="C40" s="366" t="s">
        <v>781</v>
      </c>
      <c r="D40" s="379">
        <v>38000</v>
      </c>
      <c r="E40" s="344" t="s">
        <v>867</v>
      </c>
      <c r="F40" s="380">
        <v>38000</v>
      </c>
      <c r="G40" s="342">
        <f t="shared" si="0"/>
        <v>0</v>
      </c>
      <c r="H40" s="361"/>
      <c r="I40" s="362">
        <v>44008</v>
      </c>
      <c r="J40" s="361" t="s">
        <v>733</v>
      </c>
      <c r="L40" s="364"/>
    </row>
    <row r="41" spans="1:12" s="363" customFormat="1" ht="47.25" customHeight="1" x14ac:dyDescent="0.25">
      <c r="A41" s="359">
        <v>22</v>
      </c>
      <c r="B41" s="372" t="s">
        <v>782</v>
      </c>
      <c r="C41" s="366" t="s">
        <v>783</v>
      </c>
      <c r="D41" s="379">
        <v>25000</v>
      </c>
      <c r="E41" s="371" t="s">
        <v>868</v>
      </c>
      <c r="F41" s="380">
        <v>25000</v>
      </c>
      <c r="G41" s="342">
        <f t="shared" si="0"/>
        <v>0</v>
      </c>
      <c r="H41" s="345"/>
      <c r="I41" s="367">
        <v>44015</v>
      </c>
      <c r="J41" s="368" t="s">
        <v>749</v>
      </c>
    </row>
    <row r="42" spans="1:12" s="363" customFormat="1" ht="64.5" customHeight="1" x14ac:dyDescent="0.25">
      <c r="A42" s="407">
        <v>23</v>
      </c>
      <c r="B42" s="407" t="s">
        <v>784</v>
      </c>
      <c r="C42" s="366" t="s">
        <v>887</v>
      </c>
      <c r="D42" s="379">
        <f>SUM(D43:D47)</f>
        <v>83415.05</v>
      </c>
      <c r="E42" s="371"/>
      <c r="F42" s="379">
        <f>SUM(F43:F47)</f>
        <v>80355.05</v>
      </c>
      <c r="G42" s="342">
        <f t="shared" si="0"/>
        <v>3060</v>
      </c>
      <c r="H42" s="345"/>
      <c r="I42" s="367">
        <v>44015</v>
      </c>
      <c r="J42" s="368" t="s">
        <v>749</v>
      </c>
    </row>
    <row r="43" spans="1:12" s="363" customFormat="1" ht="36" customHeight="1" x14ac:dyDescent="0.25">
      <c r="A43" s="412"/>
      <c r="B43" s="412"/>
      <c r="C43" s="366" t="s">
        <v>886</v>
      </c>
      <c r="D43" s="379">
        <v>7640</v>
      </c>
      <c r="E43" s="371" t="s">
        <v>869</v>
      </c>
      <c r="F43" s="380">
        <v>7640</v>
      </c>
      <c r="G43" s="342">
        <f t="shared" ref="G43" si="2">D43-F43</f>
        <v>0</v>
      </c>
      <c r="H43" s="345"/>
      <c r="I43" s="367">
        <v>44015</v>
      </c>
      <c r="J43" s="368" t="s">
        <v>749</v>
      </c>
    </row>
    <row r="44" spans="1:12" s="363" customFormat="1" ht="36" customHeight="1" x14ac:dyDescent="0.25">
      <c r="A44" s="412"/>
      <c r="B44" s="412"/>
      <c r="C44" s="366" t="s">
        <v>888</v>
      </c>
      <c r="D44" s="379">
        <v>46250</v>
      </c>
      <c r="E44" s="371" t="s">
        <v>870</v>
      </c>
      <c r="F44" s="380">
        <v>46250</v>
      </c>
      <c r="G44" s="342">
        <f t="shared" si="0"/>
        <v>0</v>
      </c>
      <c r="H44" s="345"/>
      <c r="I44" s="367">
        <v>44015</v>
      </c>
      <c r="J44" s="368" t="s">
        <v>749</v>
      </c>
    </row>
    <row r="45" spans="1:12" s="363" customFormat="1" ht="36" customHeight="1" x14ac:dyDescent="0.25">
      <c r="A45" s="412"/>
      <c r="B45" s="412"/>
      <c r="C45" s="366" t="s">
        <v>889</v>
      </c>
      <c r="D45" s="379">
        <v>10560</v>
      </c>
      <c r="E45" s="371" t="s">
        <v>785</v>
      </c>
      <c r="F45" s="380">
        <v>10560</v>
      </c>
      <c r="G45" s="342">
        <f t="shared" si="0"/>
        <v>0</v>
      </c>
      <c r="H45" s="345"/>
      <c r="I45" s="367">
        <v>44015</v>
      </c>
      <c r="J45" s="368" t="s">
        <v>749</v>
      </c>
    </row>
    <row r="46" spans="1:12" s="363" customFormat="1" ht="36" customHeight="1" x14ac:dyDescent="0.25">
      <c r="A46" s="412"/>
      <c r="B46" s="412"/>
      <c r="C46" s="366" t="s">
        <v>890</v>
      </c>
      <c r="D46" s="379">
        <v>3060</v>
      </c>
      <c r="E46" s="359"/>
      <c r="F46" s="380"/>
      <c r="G46" s="342">
        <f>D46-F46</f>
        <v>3060</v>
      </c>
      <c r="H46" s="374" t="s">
        <v>893</v>
      </c>
      <c r="I46" s="367">
        <v>44015</v>
      </c>
      <c r="J46" s="368" t="s">
        <v>749</v>
      </c>
    </row>
    <row r="47" spans="1:12" s="363" customFormat="1" ht="36" customHeight="1" x14ac:dyDescent="0.25">
      <c r="A47" s="408"/>
      <c r="B47" s="408"/>
      <c r="C47" s="366" t="s">
        <v>891</v>
      </c>
      <c r="D47" s="379">
        <v>15905.05</v>
      </c>
      <c r="E47" s="371" t="s">
        <v>892</v>
      </c>
      <c r="F47" s="380">
        <v>15905.05</v>
      </c>
      <c r="G47" s="342">
        <f t="shared" si="0"/>
        <v>0</v>
      </c>
      <c r="H47" s="345"/>
      <c r="I47" s="367">
        <v>44015</v>
      </c>
      <c r="J47" s="368" t="s">
        <v>749</v>
      </c>
    </row>
    <row r="48" spans="1:12" s="363" customFormat="1" ht="49.5" customHeight="1" x14ac:dyDescent="0.25">
      <c r="A48" s="359">
        <v>24</v>
      </c>
      <c r="B48" s="359" t="s">
        <v>786</v>
      </c>
      <c r="C48" s="360" t="s">
        <v>787</v>
      </c>
      <c r="D48" s="379">
        <v>38750</v>
      </c>
      <c r="E48" s="371" t="s">
        <v>788</v>
      </c>
      <c r="F48" s="380">
        <v>38750</v>
      </c>
      <c r="G48" s="342">
        <f t="shared" si="0"/>
        <v>0</v>
      </c>
      <c r="H48" s="342"/>
      <c r="I48" s="362">
        <v>44021</v>
      </c>
      <c r="J48" s="361" t="s">
        <v>764</v>
      </c>
    </row>
    <row r="49" spans="1:12" s="363" customFormat="1" ht="39.75" customHeight="1" x14ac:dyDescent="0.25">
      <c r="A49" s="372">
        <v>25</v>
      </c>
      <c r="B49" s="359" t="s">
        <v>789</v>
      </c>
      <c r="C49" s="366" t="s">
        <v>790</v>
      </c>
      <c r="D49" s="379">
        <v>10000</v>
      </c>
      <c r="E49" s="344" t="s">
        <v>871</v>
      </c>
      <c r="F49" s="380">
        <v>10000</v>
      </c>
      <c r="G49" s="342">
        <f t="shared" si="0"/>
        <v>0</v>
      </c>
      <c r="H49" s="361"/>
      <c r="I49" s="362">
        <v>44020</v>
      </c>
      <c r="J49" s="361" t="s">
        <v>733</v>
      </c>
      <c r="L49" s="364"/>
    </row>
    <row r="50" spans="1:12" s="363" customFormat="1" ht="49.5" customHeight="1" x14ac:dyDescent="0.25">
      <c r="A50" s="372">
        <v>26</v>
      </c>
      <c r="B50" s="359" t="s">
        <v>789</v>
      </c>
      <c r="C50" s="366" t="s">
        <v>791</v>
      </c>
      <c r="D50" s="379">
        <v>25000</v>
      </c>
      <c r="E50" s="344" t="s">
        <v>872</v>
      </c>
      <c r="F50" s="380">
        <v>25000</v>
      </c>
      <c r="G50" s="342">
        <f t="shared" si="0"/>
        <v>0</v>
      </c>
      <c r="H50" s="361"/>
      <c r="I50" s="362">
        <v>44025</v>
      </c>
      <c r="J50" s="361" t="s">
        <v>733</v>
      </c>
      <c r="L50" s="364"/>
    </row>
    <row r="51" spans="1:12" s="363" customFormat="1" ht="49.5" customHeight="1" x14ac:dyDescent="0.25">
      <c r="A51" s="372">
        <v>27</v>
      </c>
      <c r="B51" s="359" t="s">
        <v>792</v>
      </c>
      <c r="C51" s="366" t="s">
        <v>793</v>
      </c>
      <c r="D51" s="379">
        <v>32500</v>
      </c>
      <c r="E51" s="344" t="s">
        <v>873</v>
      </c>
      <c r="F51" s="380">
        <v>32500</v>
      </c>
      <c r="G51" s="342">
        <f t="shared" si="0"/>
        <v>0</v>
      </c>
      <c r="H51" s="361"/>
      <c r="I51" s="362">
        <v>44028</v>
      </c>
      <c r="J51" s="361" t="s">
        <v>733</v>
      </c>
      <c r="L51" s="364"/>
    </row>
    <row r="52" spans="1:12" s="363" customFormat="1" ht="64.5" customHeight="1" x14ac:dyDescent="0.25">
      <c r="A52" s="359">
        <v>28</v>
      </c>
      <c r="B52" s="359" t="s">
        <v>794</v>
      </c>
      <c r="C52" s="366" t="s">
        <v>795</v>
      </c>
      <c r="D52" s="379">
        <v>200000</v>
      </c>
      <c r="E52" s="371" t="s">
        <v>796</v>
      </c>
      <c r="F52" s="380">
        <v>200000</v>
      </c>
      <c r="G52" s="342">
        <f t="shared" si="0"/>
        <v>0</v>
      </c>
      <c r="H52" s="369"/>
      <c r="I52" s="367">
        <v>44034</v>
      </c>
      <c r="J52" s="368" t="s">
        <v>749</v>
      </c>
    </row>
    <row r="53" spans="1:12" s="363" customFormat="1" ht="51" customHeight="1" x14ac:dyDescent="0.25">
      <c r="A53" s="372">
        <v>29</v>
      </c>
      <c r="B53" s="359" t="s">
        <v>797</v>
      </c>
      <c r="C53" s="366" t="s">
        <v>798</v>
      </c>
      <c r="D53" s="379">
        <v>25000</v>
      </c>
      <c r="E53" s="344" t="s">
        <v>874</v>
      </c>
      <c r="F53" s="380">
        <v>25000</v>
      </c>
      <c r="G53" s="342">
        <f t="shared" si="0"/>
        <v>0</v>
      </c>
      <c r="H53" s="361"/>
      <c r="I53" s="362">
        <v>44034</v>
      </c>
      <c r="J53" s="361" t="s">
        <v>733</v>
      </c>
      <c r="L53" s="364"/>
    </row>
    <row r="54" spans="1:12" s="363" customFormat="1" ht="59.25" customHeight="1" x14ac:dyDescent="0.25">
      <c r="A54" s="359">
        <v>30</v>
      </c>
      <c r="B54" s="359" t="s">
        <v>799</v>
      </c>
      <c r="C54" s="366" t="s">
        <v>800</v>
      </c>
      <c r="D54" s="379">
        <v>285700</v>
      </c>
      <c r="E54" s="371" t="s">
        <v>875</v>
      </c>
      <c r="F54" s="380">
        <v>285700</v>
      </c>
      <c r="G54" s="342">
        <f t="shared" si="0"/>
        <v>0</v>
      </c>
      <c r="H54" s="369"/>
      <c r="I54" s="367">
        <v>44034</v>
      </c>
      <c r="J54" s="368" t="s">
        <v>749</v>
      </c>
    </row>
    <row r="55" spans="1:12" s="363" customFormat="1" ht="55.5" customHeight="1" x14ac:dyDescent="0.25">
      <c r="A55" s="372">
        <v>31</v>
      </c>
      <c r="B55" s="359" t="s">
        <v>801</v>
      </c>
      <c r="C55" s="366" t="s">
        <v>802</v>
      </c>
      <c r="D55" s="379">
        <v>11500</v>
      </c>
      <c r="E55" s="344" t="s">
        <v>876</v>
      </c>
      <c r="F55" s="380">
        <v>11500</v>
      </c>
      <c r="G55" s="342">
        <f t="shared" si="0"/>
        <v>0</v>
      </c>
      <c r="H55" s="361"/>
      <c r="I55" s="362">
        <v>44063</v>
      </c>
      <c r="J55" s="361" t="s">
        <v>733</v>
      </c>
      <c r="L55" s="364"/>
    </row>
    <row r="56" spans="1:12" s="363" customFormat="1" ht="52.5" customHeight="1" x14ac:dyDescent="0.25">
      <c r="A56" s="372">
        <v>32</v>
      </c>
      <c r="B56" s="359" t="s">
        <v>803</v>
      </c>
      <c r="C56" s="366" t="s">
        <v>804</v>
      </c>
      <c r="D56" s="379">
        <v>60000</v>
      </c>
      <c r="E56" s="344" t="s">
        <v>877</v>
      </c>
      <c r="F56" s="380">
        <v>60000</v>
      </c>
      <c r="G56" s="342">
        <f t="shared" si="0"/>
        <v>0</v>
      </c>
      <c r="H56" s="361"/>
      <c r="I56" s="362">
        <v>44109</v>
      </c>
      <c r="J56" s="361" t="s">
        <v>733</v>
      </c>
      <c r="L56" s="364"/>
    </row>
    <row r="57" spans="1:12" s="363" customFormat="1" ht="50.25" customHeight="1" x14ac:dyDescent="0.25">
      <c r="A57" s="372">
        <v>33</v>
      </c>
      <c r="B57" s="359" t="s">
        <v>805</v>
      </c>
      <c r="C57" s="366" t="s">
        <v>744</v>
      </c>
      <c r="D57" s="379">
        <v>51738</v>
      </c>
      <c r="E57" s="344" t="s">
        <v>878</v>
      </c>
      <c r="F57" s="380">
        <v>51738</v>
      </c>
      <c r="G57" s="342">
        <f t="shared" si="0"/>
        <v>0</v>
      </c>
      <c r="H57" s="361"/>
      <c r="I57" s="362">
        <v>44109</v>
      </c>
      <c r="J57" s="361" t="s">
        <v>733</v>
      </c>
      <c r="L57" s="364"/>
    </row>
    <row r="58" spans="1:12" s="363" customFormat="1" ht="34.5" customHeight="1" x14ac:dyDescent="0.25">
      <c r="A58" s="359">
        <v>34</v>
      </c>
      <c r="B58" s="359" t="s">
        <v>806</v>
      </c>
      <c r="C58" s="360" t="s">
        <v>807</v>
      </c>
      <c r="D58" s="379">
        <v>150000</v>
      </c>
      <c r="E58" s="371" t="s">
        <v>808</v>
      </c>
      <c r="F58" s="380">
        <v>150000</v>
      </c>
      <c r="G58" s="342">
        <f t="shared" si="0"/>
        <v>0</v>
      </c>
      <c r="H58" s="342"/>
      <c r="I58" s="362">
        <v>44140</v>
      </c>
      <c r="J58" s="361" t="s">
        <v>764</v>
      </c>
    </row>
    <row r="59" spans="1:12" s="363" customFormat="1" ht="32.25" customHeight="1" x14ac:dyDescent="0.25">
      <c r="A59" s="359">
        <v>35</v>
      </c>
      <c r="B59" s="359" t="s">
        <v>809</v>
      </c>
      <c r="C59" s="360" t="s">
        <v>810</v>
      </c>
      <c r="D59" s="379">
        <v>50000</v>
      </c>
      <c r="E59" s="344" t="s">
        <v>879</v>
      </c>
      <c r="F59" s="380">
        <v>50000</v>
      </c>
      <c r="G59" s="342">
        <f t="shared" si="0"/>
        <v>0</v>
      </c>
      <c r="H59" s="361"/>
      <c r="I59" s="362">
        <v>44144</v>
      </c>
      <c r="J59" s="361" t="s">
        <v>733</v>
      </c>
      <c r="L59" s="364"/>
    </row>
    <row r="60" spans="1:12" s="363" customFormat="1" ht="33" customHeight="1" x14ac:dyDescent="0.25">
      <c r="A60" s="359">
        <v>36</v>
      </c>
      <c r="B60" s="359" t="s">
        <v>811</v>
      </c>
      <c r="C60" s="360" t="s">
        <v>812</v>
      </c>
      <c r="D60" s="379">
        <v>10000</v>
      </c>
      <c r="E60" s="344" t="s">
        <v>880</v>
      </c>
      <c r="F60" s="380">
        <v>10000</v>
      </c>
      <c r="G60" s="342">
        <f t="shared" si="0"/>
        <v>0</v>
      </c>
      <c r="H60" s="361"/>
      <c r="I60" s="362">
        <v>44151</v>
      </c>
      <c r="J60" s="361" t="s">
        <v>733</v>
      </c>
      <c r="L60" s="364"/>
    </row>
    <row r="61" spans="1:12" s="363" customFormat="1" ht="69" customHeight="1" x14ac:dyDescent="0.25">
      <c r="A61" s="407">
        <v>37</v>
      </c>
      <c r="B61" s="407" t="s">
        <v>813</v>
      </c>
      <c r="C61" s="360" t="s">
        <v>814</v>
      </c>
      <c r="D61" s="379">
        <v>25000</v>
      </c>
      <c r="E61" s="371" t="s">
        <v>914</v>
      </c>
      <c r="F61" s="380">
        <v>25000</v>
      </c>
      <c r="G61" s="342">
        <f t="shared" si="0"/>
        <v>0</v>
      </c>
      <c r="H61" s="342"/>
      <c r="I61" s="362">
        <v>44159</v>
      </c>
      <c r="J61" s="361" t="s">
        <v>764</v>
      </c>
    </row>
    <row r="62" spans="1:12" s="363" customFormat="1" ht="36" customHeight="1" x14ac:dyDescent="0.25">
      <c r="A62" s="408"/>
      <c r="B62" s="408"/>
      <c r="C62" s="360" t="s">
        <v>815</v>
      </c>
      <c r="D62" s="379">
        <v>30000</v>
      </c>
      <c r="E62" s="371" t="s">
        <v>913</v>
      </c>
      <c r="F62" s="380">
        <v>30000</v>
      </c>
      <c r="G62" s="342">
        <f t="shared" si="0"/>
        <v>0</v>
      </c>
      <c r="H62" s="342"/>
      <c r="I62" s="362">
        <v>44159</v>
      </c>
      <c r="J62" s="361" t="s">
        <v>764</v>
      </c>
    </row>
    <row r="63" spans="1:12" s="363" customFormat="1" ht="43.5" customHeight="1" x14ac:dyDescent="0.25">
      <c r="A63" s="359">
        <v>38</v>
      </c>
      <c r="B63" s="359" t="s">
        <v>816</v>
      </c>
      <c r="C63" s="360" t="s">
        <v>760</v>
      </c>
      <c r="D63" s="379">
        <v>50000</v>
      </c>
      <c r="E63" s="344" t="s">
        <v>881</v>
      </c>
      <c r="F63" s="380">
        <v>50000</v>
      </c>
      <c r="G63" s="342">
        <f t="shared" si="0"/>
        <v>0</v>
      </c>
      <c r="H63" s="361"/>
      <c r="I63" s="362">
        <v>44159</v>
      </c>
      <c r="J63" s="361" t="s">
        <v>733</v>
      </c>
      <c r="L63" s="364"/>
    </row>
    <row r="64" spans="1:12" s="363" customFormat="1" ht="27.75" customHeight="1" x14ac:dyDescent="0.25">
      <c r="A64" s="359">
        <v>39</v>
      </c>
      <c r="B64" s="359" t="s">
        <v>817</v>
      </c>
      <c r="C64" s="366" t="s">
        <v>818</v>
      </c>
      <c r="D64" s="379">
        <v>51033.5</v>
      </c>
      <c r="E64" s="371" t="s">
        <v>882</v>
      </c>
      <c r="F64" s="380">
        <v>50000</v>
      </c>
      <c r="G64" s="342">
        <f t="shared" si="0"/>
        <v>1033.5</v>
      </c>
      <c r="H64" s="374" t="s">
        <v>893</v>
      </c>
      <c r="I64" s="367">
        <v>44176</v>
      </c>
      <c r="J64" s="368" t="s">
        <v>749</v>
      </c>
    </row>
    <row r="65" spans="1:12" s="363" customFormat="1" ht="42.75" customHeight="1" x14ac:dyDescent="0.25">
      <c r="A65" s="359">
        <v>40</v>
      </c>
      <c r="B65" s="359" t="s">
        <v>819</v>
      </c>
      <c r="C65" s="360" t="s">
        <v>820</v>
      </c>
      <c r="D65" s="379">
        <v>37800</v>
      </c>
      <c r="E65" s="344" t="s">
        <v>883</v>
      </c>
      <c r="F65" s="380">
        <v>37800</v>
      </c>
      <c r="G65" s="342">
        <f t="shared" si="0"/>
        <v>0</v>
      </c>
      <c r="H65" s="361"/>
      <c r="I65" s="362">
        <v>44176</v>
      </c>
      <c r="J65" s="361" t="s">
        <v>733</v>
      </c>
      <c r="L65" s="364"/>
    </row>
    <row r="66" spans="1:12" s="363" customFormat="1" ht="24.75" customHeight="1" x14ac:dyDescent="0.25">
      <c r="A66" s="359">
        <v>41</v>
      </c>
      <c r="B66" s="359" t="s">
        <v>821</v>
      </c>
      <c r="C66" s="360" t="s">
        <v>822</v>
      </c>
      <c r="D66" s="379">
        <v>25000</v>
      </c>
      <c r="E66" s="344" t="s">
        <v>884</v>
      </c>
      <c r="F66" s="380">
        <v>25000</v>
      </c>
      <c r="G66" s="342">
        <f t="shared" si="0"/>
        <v>0</v>
      </c>
      <c r="H66" s="361"/>
      <c r="I66" s="362">
        <v>44176</v>
      </c>
      <c r="J66" s="361" t="s">
        <v>733</v>
      </c>
      <c r="L66" s="364"/>
    </row>
    <row r="67" spans="1:12" s="363" customFormat="1" ht="27" customHeight="1" x14ac:dyDescent="0.25">
      <c r="A67" s="359">
        <v>42</v>
      </c>
      <c r="B67" s="359" t="s">
        <v>823</v>
      </c>
      <c r="C67" s="360" t="s">
        <v>824</v>
      </c>
      <c r="D67" s="379">
        <v>62100</v>
      </c>
      <c r="E67" s="371" t="s">
        <v>885</v>
      </c>
      <c r="F67" s="380">
        <v>62100</v>
      </c>
      <c r="G67" s="342">
        <f t="shared" si="0"/>
        <v>0</v>
      </c>
      <c r="H67" s="342"/>
      <c r="I67" s="362">
        <v>44183</v>
      </c>
      <c r="J67" s="361" t="s">
        <v>764</v>
      </c>
    </row>
    <row r="68" spans="1:12" s="363" customFormat="1" x14ac:dyDescent="0.25">
      <c r="A68" s="375"/>
      <c r="B68" s="375" t="s">
        <v>825</v>
      </c>
      <c r="C68" s="376"/>
      <c r="D68" s="380">
        <f>SUM(D7:D67)-D42-D28</f>
        <v>3499251.2299999995</v>
      </c>
      <c r="E68" s="342"/>
      <c r="F68" s="380">
        <f>SUM(F7:F67)-F42-F28</f>
        <v>3488957.7299999995</v>
      </c>
      <c r="G68" s="342">
        <f>SUM(G7:G67)-G42-G28</f>
        <v>10293.5</v>
      </c>
      <c r="H68" s="361"/>
      <c r="I68" s="375"/>
      <c r="J68" s="375"/>
    </row>
    <row r="69" spans="1:12" x14ac:dyDescent="0.2">
      <c r="B69" s="337" t="s">
        <v>917</v>
      </c>
      <c r="C69" s="336"/>
      <c r="D69" s="381"/>
      <c r="E69" s="348"/>
      <c r="F69" s="381"/>
      <c r="G69" s="348"/>
      <c r="J69" s="346"/>
    </row>
    <row r="70" spans="1:12" x14ac:dyDescent="0.2">
      <c r="C70" s="336" t="s">
        <v>68</v>
      </c>
      <c r="D70" s="381">
        <f>D21+D47+D57+D60+D61+D66</f>
        <v>147643.04999999999</v>
      </c>
      <c r="E70" s="348"/>
      <c r="F70" s="381"/>
      <c r="G70" s="348"/>
      <c r="J70" s="346"/>
    </row>
    <row r="71" spans="1:12" x14ac:dyDescent="0.2">
      <c r="C71" s="347" t="s">
        <v>826</v>
      </c>
      <c r="D71" s="381">
        <f>D14+D23+D40+D41+D42+D44+D45+D46+D51+D53+D63</f>
        <v>741785.05</v>
      </c>
      <c r="E71" s="348">
        <f>D27+D28+D30+D31+D32+D33+D34+D35+D36+D37</f>
        <v>210648</v>
      </c>
      <c r="F71" s="381"/>
      <c r="G71" s="348"/>
      <c r="J71" s="346"/>
    </row>
    <row r="72" spans="1:12" x14ac:dyDescent="0.2">
      <c r="C72" s="347" t="s">
        <v>203</v>
      </c>
      <c r="D72" s="382">
        <f>D68+D69+D70+D71</f>
        <v>4388679.3299999991</v>
      </c>
      <c r="E72" s="346">
        <f>SUM(E68:E71)</f>
        <v>210648</v>
      </c>
      <c r="F72" s="382"/>
      <c r="G72" s="346"/>
      <c r="J72" s="346"/>
    </row>
    <row r="73" spans="1:12" x14ac:dyDescent="0.2">
      <c r="C73" s="347" t="s">
        <v>827</v>
      </c>
      <c r="D73" s="381">
        <v>2959657.55</v>
      </c>
      <c r="E73" s="348"/>
      <c r="F73" s="381"/>
      <c r="G73" s="348"/>
      <c r="J73" s="346"/>
    </row>
    <row r="74" spans="1:12" x14ac:dyDescent="0.2">
      <c r="C74" s="347" t="s">
        <v>828</v>
      </c>
      <c r="D74" s="381">
        <f>D72-D73</f>
        <v>1429021.7799999993</v>
      </c>
      <c r="E74" s="349" t="s">
        <v>513</v>
      </c>
      <c r="F74" s="381"/>
      <c r="G74" s="348"/>
      <c r="J74" s="346"/>
    </row>
    <row r="75" spans="1:12" x14ac:dyDescent="0.2">
      <c r="J75" s="346"/>
    </row>
    <row r="76" spans="1:12" x14ac:dyDescent="0.2">
      <c r="J76" s="346"/>
    </row>
    <row r="77" spans="1:12" ht="25.5" x14ac:dyDescent="0.2">
      <c r="C77" s="350" t="s">
        <v>829</v>
      </c>
      <c r="D77" s="384">
        <f>D7+D9+D16+D65</f>
        <v>102800</v>
      </c>
      <c r="E77" s="351"/>
      <c r="F77" s="384">
        <f t="shared" ref="F77" si="3">F7+F9+F16+F65</f>
        <v>102800</v>
      </c>
      <c r="G77" s="351"/>
      <c r="J77" s="346"/>
    </row>
    <row r="78" spans="1:12" x14ac:dyDescent="0.2">
      <c r="C78" s="350" t="s">
        <v>830</v>
      </c>
      <c r="D78" s="384">
        <f>D58</f>
        <v>150000</v>
      </c>
      <c r="E78" s="351"/>
      <c r="F78" s="384">
        <f t="shared" ref="F78" si="4">F58</f>
        <v>150000</v>
      </c>
      <c r="G78" s="351"/>
      <c r="J78" s="346"/>
    </row>
    <row r="79" spans="1:12" ht="38.25" x14ac:dyDescent="0.2">
      <c r="C79" s="350" t="s">
        <v>831</v>
      </c>
      <c r="D79" s="384">
        <f>D18+D19+D38+D48+D49+D52</f>
        <v>474036</v>
      </c>
      <c r="E79" s="351"/>
      <c r="F79" s="384">
        <f t="shared" ref="F79" si="5">F18+F19+F38+F48+F49+F52</f>
        <v>474036</v>
      </c>
      <c r="G79" s="351"/>
      <c r="J79" s="346"/>
    </row>
    <row r="80" spans="1:12" ht="38.25" x14ac:dyDescent="0.2">
      <c r="C80" s="350" t="s">
        <v>832</v>
      </c>
      <c r="D80" s="384">
        <f>D59</f>
        <v>50000</v>
      </c>
      <c r="E80" s="351"/>
      <c r="F80" s="384">
        <f t="shared" ref="F80" si="6">F59</f>
        <v>50000</v>
      </c>
      <c r="G80" s="351"/>
      <c r="H80" s="352"/>
      <c r="J80" s="346"/>
    </row>
    <row r="81" spans="3:10" ht="25.5" x14ac:dyDescent="0.2">
      <c r="C81" s="350" t="s">
        <v>833</v>
      </c>
      <c r="D81" s="384">
        <f>D39</f>
        <v>20000</v>
      </c>
      <c r="E81" s="351"/>
      <c r="F81" s="384">
        <f t="shared" ref="F81" si="7">F39</f>
        <v>20000</v>
      </c>
      <c r="G81" s="351"/>
      <c r="J81" s="346"/>
    </row>
    <row r="82" spans="3:10" ht="38.25" x14ac:dyDescent="0.2">
      <c r="C82" s="350" t="s">
        <v>834</v>
      </c>
      <c r="D82" s="384">
        <f>D8+D10</f>
        <v>488971</v>
      </c>
      <c r="E82" s="351"/>
      <c r="F82" s="384">
        <f t="shared" ref="F82" si="8">F8+F10</f>
        <v>488971</v>
      </c>
      <c r="G82" s="351"/>
      <c r="J82" s="346"/>
    </row>
    <row r="83" spans="3:10" x14ac:dyDescent="0.2">
      <c r="C83" s="350" t="s">
        <v>835</v>
      </c>
      <c r="D83" s="384"/>
      <c r="E83" s="351"/>
      <c r="F83" s="384"/>
      <c r="G83" s="351"/>
      <c r="J83" s="346"/>
    </row>
    <row r="84" spans="3:10" ht="89.25" x14ac:dyDescent="0.2">
      <c r="C84" s="350" t="s">
        <v>836</v>
      </c>
      <c r="D84" s="384"/>
      <c r="E84" s="351"/>
      <c r="F84" s="384"/>
      <c r="G84" s="351"/>
      <c r="J84" s="346"/>
    </row>
    <row r="85" spans="3:10" ht="76.5" x14ac:dyDescent="0.2">
      <c r="C85" s="350" t="s">
        <v>837</v>
      </c>
      <c r="D85" s="384">
        <f>D21+D47+D57+D60+D61+D66</f>
        <v>147643.04999999999</v>
      </c>
      <c r="E85" s="351"/>
      <c r="F85" s="384">
        <f t="shared" ref="F85" si="9">F21+F47+F57+F60+F61+F66</f>
        <v>147643.04999999999</v>
      </c>
      <c r="G85" s="351"/>
      <c r="J85" s="346"/>
    </row>
    <row r="86" spans="3:10" ht="25.5" x14ac:dyDescent="0.2">
      <c r="C86" s="350" t="s">
        <v>838</v>
      </c>
      <c r="D86" s="384">
        <f>D50+D54</f>
        <v>310700</v>
      </c>
      <c r="E86" s="351"/>
      <c r="F86" s="384">
        <f t="shared" ref="F86" si="10">F50+F54</f>
        <v>310700</v>
      </c>
      <c r="G86" s="351"/>
    </row>
    <row r="87" spans="3:10" ht="63.75" x14ac:dyDescent="0.2">
      <c r="C87" s="350" t="s">
        <v>839</v>
      </c>
      <c r="D87" s="384">
        <f>D11+D12+D13+D15+D17+D20+D22+D56</f>
        <v>547104</v>
      </c>
      <c r="E87" s="351"/>
      <c r="F87" s="384">
        <f t="shared" ref="F87" si="11">F11+F12+F13+F15+F17+F20+F22+F56</f>
        <v>540904</v>
      </c>
      <c r="G87" s="351"/>
    </row>
    <row r="88" spans="3:10" ht="25.5" x14ac:dyDescent="0.2">
      <c r="C88" s="350" t="s">
        <v>840</v>
      </c>
      <c r="D88" s="384">
        <f>D24+D26+D27+D28+D30+D31+D32+D33+D34+D35+D36+D37+D55+D62+D64</f>
        <v>458327.18</v>
      </c>
      <c r="E88" s="351"/>
      <c r="F88" s="384">
        <f t="shared" ref="F88" si="12">F24+F26+F27+F28+F30+F31+F32+F33+F34+F35+F36+F37+F55+F62+F64</f>
        <v>457293.68</v>
      </c>
      <c r="G88" s="351"/>
    </row>
    <row r="89" spans="3:10" ht="76.5" x14ac:dyDescent="0.2">
      <c r="C89" s="350" t="s">
        <v>841</v>
      </c>
      <c r="D89" s="384">
        <f>D14+D23+D40+D41+D42+D44+D45+D46+D51+D53+D63</f>
        <v>741785.05</v>
      </c>
      <c r="E89" s="351"/>
      <c r="F89" s="384">
        <f t="shared" ref="F89" si="13">F14+F23+F40+F41+F42+F44+F45+F46+F51+F53+F63</f>
        <v>735665.05</v>
      </c>
      <c r="G89" s="351"/>
    </row>
    <row r="90" spans="3:10" x14ac:dyDescent="0.2">
      <c r="C90" s="353" t="s">
        <v>842</v>
      </c>
      <c r="D90" s="384">
        <f>SUM(D77:D89)</f>
        <v>3491366.2800000003</v>
      </c>
      <c r="E90" s="351"/>
      <c r="F90" s="384">
        <f>SUM(F77:F89)</f>
        <v>3478012.7800000003</v>
      </c>
      <c r="G90" s="351"/>
    </row>
    <row r="91" spans="3:10" x14ac:dyDescent="0.2">
      <c r="C91" s="347"/>
      <c r="D91" s="382"/>
    </row>
    <row r="92" spans="3:10" x14ac:dyDescent="0.2">
      <c r="C92" s="347"/>
      <c r="F92" s="382"/>
    </row>
    <row r="93" spans="3:10" x14ac:dyDescent="0.2">
      <c r="C93" s="347"/>
    </row>
    <row r="94" spans="3:10" x14ac:dyDescent="0.2">
      <c r="C94" s="347"/>
    </row>
    <row r="95" spans="3:10" x14ac:dyDescent="0.2">
      <c r="C95" s="347"/>
    </row>
    <row r="96" spans="3:10" x14ac:dyDescent="0.2">
      <c r="C96" s="347"/>
    </row>
    <row r="97" spans="3:3" x14ac:dyDescent="0.2">
      <c r="C97" s="347"/>
    </row>
  </sheetData>
  <mergeCells count="22">
    <mergeCell ref="A2:H2"/>
    <mergeCell ref="A3:G3"/>
    <mergeCell ref="A4:A5"/>
    <mergeCell ref="B4:B5"/>
    <mergeCell ref="C4:D4"/>
    <mergeCell ref="E4:F4"/>
    <mergeCell ref="G4:G5"/>
    <mergeCell ref="A61:A62"/>
    <mergeCell ref="B61:B62"/>
    <mergeCell ref="H4:H5"/>
    <mergeCell ref="I4:I6"/>
    <mergeCell ref="J4:J6"/>
    <mergeCell ref="A11:A12"/>
    <mergeCell ref="B11:B12"/>
    <mergeCell ref="A18:A19"/>
    <mergeCell ref="B18:B19"/>
    <mergeCell ref="A25:A26"/>
    <mergeCell ref="B25:B26"/>
    <mergeCell ref="A28:A38"/>
    <mergeCell ref="B28:B38"/>
    <mergeCell ref="A42:A47"/>
    <mergeCell ref="B42:B47"/>
  </mergeCells>
  <pageMargins left="0.51181102362204722" right="0" top="0.15748031496062992" bottom="0.15748031496062992" header="0" footer="0"/>
  <pageSetup paperSize="9" scale="5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9">
    <tabColor rgb="FF92D050"/>
  </sheetPr>
  <dimension ref="A1:AV39"/>
  <sheetViews>
    <sheetView view="pageBreakPreview" topLeftCell="C1" zoomScale="85" zoomScaleNormal="100" zoomScaleSheetLayoutView="85" workbookViewId="0">
      <pane xSplit="4" ySplit="6" topLeftCell="G13" activePane="bottomRight" state="frozen"/>
      <selection activeCell="B32" sqref="B32"/>
      <selection pane="topRight" activeCell="B32" sqref="B32"/>
      <selection pane="bottomLeft" activeCell="B32" sqref="B32"/>
      <selection pane="bottomRight" activeCell="N1" sqref="N1"/>
    </sheetView>
  </sheetViews>
  <sheetFormatPr defaultColWidth="8" defaultRowHeight="12.75" x14ac:dyDescent="0.2"/>
  <cols>
    <col min="1" max="1" width="19" style="233" hidden="1" customWidth="1"/>
    <col min="2" max="2" width="0.28515625" style="233" hidden="1" customWidth="1"/>
    <col min="3" max="3" width="6" style="235" customWidth="1"/>
    <col min="4" max="4" width="55.42578125" style="236" customWidth="1"/>
    <col min="5" max="5" width="8.28515625" style="237" hidden="1" customWidth="1"/>
    <col min="6" max="6" width="18.7109375" style="238" customWidth="1"/>
    <col min="7" max="7" width="13.7109375" style="238" customWidth="1"/>
    <col min="8" max="8" width="14.28515625" style="238" customWidth="1"/>
    <col min="9" max="9" width="15.140625" style="238" customWidth="1"/>
    <col min="10" max="10" width="15" style="238" customWidth="1"/>
    <col min="11" max="11" width="16.28515625" style="238" customWidth="1"/>
    <col min="12" max="12" width="17.140625" style="238" customWidth="1"/>
    <col min="13" max="13" width="15.85546875" style="238" customWidth="1"/>
    <col min="14" max="14" width="16" style="233" customWidth="1"/>
    <col min="15" max="15" width="16.140625" style="233" customWidth="1"/>
    <col min="16" max="16" width="17" style="233" customWidth="1"/>
    <col min="17" max="17" width="15.5703125" style="233" hidden="1" customWidth="1"/>
    <col min="18" max="18" width="13.7109375" style="233" hidden="1" customWidth="1"/>
    <col min="19" max="19" width="10.28515625" style="233" hidden="1" customWidth="1"/>
    <col min="20" max="20" width="12.140625" style="141" customWidth="1"/>
    <col min="21" max="21" width="15.140625" style="141" customWidth="1"/>
    <col min="22" max="48" width="8" style="141" customWidth="1"/>
    <col min="49" max="256" width="8" style="233"/>
    <col min="257" max="257" width="19" style="233" customWidth="1"/>
    <col min="258" max="258" width="0" style="233" hidden="1" customWidth="1"/>
    <col min="259" max="259" width="6" style="233" customWidth="1"/>
    <col min="260" max="260" width="42.140625" style="233" customWidth="1"/>
    <col min="261" max="261" width="0" style="233" hidden="1" customWidth="1"/>
    <col min="262" max="262" width="12.7109375" style="233" customWidth="1"/>
    <col min="263" max="263" width="13.5703125" style="233" customWidth="1"/>
    <col min="264" max="264" width="14" style="233" customWidth="1"/>
    <col min="265" max="265" width="13.85546875" style="233" customWidth="1"/>
    <col min="266" max="266" width="12.5703125" style="233" customWidth="1"/>
    <col min="267" max="269" width="12.7109375" style="233" customWidth="1"/>
    <col min="270" max="275" width="0" style="233" hidden="1" customWidth="1"/>
    <col min="276" max="276" width="12.140625" style="233" customWidth="1"/>
    <col min="277" max="277" width="15.140625" style="233" customWidth="1"/>
    <col min="278" max="304" width="8" style="233" customWidth="1"/>
    <col min="305" max="512" width="8" style="233"/>
    <col min="513" max="513" width="19" style="233" customWidth="1"/>
    <col min="514" max="514" width="0" style="233" hidden="1" customWidth="1"/>
    <col min="515" max="515" width="6" style="233" customWidth="1"/>
    <col min="516" max="516" width="42.140625" style="233" customWidth="1"/>
    <col min="517" max="517" width="0" style="233" hidden="1" customWidth="1"/>
    <col min="518" max="518" width="12.7109375" style="233" customWidth="1"/>
    <col min="519" max="519" width="13.5703125" style="233" customWidth="1"/>
    <col min="520" max="520" width="14" style="233" customWidth="1"/>
    <col min="521" max="521" width="13.85546875" style="233" customWidth="1"/>
    <col min="522" max="522" width="12.5703125" style="233" customWidth="1"/>
    <col min="523" max="525" width="12.7109375" style="233" customWidth="1"/>
    <col min="526" max="531" width="0" style="233" hidden="1" customWidth="1"/>
    <col min="532" max="532" width="12.140625" style="233" customWidth="1"/>
    <col min="533" max="533" width="15.140625" style="233" customWidth="1"/>
    <col min="534" max="560" width="8" style="233" customWidth="1"/>
    <col min="561" max="768" width="8" style="233"/>
    <col min="769" max="769" width="19" style="233" customWidth="1"/>
    <col min="770" max="770" width="0" style="233" hidden="1" customWidth="1"/>
    <col min="771" max="771" width="6" style="233" customWidth="1"/>
    <col min="772" max="772" width="42.140625" style="233" customWidth="1"/>
    <col min="773" max="773" width="0" style="233" hidden="1" customWidth="1"/>
    <col min="774" max="774" width="12.7109375" style="233" customWidth="1"/>
    <col min="775" max="775" width="13.5703125" style="233" customWidth="1"/>
    <col min="776" max="776" width="14" style="233" customWidth="1"/>
    <col min="777" max="777" width="13.85546875" style="233" customWidth="1"/>
    <col min="778" max="778" width="12.5703125" style="233" customWidth="1"/>
    <col min="779" max="781" width="12.7109375" style="233" customWidth="1"/>
    <col min="782" max="787" width="0" style="233" hidden="1" customWidth="1"/>
    <col min="788" max="788" width="12.140625" style="233" customWidth="1"/>
    <col min="789" max="789" width="15.140625" style="233" customWidth="1"/>
    <col min="790" max="816" width="8" style="233" customWidth="1"/>
    <col min="817" max="1024" width="8" style="233"/>
    <col min="1025" max="1025" width="19" style="233" customWidth="1"/>
    <col min="1026" max="1026" width="0" style="233" hidden="1" customWidth="1"/>
    <col min="1027" max="1027" width="6" style="233" customWidth="1"/>
    <col min="1028" max="1028" width="42.140625" style="233" customWidth="1"/>
    <col min="1029" max="1029" width="0" style="233" hidden="1" customWidth="1"/>
    <col min="1030" max="1030" width="12.7109375" style="233" customWidth="1"/>
    <col min="1031" max="1031" width="13.5703125" style="233" customWidth="1"/>
    <col min="1032" max="1032" width="14" style="233" customWidth="1"/>
    <col min="1033" max="1033" width="13.85546875" style="233" customWidth="1"/>
    <col min="1034" max="1034" width="12.5703125" style="233" customWidth="1"/>
    <col min="1035" max="1037" width="12.7109375" style="233" customWidth="1"/>
    <col min="1038" max="1043" width="0" style="233" hidden="1" customWidth="1"/>
    <col min="1044" max="1044" width="12.140625" style="233" customWidth="1"/>
    <col min="1045" max="1045" width="15.140625" style="233" customWidth="1"/>
    <col min="1046" max="1072" width="8" style="233" customWidth="1"/>
    <col min="1073" max="1280" width="8" style="233"/>
    <col min="1281" max="1281" width="19" style="233" customWidth="1"/>
    <col min="1282" max="1282" width="0" style="233" hidden="1" customWidth="1"/>
    <col min="1283" max="1283" width="6" style="233" customWidth="1"/>
    <col min="1284" max="1284" width="42.140625" style="233" customWidth="1"/>
    <col min="1285" max="1285" width="0" style="233" hidden="1" customWidth="1"/>
    <col min="1286" max="1286" width="12.7109375" style="233" customWidth="1"/>
    <col min="1287" max="1287" width="13.5703125" style="233" customWidth="1"/>
    <col min="1288" max="1288" width="14" style="233" customWidth="1"/>
    <col min="1289" max="1289" width="13.85546875" style="233" customWidth="1"/>
    <col min="1290" max="1290" width="12.5703125" style="233" customWidth="1"/>
    <col min="1291" max="1293" width="12.7109375" style="233" customWidth="1"/>
    <col min="1294" max="1299" width="0" style="233" hidden="1" customWidth="1"/>
    <col min="1300" max="1300" width="12.140625" style="233" customWidth="1"/>
    <col min="1301" max="1301" width="15.140625" style="233" customWidth="1"/>
    <col min="1302" max="1328" width="8" style="233" customWidth="1"/>
    <col min="1329" max="1536" width="8" style="233"/>
    <col min="1537" max="1537" width="19" style="233" customWidth="1"/>
    <col min="1538" max="1538" width="0" style="233" hidden="1" customWidth="1"/>
    <col min="1539" max="1539" width="6" style="233" customWidth="1"/>
    <col min="1540" max="1540" width="42.140625" style="233" customWidth="1"/>
    <col min="1541" max="1541" width="0" style="233" hidden="1" customWidth="1"/>
    <col min="1542" max="1542" width="12.7109375" style="233" customWidth="1"/>
    <col min="1543" max="1543" width="13.5703125" style="233" customWidth="1"/>
    <col min="1544" max="1544" width="14" style="233" customWidth="1"/>
    <col min="1545" max="1545" width="13.85546875" style="233" customWidth="1"/>
    <col min="1546" max="1546" width="12.5703125" style="233" customWidth="1"/>
    <col min="1547" max="1549" width="12.7109375" style="233" customWidth="1"/>
    <col min="1550" max="1555" width="0" style="233" hidden="1" customWidth="1"/>
    <col min="1556" max="1556" width="12.140625" style="233" customWidth="1"/>
    <col min="1557" max="1557" width="15.140625" style="233" customWidth="1"/>
    <col min="1558" max="1584" width="8" style="233" customWidth="1"/>
    <col min="1585" max="1792" width="8" style="233"/>
    <col min="1793" max="1793" width="19" style="233" customWidth="1"/>
    <col min="1794" max="1794" width="0" style="233" hidden="1" customWidth="1"/>
    <col min="1795" max="1795" width="6" style="233" customWidth="1"/>
    <col min="1796" max="1796" width="42.140625" style="233" customWidth="1"/>
    <col min="1797" max="1797" width="0" style="233" hidden="1" customWidth="1"/>
    <col min="1798" max="1798" width="12.7109375" style="233" customWidth="1"/>
    <col min="1799" max="1799" width="13.5703125" style="233" customWidth="1"/>
    <col min="1800" max="1800" width="14" style="233" customWidth="1"/>
    <col min="1801" max="1801" width="13.85546875" style="233" customWidth="1"/>
    <col min="1802" max="1802" width="12.5703125" style="233" customWidth="1"/>
    <col min="1803" max="1805" width="12.7109375" style="233" customWidth="1"/>
    <col min="1806" max="1811" width="0" style="233" hidden="1" customWidth="1"/>
    <col min="1812" max="1812" width="12.140625" style="233" customWidth="1"/>
    <col min="1813" max="1813" width="15.140625" style="233" customWidth="1"/>
    <col min="1814" max="1840" width="8" style="233" customWidth="1"/>
    <col min="1841" max="2048" width="8" style="233"/>
    <col min="2049" max="2049" width="19" style="233" customWidth="1"/>
    <col min="2050" max="2050" width="0" style="233" hidden="1" customWidth="1"/>
    <col min="2051" max="2051" width="6" style="233" customWidth="1"/>
    <col min="2052" max="2052" width="42.140625" style="233" customWidth="1"/>
    <col min="2053" max="2053" width="0" style="233" hidden="1" customWidth="1"/>
    <col min="2054" max="2054" width="12.7109375" style="233" customWidth="1"/>
    <col min="2055" max="2055" width="13.5703125" style="233" customWidth="1"/>
    <col min="2056" max="2056" width="14" style="233" customWidth="1"/>
    <col min="2057" max="2057" width="13.85546875" style="233" customWidth="1"/>
    <col min="2058" max="2058" width="12.5703125" style="233" customWidth="1"/>
    <col min="2059" max="2061" width="12.7109375" style="233" customWidth="1"/>
    <col min="2062" max="2067" width="0" style="233" hidden="1" customWidth="1"/>
    <col min="2068" max="2068" width="12.140625" style="233" customWidth="1"/>
    <col min="2069" max="2069" width="15.140625" style="233" customWidth="1"/>
    <col min="2070" max="2096" width="8" style="233" customWidth="1"/>
    <col min="2097" max="2304" width="8" style="233"/>
    <col min="2305" max="2305" width="19" style="233" customWidth="1"/>
    <col min="2306" max="2306" width="0" style="233" hidden="1" customWidth="1"/>
    <col min="2307" max="2307" width="6" style="233" customWidth="1"/>
    <col min="2308" max="2308" width="42.140625" style="233" customWidth="1"/>
    <col min="2309" max="2309" width="0" style="233" hidden="1" customWidth="1"/>
    <col min="2310" max="2310" width="12.7109375" style="233" customWidth="1"/>
    <col min="2311" max="2311" width="13.5703125" style="233" customWidth="1"/>
    <col min="2312" max="2312" width="14" style="233" customWidth="1"/>
    <col min="2313" max="2313" width="13.85546875" style="233" customWidth="1"/>
    <col min="2314" max="2314" width="12.5703125" style="233" customWidth="1"/>
    <col min="2315" max="2317" width="12.7109375" style="233" customWidth="1"/>
    <col min="2318" max="2323" width="0" style="233" hidden="1" customWidth="1"/>
    <col min="2324" max="2324" width="12.140625" style="233" customWidth="1"/>
    <col min="2325" max="2325" width="15.140625" style="233" customWidth="1"/>
    <col min="2326" max="2352" width="8" style="233" customWidth="1"/>
    <col min="2353" max="2560" width="8" style="233"/>
    <col min="2561" max="2561" width="19" style="233" customWidth="1"/>
    <col min="2562" max="2562" width="0" style="233" hidden="1" customWidth="1"/>
    <col min="2563" max="2563" width="6" style="233" customWidth="1"/>
    <col min="2564" max="2564" width="42.140625" style="233" customWidth="1"/>
    <col min="2565" max="2565" width="0" style="233" hidden="1" customWidth="1"/>
    <col min="2566" max="2566" width="12.7109375" style="233" customWidth="1"/>
    <col min="2567" max="2567" width="13.5703125" style="233" customWidth="1"/>
    <col min="2568" max="2568" width="14" style="233" customWidth="1"/>
    <col min="2569" max="2569" width="13.85546875" style="233" customWidth="1"/>
    <col min="2570" max="2570" width="12.5703125" style="233" customWidth="1"/>
    <col min="2571" max="2573" width="12.7109375" style="233" customWidth="1"/>
    <col min="2574" max="2579" width="0" style="233" hidden="1" customWidth="1"/>
    <col min="2580" max="2580" width="12.140625" style="233" customWidth="1"/>
    <col min="2581" max="2581" width="15.140625" style="233" customWidth="1"/>
    <col min="2582" max="2608" width="8" style="233" customWidth="1"/>
    <col min="2609" max="2816" width="8" style="233"/>
    <col min="2817" max="2817" width="19" style="233" customWidth="1"/>
    <col min="2818" max="2818" width="0" style="233" hidden="1" customWidth="1"/>
    <col min="2819" max="2819" width="6" style="233" customWidth="1"/>
    <col min="2820" max="2820" width="42.140625" style="233" customWidth="1"/>
    <col min="2821" max="2821" width="0" style="233" hidden="1" customWidth="1"/>
    <col min="2822" max="2822" width="12.7109375" style="233" customWidth="1"/>
    <col min="2823" max="2823" width="13.5703125" style="233" customWidth="1"/>
    <col min="2824" max="2824" width="14" style="233" customWidth="1"/>
    <col min="2825" max="2825" width="13.85546875" style="233" customWidth="1"/>
    <col min="2826" max="2826" width="12.5703125" style="233" customWidth="1"/>
    <col min="2827" max="2829" width="12.7109375" style="233" customWidth="1"/>
    <col min="2830" max="2835" width="0" style="233" hidden="1" customWidth="1"/>
    <col min="2836" max="2836" width="12.140625" style="233" customWidth="1"/>
    <col min="2837" max="2837" width="15.140625" style="233" customWidth="1"/>
    <col min="2838" max="2864" width="8" style="233" customWidth="1"/>
    <col min="2865" max="3072" width="8" style="233"/>
    <col min="3073" max="3073" width="19" style="233" customWidth="1"/>
    <col min="3074" max="3074" width="0" style="233" hidden="1" customWidth="1"/>
    <col min="3075" max="3075" width="6" style="233" customWidth="1"/>
    <col min="3076" max="3076" width="42.140625" style="233" customWidth="1"/>
    <col min="3077" max="3077" width="0" style="233" hidden="1" customWidth="1"/>
    <col min="3078" max="3078" width="12.7109375" style="233" customWidth="1"/>
    <col min="3079" max="3079" width="13.5703125" style="233" customWidth="1"/>
    <col min="3080" max="3080" width="14" style="233" customWidth="1"/>
    <col min="3081" max="3081" width="13.85546875" style="233" customWidth="1"/>
    <col min="3082" max="3082" width="12.5703125" style="233" customWidth="1"/>
    <col min="3083" max="3085" width="12.7109375" style="233" customWidth="1"/>
    <col min="3086" max="3091" width="0" style="233" hidden="1" customWidth="1"/>
    <col min="3092" max="3092" width="12.140625" style="233" customWidth="1"/>
    <col min="3093" max="3093" width="15.140625" style="233" customWidth="1"/>
    <col min="3094" max="3120" width="8" style="233" customWidth="1"/>
    <col min="3121" max="3328" width="8" style="233"/>
    <col min="3329" max="3329" width="19" style="233" customWidth="1"/>
    <col min="3330" max="3330" width="0" style="233" hidden="1" customWidth="1"/>
    <col min="3331" max="3331" width="6" style="233" customWidth="1"/>
    <col min="3332" max="3332" width="42.140625" style="233" customWidth="1"/>
    <col min="3333" max="3333" width="0" style="233" hidden="1" customWidth="1"/>
    <col min="3334" max="3334" width="12.7109375" style="233" customWidth="1"/>
    <col min="3335" max="3335" width="13.5703125" style="233" customWidth="1"/>
    <col min="3336" max="3336" width="14" style="233" customWidth="1"/>
    <col min="3337" max="3337" width="13.85546875" style="233" customWidth="1"/>
    <col min="3338" max="3338" width="12.5703125" style="233" customWidth="1"/>
    <col min="3339" max="3341" width="12.7109375" style="233" customWidth="1"/>
    <col min="3342" max="3347" width="0" style="233" hidden="1" customWidth="1"/>
    <col min="3348" max="3348" width="12.140625" style="233" customWidth="1"/>
    <col min="3349" max="3349" width="15.140625" style="233" customWidth="1"/>
    <col min="3350" max="3376" width="8" style="233" customWidth="1"/>
    <col min="3377" max="3584" width="8" style="233"/>
    <col min="3585" max="3585" width="19" style="233" customWidth="1"/>
    <col min="3586" max="3586" width="0" style="233" hidden="1" customWidth="1"/>
    <col min="3587" max="3587" width="6" style="233" customWidth="1"/>
    <col min="3588" max="3588" width="42.140625" style="233" customWidth="1"/>
    <col min="3589" max="3589" width="0" style="233" hidden="1" customWidth="1"/>
    <col min="3590" max="3590" width="12.7109375" style="233" customWidth="1"/>
    <col min="3591" max="3591" width="13.5703125" style="233" customWidth="1"/>
    <col min="3592" max="3592" width="14" style="233" customWidth="1"/>
    <col min="3593" max="3593" width="13.85546875" style="233" customWidth="1"/>
    <col min="3594" max="3594" width="12.5703125" style="233" customWidth="1"/>
    <col min="3595" max="3597" width="12.7109375" style="233" customWidth="1"/>
    <col min="3598" max="3603" width="0" style="233" hidden="1" customWidth="1"/>
    <col min="3604" max="3604" width="12.140625" style="233" customWidth="1"/>
    <col min="3605" max="3605" width="15.140625" style="233" customWidth="1"/>
    <col min="3606" max="3632" width="8" style="233" customWidth="1"/>
    <col min="3633" max="3840" width="8" style="233"/>
    <col min="3841" max="3841" width="19" style="233" customWidth="1"/>
    <col min="3842" max="3842" width="0" style="233" hidden="1" customWidth="1"/>
    <col min="3843" max="3843" width="6" style="233" customWidth="1"/>
    <col min="3844" max="3844" width="42.140625" style="233" customWidth="1"/>
    <col min="3845" max="3845" width="0" style="233" hidden="1" customWidth="1"/>
    <col min="3846" max="3846" width="12.7109375" style="233" customWidth="1"/>
    <col min="3847" max="3847" width="13.5703125" style="233" customWidth="1"/>
    <col min="3848" max="3848" width="14" style="233" customWidth="1"/>
    <col min="3849" max="3849" width="13.85546875" style="233" customWidth="1"/>
    <col min="3850" max="3850" width="12.5703125" style="233" customWidth="1"/>
    <col min="3851" max="3853" width="12.7109375" style="233" customWidth="1"/>
    <col min="3854" max="3859" width="0" style="233" hidden="1" customWidth="1"/>
    <col min="3860" max="3860" width="12.140625" style="233" customWidth="1"/>
    <col min="3861" max="3861" width="15.140625" style="233" customWidth="1"/>
    <col min="3862" max="3888" width="8" style="233" customWidth="1"/>
    <col min="3889" max="4096" width="8" style="233"/>
    <col min="4097" max="4097" width="19" style="233" customWidth="1"/>
    <col min="4098" max="4098" width="0" style="233" hidden="1" customWidth="1"/>
    <col min="4099" max="4099" width="6" style="233" customWidth="1"/>
    <col min="4100" max="4100" width="42.140625" style="233" customWidth="1"/>
    <col min="4101" max="4101" width="0" style="233" hidden="1" customWidth="1"/>
    <col min="4102" max="4102" width="12.7109375" style="233" customWidth="1"/>
    <col min="4103" max="4103" width="13.5703125" style="233" customWidth="1"/>
    <col min="4104" max="4104" width="14" style="233" customWidth="1"/>
    <col min="4105" max="4105" width="13.85546875" style="233" customWidth="1"/>
    <col min="4106" max="4106" width="12.5703125" style="233" customWidth="1"/>
    <col min="4107" max="4109" width="12.7109375" style="233" customWidth="1"/>
    <col min="4110" max="4115" width="0" style="233" hidden="1" customWidth="1"/>
    <col min="4116" max="4116" width="12.140625" style="233" customWidth="1"/>
    <col min="4117" max="4117" width="15.140625" style="233" customWidth="1"/>
    <col min="4118" max="4144" width="8" style="233" customWidth="1"/>
    <col min="4145" max="4352" width="8" style="233"/>
    <col min="4353" max="4353" width="19" style="233" customWidth="1"/>
    <col min="4354" max="4354" width="0" style="233" hidden="1" customWidth="1"/>
    <col min="4355" max="4355" width="6" style="233" customWidth="1"/>
    <col min="4356" max="4356" width="42.140625" style="233" customWidth="1"/>
    <col min="4357" max="4357" width="0" style="233" hidden="1" customWidth="1"/>
    <col min="4358" max="4358" width="12.7109375" style="233" customWidth="1"/>
    <col min="4359" max="4359" width="13.5703125" style="233" customWidth="1"/>
    <col min="4360" max="4360" width="14" style="233" customWidth="1"/>
    <col min="4361" max="4361" width="13.85546875" style="233" customWidth="1"/>
    <col min="4362" max="4362" width="12.5703125" style="233" customWidth="1"/>
    <col min="4363" max="4365" width="12.7109375" style="233" customWidth="1"/>
    <col min="4366" max="4371" width="0" style="233" hidden="1" customWidth="1"/>
    <col min="4372" max="4372" width="12.140625" style="233" customWidth="1"/>
    <col min="4373" max="4373" width="15.140625" style="233" customWidth="1"/>
    <col min="4374" max="4400" width="8" style="233" customWidth="1"/>
    <col min="4401" max="4608" width="8" style="233"/>
    <col min="4609" max="4609" width="19" style="233" customWidth="1"/>
    <col min="4610" max="4610" width="0" style="233" hidden="1" customWidth="1"/>
    <col min="4611" max="4611" width="6" style="233" customWidth="1"/>
    <col min="4612" max="4612" width="42.140625" style="233" customWidth="1"/>
    <col min="4613" max="4613" width="0" style="233" hidden="1" customWidth="1"/>
    <col min="4614" max="4614" width="12.7109375" style="233" customWidth="1"/>
    <col min="4615" max="4615" width="13.5703125" style="233" customWidth="1"/>
    <col min="4616" max="4616" width="14" style="233" customWidth="1"/>
    <col min="4617" max="4617" width="13.85546875" style="233" customWidth="1"/>
    <col min="4618" max="4618" width="12.5703125" style="233" customWidth="1"/>
    <col min="4619" max="4621" width="12.7109375" style="233" customWidth="1"/>
    <col min="4622" max="4627" width="0" style="233" hidden="1" customWidth="1"/>
    <col min="4628" max="4628" width="12.140625" style="233" customWidth="1"/>
    <col min="4629" max="4629" width="15.140625" style="233" customWidth="1"/>
    <col min="4630" max="4656" width="8" style="233" customWidth="1"/>
    <col min="4657" max="4864" width="8" style="233"/>
    <col min="4865" max="4865" width="19" style="233" customWidth="1"/>
    <col min="4866" max="4866" width="0" style="233" hidden="1" customWidth="1"/>
    <col min="4867" max="4867" width="6" style="233" customWidth="1"/>
    <col min="4868" max="4868" width="42.140625" style="233" customWidth="1"/>
    <col min="4869" max="4869" width="0" style="233" hidden="1" customWidth="1"/>
    <col min="4870" max="4870" width="12.7109375" style="233" customWidth="1"/>
    <col min="4871" max="4871" width="13.5703125" style="233" customWidth="1"/>
    <col min="4872" max="4872" width="14" style="233" customWidth="1"/>
    <col min="4873" max="4873" width="13.85546875" style="233" customWidth="1"/>
    <col min="4874" max="4874" width="12.5703125" style="233" customWidth="1"/>
    <col min="4875" max="4877" width="12.7109375" style="233" customWidth="1"/>
    <col min="4878" max="4883" width="0" style="233" hidden="1" customWidth="1"/>
    <col min="4884" max="4884" width="12.140625" style="233" customWidth="1"/>
    <col min="4885" max="4885" width="15.140625" style="233" customWidth="1"/>
    <col min="4886" max="4912" width="8" style="233" customWidth="1"/>
    <col min="4913" max="5120" width="8" style="233"/>
    <col min="5121" max="5121" width="19" style="233" customWidth="1"/>
    <col min="5122" max="5122" width="0" style="233" hidden="1" customWidth="1"/>
    <col min="5123" max="5123" width="6" style="233" customWidth="1"/>
    <col min="5124" max="5124" width="42.140625" style="233" customWidth="1"/>
    <col min="5125" max="5125" width="0" style="233" hidden="1" customWidth="1"/>
    <col min="5126" max="5126" width="12.7109375" style="233" customWidth="1"/>
    <col min="5127" max="5127" width="13.5703125" style="233" customWidth="1"/>
    <col min="5128" max="5128" width="14" style="233" customWidth="1"/>
    <col min="5129" max="5129" width="13.85546875" style="233" customWidth="1"/>
    <col min="5130" max="5130" width="12.5703125" style="233" customWidth="1"/>
    <col min="5131" max="5133" width="12.7109375" style="233" customWidth="1"/>
    <col min="5134" max="5139" width="0" style="233" hidden="1" customWidth="1"/>
    <col min="5140" max="5140" width="12.140625" style="233" customWidth="1"/>
    <col min="5141" max="5141" width="15.140625" style="233" customWidth="1"/>
    <col min="5142" max="5168" width="8" style="233" customWidth="1"/>
    <col min="5169" max="5376" width="8" style="233"/>
    <col min="5377" max="5377" width="19" style="233" customWidth="1"/>
    <col min="5378" max="5378" width="0" style="233" hidden="1" customWidth="1"/>
    <col min="5379" max="5379" width="6" style="233" customWidth="1"/>
    <col min="5380" max="5380" width="42.140625" style="233" customWidth="1"/>
    <col min="5381" max="5381" width="0" style="233" hidden="1" customWidth="1"/>
    <col min="5382" max="5382" width="12.7109375" style="233" customWidth="1"/>
    <col min="5383" max="5383" width="13.5703125" style="233" customWidth="1"/>
    <col min="5384" max="5384" width="14" style="233" customWidth="1"/>
    <col min="5385" max="5385" width="13.85546875" style="233" customWidth="1"/>
    <col min="5386" max="5386" width="12.5703125" style="233" customWidth="1"/>
    <col min="5387" max="5389" width="12.7109375" style="233" customWidth="1"/>
    <col min="5390" max="5395" width="0" style="233" hidden="1" customWidth="1"/>
    <col min="5396" max="5396" width="12.140625" style="233" customWidth="1"/>
    <col min="5397" max="5397" width="15.140625" style="233" customWidth="1"/>
    <col min="5398" max="5424" width="8" style="233" customWidth="1"/>
    <col min="5425" max="5632" width="8" style="233"/>
    <col min="5633" max="5633" width="19" style="233" customWidth="1"/>
    <col min="5634" max="5634" width="0" style="233" hidden="1" customWidth="1"/>
    <col min="5635" max="5635" width="6" style="233" customWidth="1"/>
    <col min="5636" max="5636" width="42.140625" style="233" customWidth="1"/>
    <col min="5637" max="5637" width="0" style="233" hidden="1" customWidth="1"/>
    <col min="5638" max="5638" width="12.7109375" style="233" customWidth="1"/>
    <col min="5639" max="5639" width="13.5703125" style="233" customWidth="1"/>
    <col min="5640" max="5640" width="14" style="233" customWidth="1"/>
    <col min="5641" max="5641" width="13.85546875" style="233" customWidth="1"/>
    <col min="5642" max="5642" width="12.5703125" style="233" customWidth="1"/>
    <col min="5643" max="5645" width="12.7109375" style="233" customWidth="1"/>
    <col min="5646" max="5651" width="0" style="233" hidden="1" customWidth="1"/>
    <col min="5652" max="5652" width="12.140625" style="233" customWidth="1"/>
    <col min="5653" max="5653" width="15.140625" style="233" customWidth="1"/>
    <col min="5654" max="5680" width="8" style="233" customWidth="1"/>
    <col min="5681" max="5888" width="8" style="233"/>
    <col min="5889" max="5889" width="19" style="233" customWidth="1"/>
    <col min="5890" max="5890" width="0" style="233" hidden="1" customWidth="1"/>
    <col min="5891" max="5891" width="6" style="233" customWidth="1"/>
    <col min="5892" max="5892" width="42.140625" style="233" customWidth="1"/>
    <col min="5893" max="5893" width="0" style="233" hidden="1" customWidth="1"/>
    <col min="5894" max="5894" width="12.7109375" style="233" customWidth="1"/>
    <col min="5895" max="5895" width="13.5703125" style="233" customWidth="1"/>
    <col min="5896" max="5896" width="14" style="233" customWidth="1"/>
    <col min="5897" max="5897" width="13.85546875" style="233" customWidth="1"/>
    <col min="5898" max="5898" width="12.5703125" style="233" customWidth="1"/>
    <col min="5899" max="5901" width="12.7109375" style="233" customWidth="1"/>
    <col min="5902" max="5907" width="0" style="233" hidden="1" customWidth="1"/>
    <col min="5908" max="5908" width="12.140625" style="233" customWidth="1"/>
    <col min="5909" max="5909" width="15.140625" style="233" customWidth="1"/>
    <col min="5910" max="5936" width="8" style="233" customWidth="1"/>
    <col min="5937" max="6144" width="8" style="233"/>
    <col min="6145" max="6145" width="19" style="233" customWidth="1"/>
    <col min="6146" max="6146" width="0" style="233" hidden="1" customWidth="1"/>
    <col min="6147" max="6147" width="6" style="233" customWidth="1"/>
    <col min="6148" max="6148" width="42.140625" style="233" customWidth="1"/>
    <col min="6149" max="6149" width="0" style="233" hidden="1" customWidth="1"/>
    <col min="6150" max="6150" width="12.7109375" style="233" customWidth="1"/>
    <col min="6151" max="6151" width="13.5703125" style="233" customWidth="1"/>
    <col min="6152" max="6152" width="14" style="233" customWidth="1"/>
    <col min="6153" max="6153" width="13.85546875" style="233" customWidth="1"/>
    <col min="6154" max="6154" width="12.5703125" style="233" customWidth="1"/>
    <col min="6155" max="6157" width="12.7109375" style="233" customWidth="1"/>
    <col min="6158" max="6163" width="0" style="233" hidden="1" customWidth="1"/>
    <col min="6164" max="6164" width="12.140625" style="233" customWidth="1"/>
    <col min="6165" max="6165" width="15.140625" style="233" customWidth="1"/>
    <col min="6166" max="6192" width="8" style="233" customWidth="1"/>
    <col min="6193" max="6400" width="8" style="233"/>
    <col min="6401" max="6401" width="19" style="233" customWidth="1"/>
    <col min="6402" max="6402" width="0" style="233" hidden="1" customWidth="1"/>
    <col min="6403" max="6403" width="6" style="233" customWidth="1"/>
    <col min="6404" max="6404" width="42.140625" style="233" customWidth="1"/>
    <col min="6405" max="6405" width="0" style="233" hidden="1" customWidth="1"/>
    <col min="6406" max="6406" width="12.7109375" style="233" customWidth="1"/>
    <col min="6407" max="6407" width="13.5703125" style="233" customWidth="1"/>
    <col min="6408" max="6408" width="14" style="233" customWidth="1"/>
    <col min="6409" max="6409" width="13.85546875" style="233" customWidth="1"/>
    <col min="6410" max="6410" width="12.5703125" style="233" customWidth="1"/>
    <col min="6411" max="6413" width="12.7109375" style="233" customWidth="1"/>
    <col min="6414" max="6419" width="0" style="233" hidden="1" customWidth="1"/>
    <col min="6420" max="6420" width="12.140625" style="233" customWidth="1"/>
    <col min="6421" max="6421" width="15.140625" style="233" customWidth="1"/>
    <col min="6422" max="6448" width="8" style="233" customWidth="1"/>
    <col min="6449" max="6656" width="8" style="233"/>
    <col min="6657" max="6657" width="19" style="233" customWidth="1"/>
    <col min="6658" max="6658" width="0" style="233" hidden="1" customWidth="1"/>
    <col min="6659" max="6659" width="6" style="233" customWidth="1"/>
    <col min="6660" max="6660" width="42.140625" style="233" customWidth="1"/>
    <col min="6661" max="6661" width="0" style="233" hidden="1" customWidth="1"/>
    <col min="6662" max="6662" width="12.7109375" style="233" customWidth="1"/>
    <col min="6663" max="6663" width="13.5703125" style="233" customWidth="1"/>
    <col min="6664" max="6664" width="14" style="233" customWidth="1"/>
    <col min="6665" max="6665" width="13.85546875" style="233" customWidth="1"/>
    <col min="6666" max="6666" width="12.5703125" style="233" customWidth="1"/>
    <col min="6667" max="6669" width="12.7109375" style="233" customWidth="1"/>
    <col min="6670" max="6675" width="0" style="233" hidden="1" customWidth="1"/>
    <col min="6676" max="6676" width="12.140625" style="233" customWidth="1"/>
    <col min="6677" max="6677" width="15.140625" style="233" customWidth="1"/>
    <col min="6678" max="6704" width="8" style="233" customWidth="1"/>
    <col min="6705" max="6912" width="8" style="233"/>
    <col min="6913" max="6913" width="19" style="233" customWidth="1"/>
    <col min="6914" max="6914" width="0" style="233" hidden="1" customWidth="1"/>
    <col min="6915" max="6915" width="6" style="233" customWidth="1"/>
    <col min="6916" max="6916" width="42.140625" style="233" customWidth="1"/>
    <col min="6917" max="6917" width="0" style="233" hidden="1" customWidth="1"/>
    <col min="6918" max="6918" width="12.7109375" style="233" customWidth="1"/>
    <col min="6919" max="6919" width="13.5703125" style="233" customWidth="1"/>
    <col min="6920" max="6920" width="14" style="233" customWidth="1"/>
    <col min="6921" max="6921" width="13.85546875" style="233" customWidth="1"/>
    <col min="6922" max="6922" width="12.5703125" style="233" customWidth="1"/>
    <col min="6923" max="6925" width="12.7109375" style="233" customWidth="1"/>
    <col min="6926" max="6931" width="0" style="233" hidden="1" customWidth="1"/>
    <col min="6932" max="6932" width="12.140625" style="233" customWidth="1"/>
    <col min="6933" max="6933" width="15.140625" style="233" customWidth="1"/>
    <col min="6934" max="6960" width="8" style="233" customWidth="1"/>
    <col min="6961" max="7168" width="8" style="233"/>
    <col min="7169" max="7169" width="19" style="233" customWidth="1"/>
    <col min="7170" max="7170" width="0" style="233" hidden="1" customWidth="1"/>
    <col min="7171" max="7171" width="6" style="233" customWidth="1"/>
    <col min="7172" max="7172" width="42.140625" style="233" customWidth="1"/>
    <col min="7173" max="7173" width="0" style="233" hidden="1" customWidth="1"/>
    <col min="7174" max="7174" width="12.7109375" style="233" customWidth="1"/>
    <col min="7175" max="7175" width="13.5703125" style="233" customWidth="1"/>
    <col min="7176" max="7176" width="14" style="233" customWidth="1"/>
    <col min="7177" max="7177" width="13.85546875" style="233" customWidth="1"/>
    <col min="7178" max="7178" width="12.5703125" style="233" customWidth="1"/>
    <col min="7179" max="7181" width="12.7109375" style="233" customWidth="1"/>
    <col min="7182" max="7187" width="0" style="233" hidden="1" customWidth="1"/>
    <col min="7188" max="7188" width="12.140625" style="233" customWidth="1"/>
    <col min="7189" max="7189" width="15.140625" style="233" customWidth="1"/>
    <col min="7190" max="7216" width="8" style="233" customWidth="1"/>
    <col min="7217" max="7424" width="8" style="233"/>
    <col min="7425" max="7425" width="19" style="233" customWidth="1"/>
    <col min="7426" max="7426" width="0" style="233" hidden="1" customWidth="1"/>
    <col min="7427" max="7427" width="6" style="233" customWidth="1"/>
    <col min="7428" max="7428" width="42.140625" style="233" customWidth="1"/>
    <col min="7429" max="7429" width="0" style="233" hidden="1" customWidth="1"/>
    <col min="7430" max="7430" width="12.7109375" style="233" customWidth="1"/>
    <col min="7431" max="7431" width="13.5703125" style="233" customWidth="1"/>
    <col min="7432" max="7432" width="14" style="233" customWidth="1"/>
    <col min="7433" max="7433" width="13.85546875" style="233" customWidth="1"/>
    <col min="7434" max="7434" width="12.5703125" style="233" customWidth="1"/>
    <col min="7435" max="7437" width="12.7109375" style="233" customWidth="1"/>
    <col min="7438" max="7443" width="0" style="233" hidden="1" customWidth="1"/>
    <col min="7444" max="7444" width="12.140625" style="233" customWidth="1"/>
    <col min="7445" max="7445" width="15.140625" style="233" customWidth="1"/>
    <col min="7446" max="7472" width="8" style="233" customWidth="1"/>
    <col min="7473" max="7680" width="8" style="233"/>
    <col min="7681" max="7681" width="19" style="233" customWidth="1"/>
    <col min="7682" max="7682" width="0" style="233" hidden="1" customWidth="1"/>
    <col min="7683" max="7683" width="6" style="233" customWidth="1"/>
    <col min="7684" max="7684" width="42.140625" style="233" customWidth="1"/>
    <col min="7685" max="7685" width="0" style="233" hidden="1" customWidth="1"/>
    <col min="7686" max="7686" width="12.7109375" style="233" customWidth="1"/>
    <col min="7687" max="7687" width="13.5703125" style="233" customWidth="1"/>
    <col min="7688" max="7688" width="14" style="233" customWidth="1"/>
    <col min="7689" max="7689" width="13.85546875" style="233" customWidth="1"/>
    <col min="7690" max="7690" width="12.5703125" style="233" customWidth="1"/>
    <col min="7691" max="7693" width="12.7109375" style="233" customWidth="1"/>
    <col min="7694" max="7699" width="0" style="233" hidden="1" customWidth="1"/>
    <col min="7700" max="7700" width="12.140625" style="233" customWidth="1"/>
    <col min="7701" max="7701" width="15.140625" style="233" customWidth="1"/>
    <col min="7702" max="7728" width="8" style="233" customWidth="1"/>
    <col min="7729" max="7936" width="8" style="233"/>
    <col min="7937" max="7937" width="19" style="233" customWidth="1"/>
    <col min="7938" max="7938" width="0" style="233" hidden="1" customWidth="1"/>
    <col min="7939" max="7939" width="6" style="233" customWidth="1"/>
    <col min="7940" max="7940" width="42.140625" style="233" customWidth="1"/>
    <col min="7941" max="7941" width="0" style="233" hidden="1" customWidth="1"/>
    <col min="7942" max="7942" width="12.7109375" style="233" customWidth="1"/>
    <col min="7943" max="7943" width="13.5703125" style="233" customWidth="1"/>
    <col min="7944" max="7944" width="14" style="233" customWidth="1"/>
    <col min="7945" max="7945" width="13.85546875" style="233" customWidth="1"/>
    <col min="7946" max="7946" width="12.5703125" style="233" customWidth="1"/>
    <col min="7947" max="7949" width="12.7109375" style="233" customWidth="1"/>
    <col min="7950" max="7955" width="0" style="233" hidden="1" customWidth="1"/>
    <col min="7956" max="7956" width="12.140625" style="233" customWidth="1"/>
    <col min="7957" max="7957" width="15.140625" style="233" customWidth="1"/>
    <col min="7958" max="7984" width="8" style="233" customWidth="1"/>
    <col min="7985" max="8192" width="8" style="233"/>
    <col min="8193" max="8193" width="19" style="233" customWidth="1"/>
    <col min="8194" max="8194" width="0" style="233" hidden="1" customWidth="1"/>
    <col min="8195" max="8195" width="6" style="233" customWidth="1"/>
    <col min="8196" max="8196" width="42.140625" style="233" customWidth="1"/>
    <col min="8197" max="8197" width="0" style="233" hidden="1" customWidth="1"/>
    <col min="8198" max="8198" width="12.7109375" style="233" customWidth="1"/>
    <col min="8199" max="8199" width="13.5703125" style="233" customWidth="1"/>
    <col min="8200" max="8200" width="14" style="233" customWidth="1"/>
    <col min="8201" max="8201" width="13.85546875" style="233" customWidth="1"/>
    <col min="8202" max="8202" width="12.5703125" style="233" customWidth="1"/>
    <col min="8203" max="8205" width="12.7109375" style="233" customWidth="1"/>
    <col min="8206" max="8211" width="0" style="233" hidden="1" customWidth="1"/>
    <col min="8212" max="8212" width="12.140625" style="233" customWidth="1"/>
    <col min="8213" max="8213" width="15.140625" style="233" customWidth="1"/>
    <col min="8214" max="8240" width="8" style="233" customWidth="1"/>
    <col min="8241" max="8448" width="8" style="233"/>
    <col min="8449" max="8449" width="19" style="233" customWidth="1"/>
    <col min="8450" max="8450" width="0" style="233" hidden="1" customWidth="1"/>
    <col min="8451" max="8451" width="6" style="233" customWidth="1"/>
    <col min="8452" max="8452" width="42.140625" style="233" customWidth="1"/>
    <col min="8453" max="8453" width="0" style="233" hidden="1" customWidth="1"/>
    <col min="8454" max="8454" width="12.7109375" style="233" customWidth="1"/>
    <col min="8455" max="8455" width="13.5703125" style="233" customWidth="1"/>
    <col min="8456" max="8456" width="14" style="233" customWidth="1"/>
    <col min="8457" max="8457" width="13.85546875" style="233" customWidth="1"/>
    <col min="8458" max="8458" width="12.5703125" style="233" customWidth="1"/>
    <col min="8459" max="8461" width="12.7109375" style="233" customWidth="1"/>
    <col min="8462" max="8467" width="0" style="233" hidden="1" customWidth="1"/>
    <col min="8468" max="8468" width="12.140625" style="233" customWidth="1"/>
    <col min="8469" max="8469" width="15.140625" style="233" customWidth="1"/>
    <col min="8470" max="8496" width="8" style="233" customWidth="1"/>
    <col min="8497" max="8704" width="8" style="233"/>
    <col min="8705" max="8705" width="19" style="233" customWidth="1"/>
    <col min="8706" max="8706" width="0" style="233" hidden="1" customWidth="1"/>
    <col min="8707" max="8707" width="6" style="233" customWidth="1"/>
    <col min="8708" max="8708" width="42.140625" style="233" customWidth="1"/>
    <col min="8709" max="8709" width="0" style="233" hidden="1" customWidth="1"/>
    <col min="8710" max="8710" width="12.7109375" style="233" customWidth="1"/>
    <col min="8711" max="8711" width="13.5703125" style="233" customWidth="1"/>
    <col min="8712" max="8712" width="14" style="233" customWidth="1"/>
    <col min="8713" max="8713" width="13.85546875" style="233" customWidth="1"/>
    <col min="8714" max="8714" width="12.5703125" style="233" customWidth="1"/>
    <col min="8715" max="8717" width="12.7109375" style="233" customWidth="1"/>
    <col min="8718" max="8723" width="0" style="233" hidden="1" customWidth="1"/>
    <col min="8724" max="8724" width="12.140625" style="233" customWidth="1"/>
    <col min="8725" max="8725" width="15.140625" style="233" customWidth="1"/>
    <col min="8726" max="8752" width="8" style="233" customWidth="1"/>
    <col min="8753" max="8960" width="8" style="233"/>
    <col min="8961" max="8961" width="19" style="233" customWidth="1"/>
    <col min="8962" max="8962" width="0" style="233" hidden="1" customWidth="1"/>
    <col min="8963" max="8963" width="6" style="233" customWidth="1"/>
    <col min="8964" max="8964" width="42.140625" style="233" customWidth="1"/>
    <col min="8965" max="8965" width="0" style="233" hidden="1" customWidth="1"/>
    <col min="8966" max="8966" width="12.7109375" style="233" customWidth="1"/>
    <col min="8967" max="8967" width="13.5703125" style="233" customWidth="1"/>
    <col min="8968" max="8968" width="14" style="233" customWidth="1"/>
    <col min="8969" max="8969" width="13.85546875" style="233" customWidth="1"/>
    <col min="8970" max="8970" width="12.5703125" style="233" customWidth="1"/>
    <col min="8971" max="8973" width="12.7109375" style="233" customWidth="1"/>
    <col min="8974" max="8979" width="0" style="233" hidden="1" customWidth="1"/>
    <col min="8980" max="8980" width="12.140625" style="233" customWidth="1"/>
    <col min="8981" max="8981" width="15.140625" style="233" customWidth="1"/>
    <col min="8982" max="9008" width="8" style="233" customWidth="1"/>
    <col min="9009" max="9216" width="8" style="233"/>
    <col min="9217" max="9217" width="19" style="233" customWidth="1"/>
    <col min="9218" max="9218" width="0" style="233" hidden="1" customWidth="1"/>
    <col min="9219" max="9219" width="6" style="233" customWidth="1"/>
    <col min="9220" max="9220" width="42.140625" style="233" customWidth="1"/>
    <col min="9221" max="9221" width="0" style="233" hidden="1" customWidth="1"/>
    <col min="9222" max="9222" width="12.7109375" style="233" customWidth="1"/>
    <col min="9223" max="9223" width="13.5703125" style="233" customWidth="1"/>
    <col min="9224" max="9224" width="14" style="233" customWidth="1"/>
    <col min="9225" max="9225" width="13.85546875" style="233" customWidth="1"/>
    <col min="9226" max="9226" width="12.5703125" style="233" customWidth="1"/>
    <col min="9227" max="9229" width="12.7109375" style="233" customWidth="1"/>
    <col min="9230" max="9235" width="0" style="233" hidden="1" customWidth="1"/>
    <col min="9236" max="9236" width="12.140625" style="233" customWidth="1"/>
    <col min="9237" max="9237" width="15.140625" style="233" customWidth="1"/>
    <col min="9238" max="9264" width="8" style="233" customWidth="1"/>
    <col min="9265" max="9472" width="8" style="233"/>
    <col min="9473" max="9473" width="19" style="233" customWidth="1"/>
    <col min="9474" max="9474" width="0" style="233" hidden="1" customWidth="1"/>
    <col min="9475" max="9475" width="6" style="233" customWidth="1"/>
    <col min="9476" max="9476" width="42.140625" style="233" customWidth="1"/>
    <col min="9477" max="9477" width="0" style="233" hidden="1" customWidth="1"/>
    <col min="9478" max="9478" width="12.7109375" style="233" customWidth="1"/>
    <col min="9479" max="9479" width="13.5703125" style="233" customWidth="1"/>
    <col min="9480" max="9480" width="14" style="233" customWidth="1"/>
    <col min="9481" max="9481" width="13.85546875" style="233" customWidth="1"/>
    <col min="9482" max="9482" width="12.5703125" style="233" customWidth="1"/>
    <col min="9483" max="9485" width="12.7109375" style="233" customWidth="1"/>
    <col min="9486" max="9491" width="0" style="233" hidden="1" customWidth="1"/>
    <col min="9492" max="9492" width="12.140625" style="233" customWidth="1"/>
    <col min="9493" max="9493" width="15.140625" style="233" customWidth="1"/>
    <col min="9494" max="9520" width="8" style="233" customWidth="1"/>
    <col min="9521" max="9728" width="8" style="233"/>
    <col min="9729" max="9729" width="19" style="233" customWidth="1"/>
    <col min="9730" max="9730" width="0" style="233" hidden="1" customWidth="1"/>
    <col min="9731" max="9731" width="6" style="233" customWidth="1"/>
    <col min="9732" max="9732" width="42.140625" style="233" customWidth="1"/>
    <col min="9733" max="9733" width="0" style="233" hidden="1" customWidth="1"/>
    <col min="9734" max="9734" width="12.7109375" style="233" customWidth="1"/>
    <col min="9735" max="9735" width="13.5703125" style="233" customWidth="1"/>
    <col min="9736" max="9736" width="14" style="233" customWidth="1"/>
    <col min="9737" max="9737" width="13.85546875" style="233" customWidth="1"/>
    <col min="9738" max="9738" width="12.5703125" style="233" customWidth="1"/>
    <col min="9739" max="9741" width="12.7109375" style="233" customWidth="1"/>
    <col min="9742" max="9747" width="0" style="233" hidden="1" customWidth="1"/>
    <col min="9748" max="9748" width="12.140625" style="233" customWidth="1"/>
    <col min="9749" max="9749" width="15.140625" style="233" customWidth="1"/>
    <col min="9750" max="9776" width="8" style="233" customWidth="1"/>
    <col min="9777" max="9984" width="8" style="233"/>
    <col min="9985" max="9985" width="19" style="233" customWidth="1"/>
    <col min="9986" max="9986" width="0" style="233" hidden="1" customWidth="1"/>
    <col min="9987" max="9987" width="6" style="233" customWidth="1"/>
    <col min="9988" max="9988" width="42.140625" style="233" customWidth="1"/>
    <col min="9989" max="9989" width="0" style="233" hidden="1" customWidth="1"/>
    <col min="9990" max="9990" width="12.7109375" style="233" customWidth="1"/>
    <col min="9991" max="9991" width="13.5703125" style="233" customWidth="1"/>
    <col min="9992" max="9992" width="14" style="233" customWidth="1"/>
    <col min="9993" max="9993" width="13.85546875" style="233" customWidth="1"/>
    <col min="9994" max="9994" width="12.5703125" style="233" customWidth="1"/>
    <col min="9995" max="9997" width="12.7109375" style="233" customWidth="1"/>
    <col min="9998" max="10003" width="0" style="233" hidden="1" customWidth="1"/>
    <col min="10004" max="10004" width="12.140625" style="233" customWidth="1"/>
    <col min="10005" max="10005" width="15.140625" style="233" customWidth="1"/>
    <col min="10006" max="10032" width="8" style="233" customWidth="1"/>
    <col min="10033" max="10240" width="8" style="233"/>
    <col min="10241" max="10241" width="19" style="233" customWidth="1"/>
    <col min="10242" max="10242" width="0" style="233" hidden="1" customWidth="1"/>
    <col min="10243" max="10243" width="6" style="233" customWidth="1"/>
    <col min="10244" max="10244" width="42.140625" style="233" customWidth="1"/>
    <col min="10245" max="10245" width="0" style="233" hidden="1" customWidth="1"/>
    <col min="10246" max="10246" width="12.7109375" style="233" customWidth="1"/>
    <col min="10247" max="10247" width="13.5703125" style="233" customWidth="1"/>
    <col min="10248" max="10248" width="14" style="233" customWidth="1"/>
    <col min="10249" max="10249" width="13.85546875" style="233" customWidth="1"/>
    <col min="10250" max="10250" width="12.5703125" style="233" customWidth="1"/>
    <col min="10251" max="10253" width="12.7109375" style="233" customWidth="1"/>
    <col min="10254" max="10259" width="0" style="233" hidden="1" customWidth="1"/>
    <col min="10260" max="10260" width="12.140625" style="233" customWidth="1"/>
    <col min="10261" max="10261" width="15.140625" style="233" customWidth="1"/>
    <col min="10262" max="10288" width="8" style="233" customWidth="1"/>
    <col min="10289" max="10496" width="8" style="233"/>
    <col min="10497" max="10497" width="19" style="233" customWidth="1"/>
    <col min="10498" max="10498" width="0" style="233" hidden="1" customWidth="1"/>
    <col min="10499" max="10499" width="6" style="233" customWidth="1"/>
    <col min="10500" max="10500" width="42.140625" style="233" customWidth="1"/>
    <col min="10501" max="10501" width="0" style="233" hidden="1" customWidth="1"/>
    <col min="10502" max="10502" width="12.7109375" style="233" customWidth="1"/>
    <col min="10503" max="10503" width="13.5703125" style="233" customWidth="1"/>
    <col min="10504" max="10504" width="14" style="233" customWidth="1"/>
    <col min="10505" max="10505" width="13.85546875" style="233" customWidth="1"/>
    <col min="10506" max="10506" width="12.5703125" style="233" customWidth="1"/>
    <col min="10507" max="10509" width="12.7109375" style="233" customWidth="1"/>
    <col min="10510" max="10515" width="0" style="233" hidden="1" customWidth="1"/>
    <col min="10516" max="10516" width="12.140625" style="233" customWidth="1"/>
    <col min="10517" max="10517" width="15.140625" style="233" customWidth="1"/>
    <col min="10518" max="10544" width="8" style="233" customWidth="1"/>
    <col min="10545" max="10752" width="8" style="233"/>
    <col min="10753" max="10753" width="19" style="233" customWidth="1"/>
    <col min="10754" max="10754" width="0" style="233" hidden="1" customWidth="1"/>
    <col min="10755" max="10755" width="6" style="233" customWidth="1"/>
    <col min="10756" max="10756" width="42.140625" style="233" customWidth="1"/>
    <col min="10757" max="10757" width="0" style="233" hidden="1" customWidth="1"/>
    <col min="10758" max="10758" width="12.7109375" style="233" customWidth="1"/>
    <col min="10759" max="10759" width="13.5703125" style="233" customWidth="1"/>
    <col min="10760" max="10760" width="14" style="233" customWidth="1"/>
    <col min="10761" max="10761" width="13.85546875" style="233" customWidth="1"/>
    <col min="10762" max="10762" width="12.5703125" style="233" customWidth="1"/>
    <col min="10763" max="10765" width="12.7109375" style="233" customWidth="1"/>
    <col min="10766" max="10771" width="0" style="233" hidden="1" customWidth="1"/>
    <col min="10772" max="10772" width="12.140625" style="233" customWidth="1"/>
    <col min="10773" max="10773" width="15.140625" style="233" customWidth="1"/>
    <col min="10774" max="10800" width="8" style="233" customWidth="1"/>
    <col min="10801" max="11008" width="8" style="233"/>
    <col min="11009" max="11009" width="19" style="233" customWidth="1"/>
    <col min="11010" max="11010" width="0" style="233" hidden="1" customWidth="1"/>
    <col min="11011" max="11011" width="6" style="233" customWidth="1"/>
    <col min="11012" max="11012" width="42.140625" style="233" customWidth="1"/>
    <col min="11013" max="11013" width="0" style="233" hidden="1" customWidth="1"/>
    <col min="11014" max="11014" width="12.7109375" style="233" customWidth="1"/>
    <col min="11015" max="11015" width="13.5703125" style="233" customWidth="1"/>
    <col min="11016" max="11016" width="14" style="233" customWidth="1"/>
    <col min="11017" max="11017" width="13.85546875" style="233" customWidth="1"/>
    <col min="11018" max="11018" width="12.5703125" style="233" customWidth="1"/>
    <col min="11019" max="11021" width="12.7109375" style="233" customWidth="1"/>
    <col min="11022" max="11027" width="0" style="233" hidden="1" customWidth="1"/>
    <col min="11028" max="11028" width="12.140625" style="233" customWidth="1"/>
    <col min="11029" max="11029" width="15.140625" style="233" customWidth="1"/>
    <col min="11030" max="11056" width="8" style="233" customWidth="1"/>
    <col min="11057" max="11264" width="8" style="233"/>
    <col min="11265" max="11265" width="19" style="233" customWidth="1"/>
    <col min="11266" max="11266" width="0" style="233" hidden="1" customWidth="1"/>
    <col min="11267" max="11267" width="6" style="233" customWidth="1"/>
    <col min="11268" max="11268" width="42.140625" style="233" customWidth="1"/>
    <col min="11269" max="11269" width="0" style="233" hidden="1" customWidth="1"/>
    <col min="11270" max="11270" width="12.7109375" style="233" customWidth="1"/>
    <col min="11271" max="11271" width="13.5703125" style="233" customWidth="1"/>
    <col min="11272" max="11272" width="14" style="233" customWidth="1"/>
    <col min="11273" max="11273" width="13.85546875" style="233" customWidth="1"/>
    <col min="11274" max="11274" width="12.5703125" style="233" customWidth="1"/>
    <col min="11275" max="11277" width="12.7109375" style="233" customWidth="1"/>
    <col min="11278" max="11283" width="0" style="233" hidden="1" customWidth="1"/>
    <col min="11284" max="11284" width="12.140625" style="233" customWidth="1"/>
    <col min="11285" max="11285" width="15.140625" style="233" customWidth="1"/>
    <col min="11286" max="11312" width="8" style="233" customWidth="1"/>
    <col min="11313" max="11520" width="8" style="233"/>
    <col min="11521" max="11521" width="19" style="233" customWidth="1"/>
    <col min="11522" max="11522" width="0" style="233" hidden="1" customWidth="1"/>
    <col min="11523" max="11523" width="6" style="233" customWidth="1"/>
    <col min="11524" max="11524" width="42.140625" style="233" customWidth="1"/>
    <col min="11525" max="11525" width="0" style="233" hidden="1" customWidth="1"/>
    <col min="11526" max="11526" width="12.7109375" style="233" customWidth="1"/>
    <col min="11527" max="11527" width="13.5703125" style="233" customWidth="1"/>
    <col min="11528" max="11528" width="14" style="233" customWidth="1"/>
    <col min="11529" max="11529" width="13.85546875" style="233" customWidth="1"/>
    <col min="11530" max="11530" width="12.5703125" style="233" customWidth="1"/>
    <col min="11531" max="11533" width="12.7109375" style="233" customWidth="1"/>
    <col min="11534" max="11539" width="0" style="233" hidden="1" customWidth="1"/>
    <col min="11540" max="11540" width="12.140625" style="233" customWidth="1"/>
    <col min="11541" max="11541" width="15.140625" style="233" customWidth="1"/>
    <col min="11542" max="11568" width="8" style="233" customWidth="1"/>
    <col min="11569" max="11776" width="8" style="233"/>
    <col min="11777" max="11777" width="19" style="233" customWidth="1"/>
    <col min="11778" max="11778" width="0" style="233" hidden="1" customWidth="1"/>
    <col min="11779" max="11779" width="6" style="233" customWidth="1"/>
    <col min="11780" max="11780" width="42.140625" style="233" customWidth="1"/>
    <col min="11781" max="11781" width="0" style="233" hidden="1" customWidth="1"/>
    <col min="11782" max="11782" width="12.7109375" style="233" customWidth="1"/>
    <col min="11783" max="11783" width="13.5703125" style="233" customWidth="1"/>
    <col min="11784" max="11784" width="14" style="233" customWidth="1"/>
    <col min="11785" max="11785" width="13.85546875" style="233" customWidth="1"/>
    <col min="11786" max="11786" width="12.5703125" style="233" customWidth="1"/>
    <col min="11787" max="11789" width="12.7109375" style="233" customWidth="1"/>
    <col min="11790" max="11795" width="0" style="233" hidden="1" customWidth="1"/>
    <col min="11796" max="11796" width="12.140625" style="233" customWidth="1"/>
    <col min="11797" max="11797" width="15.140625" style="233" customWidth="1"/>
    <col min="11798" max="11824" width="8" style="233" customWidth="1"/>
    <col min="11825" max="12032" width="8" style="233"/>
    <col min="12033" max="12033" width="19" style="233" customWidth="1"/>
    <col min="12034" max="12034" width="0" style="233" hidden="1" customWidth="1"/>
    <col min="12035" max="12035" width="6" style="233" customWidth="1"/>
    <col min="12036" max="12036" width="42.140625" style="233" customWidth="1"/>
    <col min="12037" max="12037" width="0" style="233" hidden="1" customWidth="1"/>
    <col min="12038" max="12038" width="12.7109375" style="233" customWidth="1"/>
    <col min="12039" max="12039" width="13.5703125" style="233" customWidth="1"/>
    <col min="12040" max="12040" width="14" style="233" customWidth="1"/>
    <col min="12041" max="12041" width="13.85546875" style="233" customWidth="1"/>
    <col min="12042" max="12042" width="12.5703125" style="233" customWidth="1"/>
    <col min="12043" max="12045" width="12.7109375" style="233" customWidth="1"/>
    <col min="12046" max="12051" width="0" style="233" hidden="1" customWidth="1"/>
    <col min="12052" max="12052" width="12.140625" style="233" customWidth="1"/>
    <col min="12053" max="12053" width="15.140625" style="233" customWidth="1"/>
    <col min="12054" max="12080" width="8" style="233" customWidth="1"/>
    <col min="12081" max="12288" width="8" style="233"/>
    <col min="12289" max="12289" width="19" style="233" customWidth="1"/>
    <col min="12290" max="12290" width="0" style="233" hidden="1" customWidth="1"/>
    <col min="12291" max="12291" width="6" style="233" customWidth="1"/>
    <col min="12292" max="12292" width="42.140625" style="233" customWidth="1"/>
    <col min="12293" max="12293" width="0" style="233" hidden="1" customWidth="1"/>
    <col min="12294" max="12294" width="12.7109375" style="233" customWidth="1"/>
    <col min="12295" max="12295" width="13.5703125" style="233" customWidth="1"/>
    <col min="12296" max="12296" width="14" style="233" customWidth="1"/>
    <col min="12297" max="12297" width="13.85546875" style="233" customWidth="1"/>
    <col min="12298" max="12298" width="12.5703125" style="233" customWidth="1"/>
    <col min="12299" max="12301" width="12.7109375" style="233" customWidth="1"/>
    <col min="12302" max="12307" width="0" style="233" hidden="1" customWidth="1"/>
    <col min="12308" max="12308" width="12.140625" style="233" customWidth="1"/>
    <col min="12309" max="12309" width="15.140625" style="233" customWidth="1"/>
    <col min="12310" max="12336" width="8" style="233" customWidth="1"/>
    <col min="12337" max="12544" width="8" style="233"/>
    <col min="12545" max="12545" width="19" style="233" customWidth="1"/>
    <col min="12546" max="12546" width="0" style="233" hidden="1" customWidth="1"/>
    <col min="12547" max="12547" width="6" style="233" customWidth="1"/>
    <col min="12548" max="12548" width="42.140625" style="233" customWidth="1"/>
    <col min="12549" max="12549" width="0" style="233" hidden="1" customWidth="1"/>
    <col min="12550" max="12550" width="12.7109375" style="233" customWidth="1"/>
    <col min="12551" max="12551" width="13.5703125" style="233" customWidth="1"/>
    <col min="12552" max="12552" width="14" style="233" customWidth="1"/>
    <col min="12553" max="12553" width="13.85546875" style="233" customWidth="1"/>
    <col min="12554" max="12554" width="12.5703125" style="233" customWidth="1"/>
    <col min="12555" max="12557" width="12.7109375" style="233" customWidth="1"/>
    <col min="12558" max="12563" width="0" style="233" hidden="1" customWidth="1"/>
    <col min="12564" max="12564" width="12.140625" style="233" customWidth="1"/>
    <col min="12565" max="12565" width="15.140625" style="233" customWidth="1"/>
    <col min="12566" max="12592" width="8" style="233" customWidth="1"/>
    <col min="12593" max="12800" width="8" style="233"/>
    <col min="12801" max="12801" width="19" style="233" customWidth="1"/>
    <col min="12802" max="12802" width="0" style="233" hidden="1" customWidth="1"/>
    <col min="12803" max="12803" width="6" style="233" customWidth="1"/>
    <col min="12804" max="12804" width="42.140625" style="233" customWidth="1"/>
    <col min="12805" max="12805" width="0" style="233" hidden="1" customWidth="1"/>
    <col min="12806" max="12806" width="12.7109375" style="233" customWidth="1"/>
    <col min="12807" max="12807" width="13.5703125" style="233" customWidth="1"/>
    <col min="12808" max="12808" width="14" style="233" customWidth="1"/>
    <col min="12809" max="12809" width="13.85546875" style="233" customWidth="1"/>
    <col min="12810" max="12810" width="12.5703125" style="233" customWidth="1"/>
    <col min="12811" max="12813" width="12.7109375" style="233" customWidth="1"/>
    <col min="12814" max="12819" width="0" style="233" hidden="1" customWidth="1"/>
    <col min="12820" max="12820" width="12.140625" style="233" customWidth="1"/>
    <col min="12821" max="12821" width="15.140625" style="233" customWidth="1"/>
    <col min="12822" max="12848" width="8" style="233" customWidth="1"/>
    <col min="12849" max="13056" width="8" style="233"/>
    <col min="13057" max="13057" width="19" style="233" customWidth="1"/>
    <col min="13058" max="13058" width="0" style="233" hidden="1" customWidth="1"/>
    <col min="13059" max="13059" width="6" style="233" customWidth="1"/>
    <col min="13060" max="13060" width="42.140625" style="233" customWidth="1"/>
    <col min="13061" max="13061" width="0" style="233" hidden="1" customWidth="1"/>
    <col min="13062" max="13062" width="12.7109375" style="233" customWidth="1"/>
    <col min="13063" max="13063" width="13.5703125" style="233" customWidth="1"/>
    <col min="13064" max="13064" width="14" style="233" customWidth="1"/>
    <col min="13065" max="13065" width="13.85546875" style="233" customWidth="1"/>
    <col min="13066" max="13066" width="12.5703125" style="233" customWidth="1"/>
    <col min="13067" max="13069" width="12.7109375" style="233" customWidth="1"/>
    <col min="13070" max="13075" width="0" style="233" hidden="1" customWidth="1"/>
    <col min="13076" max="13076" width="12.140625" style="233" customWidth="1"/>
    <col min="13077" max="13077" width="15.140625" style="233" customWidth="1"/>
    <col min="13078" max="13104" width="8" style="233" customWidth="1"/>
    <col min="13105" max="13312" width="8" style="233"/>
    <col min="13313" max="13313" width="19" style="233" customWidth="1"/>
    <col min="13314" max="13314" width="0" style="233" hidden="1" customWidth="1"/>
    <col min="13315" max="13315" width="6" style="233" customWidth="1"/>
    <col min="13316" max="13316" width="42.140625" style="233" customWidth="1"/>
    <col min="13317" max="13317" width="0" style="233" hidden="1" customWidth="1"/>
    <col min="13318" max="13318" width="12.7109375" style="233" customWidth="1"/>
    <col min="13319" max="13319" width="13.5703125" style="233" customWidth="1"/>
    <col min="13320" max="13320" width="14" style="233" customWidth="1"/>
    <col min="13321" max="13321" width="13.85546875" style="233" customWidth="1"/>
    <col min="13322" max="13322" width="12.5703125" style="233" customWidth="1"/>
    <col min="13323" max="13325" width="12.7109375" style="233" customWidth="1"/>
    <col min="13326" max="13331" width="0" style="233" hidden="1" customWidth="1"/>
    <col min="13332" max="13332" width="12.140625" style="233" customWidth="1"/>
    <col min="13333" max="13333" width="15.140625" style="233" customWidth="1"/>
    <col min="13334" max="13360" width="8" style="233" customWidth="1"/>
    <col min="13361" max="13568" width="8" style="233"/>
    <col min="13569" max="13569" width="19" style="233" customWidth="1"/>
    <col min="13570" max="13570" width="0" style="233" hidden="1" customWidth="1"/>
    <col min="13571" max="13571" width="6" style="233" customWidth="1"/>
    <col min="13572" max="13572" width="42.140625" style="233" customWidth="1"/>
    <col min="13573" max="13573" width="0" style="233" hidden="1" customWidth="1"/>
    <col min="13574" max="13574" width="12.7109375" style="233" customWidth="1"/>
    <col min="13575" max="13575" width="13.5703125" style="233" customWidth="1"/>
    <col min="13576" max="13576" width="14" style="233" customWidth="1"/>
    <col min="13577" max="13577" width="13.85546875" style="233" customWidth="1"/>
    <col min="13578" max="13578" width="12.5703125" style="233" customWidth="1"/>
    <col min="13579" max="13581" width="12.7109375" style="233" customWidth="1"/>
    <col min="13582" max="13587" width="0" style="233" hidden="1" customWidth="1"/>
    <col min="13588" max="13588" width="12.140625" style="233" customWidth="1"/>
    <col min="13589" max="13589" width="15.140625" style="233" customWidth="1"/>
    <col min="13590" max="13616" width="8" style="233" customWidth="1"/>
    <col min="13617" max="13824" width="8" style="233"/>
    <col min="13825" max="13825" width="19" style="233" customWidth="1"/>
    <col min="13826" max="13826" width="0" style="233" hidden="1" customWidth="1"/>
    <col min="13827" max="13827" width="6" style="233" customWidth="1"/>
    <col min="13828" max="13828" width="42.140625" style="233" customWidth="1"/>
    <col min="13829" max="13829" width="0" style="233" hidden="1" customWidth="1"/>
    <col min="13830" max="13830" width="12.7109375" style="233" customWidth="1"/>
    <col min="13831" max="13831" width="13.5703125" style="233" customWidth="1"/>
    <col min="13832" max="13832" width="14" style="233" customWidth="1"/>
    <col min="13833" max="13833" width="13.85546875" style="233" customWidth="1"/>
    <col min="13834" max="13834" width="12.5703125" style="233" customWidth="1"/>
    <col min="13835" max="13837" width="12.7109375" style="233" customWidth="1"/>
    <col min="13838" max="13843" width="0" style="233" hidden="1" customWidth="1"/>
    <col min="13844" max="13844" width="12.140625" style="233" customWidth="1"/>
    <col min="13845" max="13845" width="15.140625" style="233" customWidth="1"/>
    <col min="13846" max="13872" width="8" style="233" customWidth="1"/>
    <col min="13873" max="14080" width="8" style="233"/>
    <col min="14081" max="14081" width="19" style="233" customWidth="1"/>
    <col min="14082" max="14082" width="0" style="233" hidden="1" customWidth="1"/>
    <col min="14083" max="14083" width="6" style="233" customWidth="1"/>
    <col min="14084" max="14084" width="42.140625" style="233" customWidth="1"/>
    <col min="14085" max="14085" width="0" style="233" hidden="1" customWidth="1"/>
    <col min="14086" max="14086" width="12.7109375" style="233" customWidth="1"/>
    <col min="14087" max="14087" width="13.5703125" style="233" customWidth="1"/>
    <col min="14088" max="14088" width="14" style="233" customWidth="1"/>
    <col min="14089" max="14089" width="13.85546875" style="233" customWidth="1"/>
    <col min="14090" max="14090" width="12.5703125" style="233" customWidth="1"/>
    <col min="14091" max="14093" width="12.7109375" style="233" customWidth="1"/>
    <col min="14094" max="14099" width="0" style="233" hidden="1" customWidth="1"/>
    <col min="14100" max="14100" width="12.140625" style="233" customWidth="1"/>
    <col min="14101" max="14101" width="15.140625" style="233" customWidth="1"/>
    <col min="14102" max="14128" width="8" style="233" customWidth="1"/>
    <col min="14129" max="14336" width="8" style="233"/>
    <col min="14337" max="14337" width="19" style="233" customWidth="1"/>
    <col min="14338" max="14338" width="0" style="233" hidden="1" customWidth="1"/>
    <col min="14339" max="14339" width="6" style="233" customWidth="1"/>
    <col min="14340" max="14340" width="42.140625" style="233" customWidth="1"/>
    <col min="14341" max="14341" width="0" style="233" hidden="1" customWidth="1"/>
    <col min="14342" max="14342" width="12.7109375" style="233" customWidth="1"/>
    <col min="14343" max="14343" width="13.5703125" style="233" customWidth="1"/>
    <col min="14344" max="14344" width="14" style="233" customWidth="1"/>
    <col min="14345" max="14345" width="13.85546875" style="233" customWidth="1"/>
    <col min="14346" max="14346" width="12.5703125" style="233" customWidth="1"/>
    <col min="14347" max="14349" width="12.7109375" style="233" customWidth="1"/>
    <col min="14350" max="14355" width="0" style="233" hidden="1" customWidth="1"/>
    <col min="14356" max="14356" width="12.140625" style="233" customWidth="1"/>
    <col min="14357" max="14357" width="15.140625" style="233" customWidth="1"/>
    <col min="14358" max="14384" width="8" style="233" customWidth="1"/>
    <col min="14385" max="14592" width="8" style="233"/>
    <col min="14593" max="14593" width="19" style="233" customWidth="1"/>
    <col min="14594" max="14594" width="0" style="233" hidden="1" customWidth="1"/>
    <col min="14595" max="14595" width="6" style="233" customWidth="1"/>
    <col min="14596" max="14596" width="42.140625" style="233" customWidth="1"/>
    <col min="14597" max="14597" width="0" style="233" hidden="1" customWidth="1"/>
    <col min="14598" max="14598" width="12.7109375" style="233" customWidth="1"/>
    <col min="14599" max="14599" width="13.5703125" style="233" customWidth="1"/>
    <col min="14600" max="14600" width="14" style="233" customWidth="1"/>
    <col min="14601" max="14601" width="13.85546875" style="233" customWidth="1"/>
    <col min="14602" max="14602" width="12.5703125" style="233" customWidth="1"/>
    <col min="14603" max="14605" width="12.7109375" style="233" customWidth="1"/>
    <col min="14606" max="14611" width="0" style="233" hidden="1" customWidth="1"/>
    <col min="14612" max="14612" width="12.140625" style="233" customWidth="1"/>
    <col min="14613" max="14613" width="15.140625" style="233" customWidth="1"/>
    <col min="14614" max="14640" width="8" style="233" customWidth="1"/>
    <col min="14641" max="14848" width="8" style="233"/>
    <col min="14849" max="14849" width="19" style="233" customWidth="1"/>
    <col min="14850" max="14850" width="0" style="233" hidden="1" customWidth="1"/>
    <col min="14851" max="14851" width="6" style="233" customWidth="1"/>
    <col min="14852" max="14852" width="42.140625" style="233" customWidth="1"/>
    <col min="14853" max="14853" width="0" style="233" hidden="1" customWidth="1"/>
    <col min="14854" max="14854" width="12.7109375" style="233" customWidth="1"/>
    <col min="14855" max="14855" width="13.5703125" style="233" customWidth="1"/>
    <col min="14856" max="14856" width="14" style="233" customWidth="1"/>
    <col min="14857" max="14857" width="13.85546875" style="233" customWidth="1"/>
    <col min="14858" max="14858" width="12.5703125" style="233" customWidth="1"/>
    <col min="14859" max="14861" width="12.7109375" style="233" customWidth="1"/>
    <col min="14862" max="14867" width="0" style="233" hidden="1" customWidth="1"/>
    <col min="14868" max="14868" width="12.140625" style="233" customWidth="1"/>
    <col min="14869" max="14869" width="15.140625" style="233" customWidth="1"/>
    <col min="14870" max="14896" width="8" style="233" customWidth="1"/>
    <col min="14897" max="15104" width="8" style="233"/>
    <col min="15105" max="15105" width="19" style="233" customWidth="1"/>
    <col min="15106" max="15106" width="0" style="233" hidden="1" customWidth="1"/>
    <col min="15107" max="15107" width="6" style="233" customWidth="1"/>
    <col min="15108" max="15108" width="42.140625" style="233" customWidth="1"/>
    <col min="15109" max="15109" width="0" style="233" hidden="1" customWidth="1"/>
    <col min="15110" max="15110" width="12.7109375" style="233" customWidth="1"/>
    <col min="15111" max="15111" width="13.5703125" style="233" customWidth="1"/>
    <col min="15112" max="15112" width="14" style="233" customWidth="1"/>
    <col min="15113" max="15113" width="13.85546875" style="233" customWidth="1"/>
    <col min="15114" max="15114" width="12.5703125" style="233" customWidth="1"/>
    <col min="15115" max="15117" width="12.7109375" style="233" customWidth="1"/>
    <col min="15118" max="15123" width="0" style="233" hidden="1" customWidth="1"/>
    <col min="15124" max="15124" width="12.140625" style="233" customWidth="1"/>
    <col min="15125" max="15125" width="15.140625" style="233" customWidth="1"/>
    <col min="15126" max="15152" width="8" style="233" customWidth="1"/>
    <col min="15153" max="15360" width="8" style="233"/>
    <col min="15361" max="15361" width="19" style="233" customWidth="1"/>
    <col min="15362" max="15362" width="0" style="233" hidden="1" customWidth="1"/>
    <col min="15363" max="15363" width="6" style="233" customWidth="1"/>
    <col min="15364" max="15364" width="42.140625" style="233" customWidth="1"/>
    <col min="15365" max="15365" width="0" style="233" hidden="1" customWidth="1"/>
    <col min="15366" max="15366" width="12.7109375" style="233" customWidth="1"/>
    <col min="15367" max="15367" width="13.5703125" style="233" customWidth="1"/>
    <col min="15368" max="15368" width="14" style="233" customWidth="1"/>
    <col min="15369" max="15369" width="13.85546875" style="233" customWidth="1"/>
    <col min="15370" max="15370" width="12.5703125" style="233" customWidth="1"/>
    <col min="15371" max="15373" width="12.7109375" style="233" customWidth="1"/>
    <col min="15374" max="15379" width="0" style="233" hidden="1" customWidth="1"/>
    <col min="15380" max="15380" width="12.140625" style="233" customWidth="1"/>
    <col min="15381" max="15381" width="15.140625" style="233" customWidth="1"/>
    <col min="15382" max="15408" width="8" style="233" customWidth="1"/>
    <col min="15409" max="15616" width="8" style="233"/>
    <col min="15617" max="15617" width="19" style="233" customWidth="1"/>
    <col min="15618" max="15618" width="0" style="233" hidden="1" customWidth="1"/>
    <col min="15619" max="15619" width="6" style="233" customWidth="1"/>
    <col min="15620" max="15620" width="42.140625" style="233" customWidth="1"/>
    <col min="15621" max="15621" width="0" style="233" hidden="1" customWidth="1"/>
    <col min="15622" max="15622" width="12.7109375" style="233" customWidth="1"/>
    <col min="15623" max="15623" width="13.5703125" style="233" customWidth="1"/>
    <col min="15624" max="15624" width="14" style="233" customWidth="1"/>
    <col min="15625" max="15625" width="13.85546875" style="233" customWidth="1"/>
    <col min="15626" max="15626" width="12.5703125" style="233" customWidth="1"/>
    <col min="15627" max="15629" width="12.7109375" style="233" customWidth="1"/>
    <col min="15630" max="15635" width="0" style="233" hidden="1" customWidth="1"/>
    <col min="15636" max="15636" width="12.140625" style="233" customWidth="1"/>
    <col min="15637" max="15637" width="15.140625" style="233" customWidth="1"/>
    <col min="15638" max="15664" width="8" style="233" customWidth="1"/>
    <col min="15665" max="15872" width="8" style="233"/>
    <col min="15873" max="15873" width="19" style="233" customWidth="1"/>
    <col min="15874" max="15874" width="0" style="233" hidden="1" customWidth="1"/>
    <col min="15875" max="15875" width="6" style="233" customWidth="1"/>
    <col min="15876" max="15876" width="42.140625" style="233" customWidth="1"/>
    <col min="15877" max="15877" width="0" style="233" hidden="1" customWidth="1"/>
    <col min="15878" max="15878" width="12.7109375" style="233" customWidth="1"/>
    <col min="15879" max="15879" width="13.5703125" style="233" customWidth="1"/>
    <col min="15880" max="15880" width="14" style="233" customWidth="1"/>
    <col min="15881" max="15881" width="13.85546875" style="233" customWidth="1"/>
    <col min="15882" max="15882" width="12.5703125" style="233" customWidth="1"/>
    <col min="15883" max="15885" width="12.7109375" style="233" customWidth="1"/>
    <col min="15886" max="15891" width="0" style="233" hidden="1" customWidth="1"/>
    <col min="15892" max="15892" width="12.140625" style="233" customWidth="1"/>
    <col min="15893" max="15893" width="15.140625" style="233" customWidth="1"/>
    <col min="15894" max="15920" width="8" style="233" customWidth="1"/>
    <col min="15921" max="16128" width="8" style="233"/>
    <col min="16129" max="16129" width="19" style="233" customWidth="1"/>
    <col min="16130" max="16130" width="0" style="233" hidden="1" customWidth="1"/>
    <col min="16131" max="16131" width="6" style="233" customWidth="1"/>
    <col min="16132" max="16132" width="42.140625" style="233" customWidth="1"/>
    <col min="16133" max="16133" width="0" style="233" hidden="1" customWidth="1"/>
    <col min="16134" max="16134" width="12.7109375" style="233" customWidth="1"/>
    <col min="16135" max="16135" width="13.5703125" style="233" customWidth="1"/>
    <col min="16136" max="16136" width="14" style="233" customWidth="1"/>
    <col min="16137" max="16137" width="13.85546875" style="233" customWidth="1"/>
    <col min="16138" max="16138" width="12.5703125" style="233" customWidth="1"/>
    <col min="16139" max="16141" width="12.7109375" style="233" customWidth="1"/>
    <col min="16142" max="16147" width="0" style="233" hidden="1" customWidth="1"/>
    <col min="16148" max="16148" width="12.140625" style="233" customWidth="1"/>
    <col min="16149" max="16149" width="15.140625" style="233" customWidth="1"/>
    <col min="16150" max="16176" width="8" style="233" customWidth="1"/>
    <col min="16177" max="16384" width="8" style="233"/>
  </cols>
  <sheetData>
    <row r="1" spans="1:48" x14ac:dyDescent="0.2">
      <c r="C1" s="355"/>
      <c r="D1" s="356"/>
      <c r="E1" s="357"/>
      <c r="N1" s="354" t="s">
        <v>843</v>
      </c>
    </row>
    <row r="2" spans="1:48" s="141" customFormat="1" ht="43.5" customHeight="1" x14ac:dyDescent="0.25">
      <c r="B2" s="142"/>
      <c r="C2" s="418" t="s">
        <v>691</v>
      </c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9"/>
      <c r="O2" s="143"/>
      <c r="P2" s="143"/>
    </row>
    <row r="3" spans="1:48" s="141" customFormat="1" ht="16.5" thickBot="1" x14ac:dyDescent="0.3">
      <c r="C3" s="144"/>
      <c r="D3" s="145"/>
      <c r="E3" s="146"/>
      <c r="F3" s="147"/>
      <c r="G3" s="147"/>
      <c r="H3" s="147"/>
      <c r="I3" s="147"/>
      <c r="J3" s="147"/>
      <c r="K3" s="147"/>
      <c r="L3" s="147"/>
      <c r="M3" s="148"/>
      <c r="N3" s="149"/>
      <c r="O3" s="149"/>
      <c r="P3" s="150" t="s">
        <v>611</v>
      </c>
    </row>
    <row r="4" spans="1:48" s="157" customFormat="1" ht="19.5" thickBot="1" x14ac:dyDescent="0.35">
      <c r="A4" s="151"/>
      <c r="B4" s="152"/>
      <c r="C4" s="153"/>
      <c r="D4" s="420" t="s">
        <v>612</v>
      </c>
      <c r="E4" s="422" t="s">
        <v>613</v>
      </c>
      <c r="F4" s="423" t="s">
        <v>564</v>
      </c>
      <c r="G4" s="425" t="s">
        <v>614</v>
      </c>
      <c r="H4" s="425"/>
      <c r="I4" s="425"/>
      <c r="J4" s="425"/>
      <c r="K4" s="425"/>
      <c r="L4" s="425"/>
      <c r="M4" s="425"/>
      <c r="N4" s="425"/>
      <c r="O4" s="425"/>
      <c r="P4" s="425"/>
      <c r="Q4" s="154"/>
      <c r="R4" s="155"/>
      <c r="S4" s="152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</row>
    <row r="5" spans="1:48" s="165" customFormat="1" ht="42" customHeight="1" thickBot="1" x14ac:dyDescent="0.3">
      <c r="A5" s="158"/>
      <c r="B5" s="159"/>
      <c r="C5" s="160"/>
      <c r="D5" s="421"/>
      <c r="E5" s="422"/>
      <c r="F5" s="424"/>
      <c r="G5" s="161" t="s">
        <v>615</v>
      </c>
      <c r="H5" s="161" t="s">
        <v>616</v>
      </c>
      <c r="I5" s="161" t="s">
        <v>617</v>
      </c>
      <c r="J5" s="161" t="s">
        <v>618</v>
      </c>
      <c r="K5" s="161" t="s">
        <v>619</v>
      </c>
      <c r="L5" s="161" t="s">
        <v>620</v>
      </c>
      <c r="M5" s="161" t="s">
        <v>621</v>
      </c>
      <c r="N5" s="161" t="s">
        <v>622</v>
      </c>
      <c r="O5" s="161" t="s">
        <v>623</v>
      </c>
      <c r="P5" s="161" t="s">
        <v>624</v>
      </c>
      <c r="Q5" s="162"/>
      <c r="R5" s="163"/>
      <c r="S5" s="159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AR5" s="164"/>
      <c r="AS5" s="164"/>
      <c r="AT5" s="164"/>
      <c r="AU5" s="164"/>
      <c r="AV5" s="164"/>
    </row>
    <row r="6" spans="1:48" s="171" customFormat="1" ht="18.75" x14ac:dyDescent="0.3">
      <c r="A6" s="166"/>
      <c r="B6" s="167"/>
      <c r="C6" s="168" t="s">
        <v>608</v>
      </c>
      <c r="D6" s="169" t="s">
        <v>609</v>
      </c>
      <c r="E6" s="170"/>
      <c r="F6" s="169">
        <v>1</v>
      </c>
      <c r="G6" s="169">
        <v>2</v>
      </c>
      <c r="H6" s="169">
        <f t="shared" ref="H6:O6" si="0">G6+1</f>
        <v>3</v>
      </c>
      <c r="I6" s="169">
        <f t="shared" si="0"/>
        <v>4</v>
      </c>
      <c r="J6" s="169">
        <f t="shared" si="0"/>
        <v>5</v>
      </c>
      <c r="K6" s="169">
        <f t="shared" si="0"/>
        <v>6</v>
      </c>
      <c r="L6" s="169">
        <f t="shared" si="0"/>
        <v>7</v>
      </c>
      <c r="M6" s="169">
        <f t="shared" si="0"/>
        <v>8</v>
      </c>
      <c r="N6" s="169">
        <f t="shared" si="0"/>
        <v>9</v>
      </c>
      <c r="O6" s="169">
        <f t="shared" si="0"/>
        <v>10</v>
      </c>
      <c r="P6" s="169">
        <v>11</v>
      </c>
      <c r="Q6" s="166"/>
      <c r="S6" s="167"/>
      <c r="T6" s="172"/>
      <c r="U6" s="172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</row>
    <row r="7" spans="1:48" s="184" customFormat="1" ht="38.25" customHeight="1" x14ac:dyDescent="0.25">
      <c r="A7" s="173"/>
      <c r="B7" s="174"/>
      <c r="C7" s="175" t="s">
        <v>625</v>
      </c>
      <c r="D7" s="176" t="s">
        <v>17</v>
      </c>
      <c r="E7" s="177"/>
      <c r="F7" s="178">
        <f>SUM(G7:P7)+F34</f>
        <v>45400.763770000012</v>
      </c>
      <c r="G7" s="179">
        <f t="shared" ref="G7:S7" si="1">G8+G11+G28</f>
        <v>4552.3834999999999</v>
      </c>
      <c r="H7" s="179">
        <f t="shared" si="1"/>
        <v>5880.1310000000003</v>
      </c>
      <c r="I7" s="179">
        <f t="shared" si="1"/>
        <v>4862.4580400000004</v>
      </c>
      <c r="J7" s="179">
        <f t="shared" si="1"/>
        <v>5161.2920299999996</v>
      </c>
      <c r="K7" s="179">
        <f t="shared" si="1"/>
        <v>2836.5950000000003</v>
      </c>
      <c r="L7" s="179">
        <f t="shared" si="1"/>
        <v>4158.5789999999997</v>
      </c>
      <c r="M7" s="179">
        <f t="shared" si="1"/>
        <v>3366.2599999999998</v>
      </c>
      <c r="N7" s="179">
        <f t="shared" si="1"/>
        <v>4330.7080000000005</v>
      </c>
      <c r="O7" s="179">
        <f t="shared" si="1"/>
        <v>7138.4708000000001</v>
      </c>
      <c r="P7" s="179">
        <f t="shared" si="1"/>
        <v>3113.8864000000003</v>
      </c>
      <c r="Q7" s="180">
        <f t="shared" si="1"/>
        <v>0</v>
      </c>
      <c r="R7" s="181">
        <f t="shared" si="1"/>
        <v>0</v>
      </c>
      <c r="S7" s="181">
        <f t="shared" si="1"/>
        <v>0</v>
      </c>
      <c r="T7" s="182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83"/>
      <c r="AK7" s="183"/>
      <c r="AL7" s="183"/>
      <c r="AM7" s="183"/>
      <c r="AN7" s="183"/>
      <c r="AO7" s="183"/>
      <c r="AP7" s="183"/>
      <c r="AQ7" s="183"/>
      <c r="AR7" s="183"/>
      <c r="AS7" s="183"/>
      <c r="AT7" s="183"/>
      <c r="AU7" s="183"/>
    </row>
    <row r="8" spans="1:48" s="193" customFormat="1" ht="38.25" customHeight="1" x14ac:dyDescent="0.2">
      <c r="A8" s="185"/>
      <c r="B8" s="186"/>
      <c r="C8" s="187" t="s">
        <v>610</v>
      </c>
      <c r="D8" s="176" t="s">
        <v>626</v>
      </c>
      <c r="E8" s="188"/>
      <c r="F8" s="178">
        <f t="shared" ref="F8:F14" si="2">SUM(G8:P8)</f>
        <v>25931.599999999999</v>
      </c>
      <c r="G8" s="179">
        <f t="shared" ref="G8:P8" si="3">SUM(G9:G10)</f>
        <v>3017.6099999999997</v>
      </c>
      <c r="H8" s="179">
        <f t="shared" si="3"/>
        <v>2766.37</v>
      </c>
      <c r="I8" s="179">
        <f t="shared" si="3"/>
        <v>2856.12</v>
      </c>
      <c r="J8" s="179">
        <f t="shared" si="3"/>
        <v>2486.23</v>
      </c>
      <c r="K8" s="179">
        <f t="shared" si="3"/>
        <v>1811.19</v>
      </c>
      <c r="L8" s="179">
        <f t="shared" si="3"/>
        <v>2549.58</v>
      </c>
      <c r="M8" s="179">
        <f t="shared" si="3"/>
        <v>2367.4499999999998</v>
      </c>
      <c r="N8" s="179">
        <f t="shared" si="3"/>
        <v>2890.26</v>
      </c>
      <c r="O8" s="179">
        <f t="shared" si="3"/>
        <v>4786.79</v>
      </c>
      <c r="P8" s="179">
        <f t="shared" si="3"/>
        <v>400</v>
      </c>
      <c r="Q8" s="189"/>
      <c r="R8" s="190"/>
      <c r="S8" s="191"/>
      <c r="T8" s="192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</row>
    <row r="9" spans="1:48" s="184" customFormat="1" ht="44.25" customHeight="1" thickBot="1" x14ac:dyDescent="0.3">
      <c r="A9" s="173"/>
      <c r="B9" s="174"/>
      <c r="C9" s="194" t="s">
        <v>627</v>
      </c>
      <c r="D9" s="195" t="s">
        <v>467</v>
      </c>
      <c r="E9" s="196">
        <v>20857.12</v>
      </c>
      <c r="F9" s="197">
        <f t="shared" si="2"/>
        <v>20107</v>
      </c>
      <c r="G9" s="198">
        <v>2336.31</v>
      </c>
      <c r="H9" s="198">
        <v>2607.27</v>
      </c>
      <c r="I9" s="198">
        <v>2287.7199999999998</v>
      </c>
      <c r="J9" s="198">
        <v>2109.0300000000002</v>
      </c>
      <c r="K9" s="198">
        <v>1492.99</v>
      </c>
      <c r="L9" s="198">
        <v>1960.68</v>
      </c>
      <c r="M9" s="198">
        <v>1728.45</v>
      </c>
      <c r="N9" s="199">
        <v>2035.56</v>
      </c>
      <c r="O9" s="199">
        <v>3148.99</v>
      </c>
      <c r="P9" s="199">
        <v>400</v>
      </c>
      <c r="Q9" s="200"/>
      <c r="R9" s="201"/>
      <c r="S9" s="202"/>
      <c r="T9" s="20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  <c r="AP9" s="183"/>
      <c r="AQ9" s="183"/>
      <c r="AR9" s="183"/>
      <c r="AS9" s="183"/>
      <c r="AT9" s="183"/>
      <c r="AU9" s="183"/>
    </row>
    <row r="10" spans="1:48" s="184" customFormat="1" ht="58.5" customHeight="1" x14ac:dyDescent="0.25">
      <c r="A10" s="173"/>
      <c r="B10" s="174"/>
      <c r="C10" s="194" t="s">
        <v>628</v>
      </c>
      <c r="D10" s="204" t="s">
        <v>629</v>
      </c>
      <c r="E10" s="205"/>
      <c r="F10" s="197">
        <f t="shared" si="2"/>
        <v>5824.6</v>
      </c>
      <c r="G10" s="206">
        <v>681.3</v>
      </c>
      <c r="H10" s="207">
        <v>159.1</v>
      </c>
      <c r="I10" s="207">
        <v>568.4</v>
      </c>
      <c r="J10" s="207">
        <v>377.2</v>
      </c>
      <c r="K10" s="207">
        <v>318.2</v>
      </c>
      <c r="L10" s="208">
        <v>588.9</v>
      </c>
      <c r="M10" s="208">
        <v>639</v>
      </c>
      <c r="N10" s="208">
        <v>854.7</v>
      </c>
      <c r="O10" s="208">
        <v>1637.8</v>
      </c>
      <c r="P10" s="207">
        <v>0</v>
      </c>
      <c r="Q10" s="209"/>
      <c r="R10" s="210"/>
      <c r="S10" s="183"/>
      <c r="T10" s="182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3"/>
      <c r="AO10" s="183"/>
      <c r="AP10" s="183"/>
      <c r="AQ10" s="183"/>
      <c r="AR10" s="183"/>
      <c r="AS10" s="183"/>
      <c r="AT10" s="183"/>
      <c r="AU10" s="183"/>
    </row>
    <row r="11" spans="1:48" s="193" customFormat="1" ht="76.5" customHeight="1" x14ac:dyDescent="0.2">
      <c r="A11" s="185"/>
      <c r="B11" s="186"/>
      <c r="C11" s="211" t="s">
        <v>630</v>
      </c>
      <c r="D11" s="212" t="s">
        <v>631</v>
      </c>
      <c r="E11" s="213"/>
      <c r="F11" s="178">
        <f t="shared" si="2"/>
        <v>19178.753420000001</v>
      </c>
      <c r="G11" s="179">
        <f>SUM(G12:G14)</f>
        <v>1534.7735</v>
      </c>
      <c r="H11" s="179">
        <f t="shared" ref="H11:S11" si="4">SUM(H12:H14)</f>
        <v>3013.7610000000004</v>
      </c>
      <c r="I11" s="179">
        <f t="shared" si="4"/>
        <v>1949.6720399999999</v>
      </c>
      <c r="J11" s="179">
        <f t="shared" si="4"/>
        <v>2634.1306800000002</v>
      </c>
      <c r="K11" s="179">
        <f t="shared" si="4"/>
        <v>1025.405</v>
      </c>
      <c r="L11" s="179">
        <f t="shared" si="4"/>
        <v>1548.999</v>
      </c>
      <c r="M11" s="179">
        <f t="shared" si="4"/>
        <v>998.81000000000006</v>
      </c>
      <c r="N11" s="179">
        <f t="shared" si="4"/>
        <v>1407.635</v>
      </c>
      <c r="O11" s="179">
        <f t="shared" si="4"/>
        <v>2351.6808000000001</v>
      </c>
      <c r="P11" s="179">
        <f t="shared" si="4"/>
        <v>2713.8864000000003</v>
      </c>
      <c r="Q11" s="214">
        <f t="shared" si="4"/>
        <v>0</v>
      </c>
      <c r="R11" s="215">
        <f t="shared" si="4"/>
        <v>0</v>
      </c>
      <c r="S11" s="215">
        <f t="shared" si="4"/>
        <v>0</v>
      </c>
      <c r="T11" s="192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</row>
    <row r="12" spans="1:48" s="191" customFormat="1" ht="38.25" x14ac:dyDescent="0.2">
      <c r="C12" s="194" t="s">
        <v>632</v>
      </c>
      <c r="D12" s="216" t="s">
        <v>633</v>
      </c>
      <c r="E12" s="213"/>
      <c r="F12" s="206">
        <f t="shared" si="2"/>
        <v>13687.9</v>
      </c>
      <c r="G12" s="217">
        <f>1187+267.3</f>
        <v>1454.3</v>
      </c>
      <c r="H12" s="217">
        <f>1813+408.3</f>
        <v>2221.3000000000002</v>
      </c>
      <c r="I12" s="217">
        <f>855+362.9</f>
        <v>1217.9000000000001</v>
      </c>
      <c r="J12" s="217">
        <f>1507+497.5</f>
        <v>2004.5</v>
      </c>
      <c r="K12" s="217">
        <f>740+159.1</f>
        <v>899.1</v>
      </c>
      <c r="L12" s="217">
        <f>775+193.5</f>
        <v>968.5</v>
      </c>
      <c r="M12" s="217">
        <f>777+194.2</f>
        <v>971.2</v>
      </c>
      <c r="N12" s="218">
        <f>1047+332.5</f>
        <v>1379.5</v>
      </c>
      <c r="O12" s="218">
        <f>1665+242.3</f>
        <v>1907.3</v>
      </c>
      <c r="P12" s="218">
        <f>424+240.3</f>
        <v>664.3</v>
      </c>
      <c r="Q12" s="219"/>
      <c r="R12" s="219"/>
      <c r="S12" s="220"/>
      <c r="T12" s="192"/>
    </row>
    <row r="13" spans="1:48" s="191" customFormat="1" ht="51" x14ac:dyDescent="0.2">
      <c r="C13" s="194" t="s">
        <v>634</v>
      </c>
      <c r="D13" s="216" t="s">
        <v>635</v>
      </c>
      <c r="E13" s="213"/>
      <c r="F13" s="206">
        <f t="shared" si="2"/>
        <v>1455.6664000000001</v>
      </c>
      <c r="G13" s="198"/>
      <c r="H13" s="198"/>
      <c r="I13" s="198"/>
      <c r="J13" s="198"/>
      <c r="K13" s="198"/>
      <c r="L13" s="198"/>
      <c r="M13" s="198"/>
      <c r="N13" s="221"/>
      <c r="O13" s="221"/>
      <c r="P13" s="221">
        <f>1261+74.7264+119.94</f>
        <v>1455.6664000000001</v>
      </c>
      <c r="Q13" s="219"/>
      <c r="R13" s="219"/>
      <c r="S13" s="220"/>
      <c r="T13" s="192"/>
    </row>
    <row r="14" spans="1:48" s="191" customFormat="1" ht="38.25" x14ac:dyDescent="0.2">
      <c r="C14" s="194" t="s">
        <v>636</v>
      </c>
      <c r="D14" s="216" t="s">
        <v>637</v>
      </c>
      <c r="E14" s="213"/>
      <c r="F14" s="206">
        <f t="shared" si="2"/>
        <v>4035.1870200000008</v>
      </c>
      <c r="G14" s="198">
        <f>4.44+76.0335</f>
        <v>80.473500000000001</v>
      </c>
      <c r="H14" s="198">
        <f>16.049+300+211.412+265</f>
        <v>792.46100000000001</v>
      </c>
      <c r="I14" s="198">
        <f>170.5+13.17+18+530.10204</f>
        <v>731.77203999999995</v>
      </c>
      <c r="J14" s="198">
        <f>240+21.91105+200+16.7+144.41963+6.6</f>
        <v>629.63067999999998</v>
      </c>
      <c r="K14" s="198">
        <f>1.305+100+25</f>
        <v>126.30500000000001</v>
      </c>
      <c r="L14" s="198">
        <f>57.419+198.08+325</f>
        <v>580.49900000000002</v>
      </c>
      <c r="M14" s="198">
        <f>2.61+25</f>
        <v>27.61</v>
      </c>
      <c r="N14" s="221">
        <f>3.135+25</f>
        <v>28.134999999999998</v>
      </c>
      <c r="O14" s="221">
        <f>16.032+40.212+388.1368</f>
        <v>444.38080000000002</v>
      </c>
      <c r="P14" s="221">
        <f>278+290.92+25</f>
        <v>593.92000000000007</v>
      </c>
      <c r="Q14" s="219"/>
      <c r="R14" s="219"/>
      <c r="S14" s="220"/>
      <c r="T14" s="192"/>
    </row>
    <row r="15" spans="1:48" s="191" customFormat="1" ht="15.75" x14ac:dyDescent="0.2">
      <c r="C15" s="194"/>
      <c r="D15" s="216" t="s">
        <v>659</v>
      </c>
      <c r="E15" s="213"/>
      <c r="F15" s="206">
        <f t="shared" ref="F15:F26" si="5">SUM(G15:P15)</f>
        <v>705.85643000000005</v>
      </c>
      <c r="G15" s="198"/>
      <c r="H15" s="198">
        <v>16.048999999999999</v>
      </c>
      <c r="I15" s="198">
        <v>170.5</v>
      </c>
      <c r="J15" s="198">
        <f>240+16.7+126.01963</f>
        <v>382.71963</v>
      </c>
      <c r="K15" s="198"/>
      <c r="L15" s="198">
        <v>57.418999999999997</v>
      </c>
      <c r="M15" s="198"/>
      <c r="N15" s="221"/>
      <c r="O15" s="221">
        <f>16.032+63.1368</f>
        <v>79.168800000000005</v>
      </c>
      <c r="P15" s="221"/>
      <c r="Q15" s="219"/>
      <c r="R15" s="219"/>
      <c r="S15" s="220"/>
      <c r="T15" s="192"/>
    </row>
    <row r="16" spans="1:48" s="191" customFormat="1" ht="15.75" x14ac:dyDescent="0.2">
      <c r="C16" s="194"/>
      <c r="D16" s="216" t="s">
        <v>660</v>
      </c>
      <c r="E16" s="213"/>
      <c r="F16" s="206">
        <f t="shared" si="5"/>
        <v>278</v>
      </c>
      <c r="G16" s="198"/>
      <c r="H16" s="198"/>
      <c r="I16" s="198"/>
      <c r="J16" s="198"/>
      <c r="K16" s="198"/>
      <c r="L16" s="198"/>
      <c r="M16" s="198"/>
      <c r="N16" s="221"/>
      <c r="O16" s="221"/>
      <c r="P16" s="221">
        <v>278</v>
      </c>
      <c r="Q16" s="219"/>
      <c r="R16" s="219"/>
      <c r="S16" s="220"/>
      <c r="T16" s="192"/>
    </row>
    <row r="17" spans="3:20" s="191" customFormat="1" ht="15.75" x14ac:dyDescent="0.2">
      <c r="C17" s="194"/>
      <c r="D17" s="216" t="s">
        <v>665</v>
      </c>
      <c r="E17" s="213"/>
      <c r="F17" s="206">
        <f t="shared" si="5"/>
        <v>350</v>
      </c>
      <c r="G17" s="198"/>
      <c r="H17" s="198">
        <v>200</v>
      </c>
      <c r="I17" s="198"/>
      <c r="J17" s="198"/>
      <c r="K17" s="198"/>
      <c r="L17" s="198">
        <v>150</v>
      </c>
      <c r="M17" s="198"/>
      <c r="N17" s="221"/>
      <c r="O17" s="221"/>
      <c r="P17" s="221"/>
      <c r="Q17" s="219"/>
      <c r="R17" s="219"/>
      <c r="S17" s="220"/>
      <c r="T17" s="192"/>
    </row>
    <row r="18" spans="3:20" s="191" customFormat="1" ht="15.75" x14ac:dyDescent="0.2">
      <c r="C18" s="194"/>
      <c r="D18" s="216" t="s">
        <v>661</v>
      </c>
      <c r="E18" s="213"/>
      <c r="F18" s="206">
        <f t="shared" si="5"/>
        <v>600</v>
      </c>
      <c r="G18" s="198"/>
      <c r="H18" s="198">
        <v>300</v>
      </c>
      <c r="I18" s="198"/>
      <c r="J18" s="198"/>
      <c r="K18" s="198"/>
      <c r="L18" s="198">
        <v>300</v>
      </c>
      <c r="M18" s="198"/>
      <c r="N18" s="221"/>
      <c r="O18" s="221"/>
      <c r="P18" s="221"/>
      <c r="Q18" s="219"/>
      <c r="R18" s="219"/>
      <c r="S18" s="220"/>
      <c r="T18" s="192"/>
    </row>
    <row r="19" spans="3:20" s="191" customFormat="1" ht="15.75" x14ac:dyDescent="0.2">
      <c r="C19" s="194"/>
      <c r="D19" s="216" t="s">
        <v>662</v>
      </c>
      <c r="E19" s="213"/>
      <c r="F19" s="206">
        <f t="shared" si="5"/>
        <v>100</v>
      </c>
      <c r="G19" s="198"/>
      <c r="H19" s="198"/>
      <c r="I19" s="198"/>
      <c r="J19" s="198"/>
      <c r="K19" s="198">
        <v>100</v>
      </c>
      <c r="L19" s="198"/>
      <c r="M19" s="198"/>
      <c r="N19" s="221"/>
      <c r="O19" s="221"/>
      <c r="P19" s="221"/>
      <c r="Q19" s="219"/>
      <c r="R19" s="219"/>
      <c r="S19" s="220"/>
      <c r="T19" s="192"/>
    </row>
    <row r="20" spans="3:20" s="191" customFormat="1" ht="15.75" x14ac:dyDescent="0.2">
      <c r="C20" s="194"/>
      <c r="D20" s="216" t="s">
        <v>663</v>
      </c>
      <c r="E20" s="213"/>
      <c r="F20" s="206">
        <f t="shared" si="5"/>
        <v>25</v>
      </c>
      <c r="G20" s="198"/>
      <c r="H20" s="198"/>
      <c r="I20" s="198"/>
      <c r="J20" s="198"/>
      <c r="K20" s="198"/>
      <c r="L20" s="198"/>
      <c r="M20" s="198"/>
      <c r="N20" s="221"/>
      <c r="O20" s="221"/>
      <c r="P20" s="221">
        <v>25</v>
      </c>
      <c r="Q20" s="219"/>
      <c r="R20" s="219"/>
      <c r="S20" s="220"/>
      <c r="T20" s="192"/>
    </row>
    <row r="21" spans="3:20" s="191" customFormat="1" ht="15.75" x14ac:dyDescent="0.2">
      <c r="C21" s="194"/>
      <c r="D21" s="216" t="s">
        <v>664</v>
      </c>
      <c r="E21" s="213"/>
      <c r="F21" s="206">
        <f t="shared" si="5"/>
        <v>43.08</v>
      </c>
      <c r="G21" s="198">
        <v>4.4400000000000004</v>
      </c>
      <c r="H21" s="198">
        <v>8.3520000000000003</v>
      </c>
      <c r="I21" s="198">
        <v>2.61</v>
      </c>
      <c r="J21" s="198">
        <v>6.0060000000000002</v>
      </c>
      <c r="K21" s="198">
        <v>1.3049999999999999</v>
      </c>
      <c r="L21" s="198">
        <v>1.83</v>
      </c>
      <c r="M21" s="198">
        <v>2.61</v>
      </c>
      <c r="N21" s="221">
        <v>3.1349999999999998</v>
      </c>
      <c r="O21" s="221">
        <v>7.5720000000000001</v>
      </c>
      <c r="P21" s="221">
        <v>5.22</v>
      </c>
      <c r="Q21" s="219"/>
      <c r="R21" s="219"/>
      <c r="S21" s="220"/>
      <c r="T21" s="192"/>
    </row>
    <row r="22" spans="3:20" s="191" customFormat="1" ht="25.5" x14ac:dyDescent="0.2">
      <c r="C22" s="194"/>
      <c r="D22" s="216" t="s">
        <v>666</v>
      </c>
      <c r="E22" s="213"/>
      <c r="F22" s="206">
        <f t="shared" si="5"/>
        <v>503.7</v>
      </c>
      <c r="G22" s="198"/>
      <c r="H22" s="198"/>
      <c r="I22" s="198">
        <v>18</v>
      </c>
      <c r="J22" s="198">
        <v>200</v>
      </c>
      <c r="K22" s="198"/>
      <c r="L22" s="198"/>
      <c r="M22" s="198"/>
      <c r="N22" s="221"/>
      <c r="O22" s="221"/>
      <c r="P22" s="221">
        <v>285.7</v>
      </c>
      <c r="Q22" s="219"/>
      <c r="R22" s="219"/>
      <c r="S22" s="220"/>
      <c r="T22" s="192"/>
    </row>
    <row r="23" spans="3:20" s="191" customFormat="1" ht="15.75" x14ac:dyDescent="0.2">
      <c r="C23" s="194"/>
      <c r="D23" s="216" t="s">
        <v>667</v>
      </c>
      <c r="E23" s="213"/>
      <c r="F23" s="206">
        <f t="shared" si="5"/>
        <v>83.415049999999994</v>
      </c>
      <c r="G23" s="198"/>
      <c r="H23" s="198">
        <v>3.06</v>
      </c>
      <c r="I23" s="198">
        <v>10.56</v>
      </c>
      <c r="J23" s="198">
        <v>15.905049999999999</v>
      </c>
      <c r="K23" s="198"/>
      <c r="L23" s="198">
        <v>46.25</v>
      </c>
      <c r="M23" s="198"/>
      <c r="N23" s="221"/>
      <c r="O23" s="221">
        <v>7.64</v>
      </c>
      <c r="P23" s="221"/>
      <c r="Q23" s="219"/>
      <c r="R23" s="219"/>
      <c r="S23" s="220"/>
      <c r="T23" s="192"/>
    </row>
    <row r="24" spans="3:20" s="191" customFormat="1" ht="15.75" x14ac:dyDescent="0.2">
      <c r="C24" s="194"/>
      <c r="D24" s="216" t="s">
        <v>670</v>
      </c>
      <c r="E24" s="213"/>
      <c r="F24" s="206">
        <f t="shared" si="5"/>
        <v>805.10203999999999</v>
      </c>
      <c r="G24" s="198"/>
      <c r="H24" s="198"/>
      <c r="I24" s="198">
        <v>505.10203999999999</v>
      </c>
      <c r="J24" s="198"/>
      <c r="K24" s="198"/>
      <c r="L24" s="198"/>
      <c r="M24" s="198"/>
      <c r="N24" s="221"/>
      <c r="O24" s="221">
        <v>300</v>
      </c>
      <c r="P24" s="221"/>
      <c r="Q24" s="219"/>
      <c r="R24" s="219"/>
      <c r="S24" s="220"/>
      <c r="T24" s="192"/>
    </row>
    <row r="25" spans="3:20" s="191" customFormat="1" ht="15.75" x14ac:dyDescent="0.2">
      <c r="C25" s="194"/>
      <c r="D25" s="216" t="s">
        <v>668</v>
      </c>
      <c r="E25" s="213"/>
      <c r="F25" s="206">
        <f t="shared" si="5"/>
        <v>51.033499999999997</v>
      </c>
      <c r="G25" s="198">
        <v>51.033499999999997</v>
      </c>
      <c r="H25" s="198"/>
      <c r="I25" s="198"/>
      <c r="J25" s="198"/>
      <c r="K25" s="198"/>
      <c r="L25" s="198"/>
      <c r="M25" s="198"/>
      <c r="N25" s="221"/>
      <c r="O25" s="221"/>
      <c r="P25" s="221"/>
      <c r="Q25" s="219"/>
      <c r="R25" s="219"/>
      <c r="S25" s="220"/>
      <c r="T25" s="192"/>
    </row>
    <row r="26" spans="3:20" s="191" customFormat="1" ht="15.75" x14ac:dyDescent="0.2">
      <c r="C26" s="194"/>
      <c r="D26" s="216" t="s">
        <v>669</v>
      </c>
      <c r="E26" s="213"/>
      <c r="F26" s="206">
        <f t="shared" si="5"/>
        <v>240</v>
      </c>
      <c r="G26" s="198"/>
      <c r="H26" s="198">
        <v>240</v>
      </c>
      <c r="I26" s="198"/>
      <c r="J26" s="198"/>
      <c r="K26" s="198"/>
      <c r="L26" s="198"/>
      <c r="M26" s="198"/>
      <c r="N26" s="221"/>
      <c r="O26" s="221"/>
      <c r="P26" s="221"/>
      <c r="Q26" s="219"/>
      <c r="R26" s="219"/>
      <c r="S26" s="220"/>
      <c r="T26" s="192"/>
    </row>
    <row r="27" spans="3:20" s="191" customFormat="1" ht="15.75" x14ac:dyDescent="0.2">
      <c r="C27" s="194"/>
      <c r="D27" s="216" t="s">
        <v>671</v>
      </c>
      <c r="E27" s="213"/>
      <c r="F27" s="206">
        <f t="shared" ref="F27:F34" si="6">SUM(G27:P27)</f>
        <v>250</v>
      </c>
      <c r="G27" s="198">
        <v>25</v>
      </c>
      <c r="H27" s="198">
        <v>25</v>
      </c>
      <c r="I27" s="198">
        <v>25</v>
      </c>
      <c r="J27" s="198">
        <v>25</v>
      </c>
      <c r="K27" s="198">
        <v>25</v>
      </c>
      <c r="L27" s="198">
        <v>25</v>
      </c>
      <c r="M27" s="198">
        <v>25</v>
      </c>
      <c r="N27" s="221">
        <v>25</v>
      </c>
      <c r="O27" s="221">
        <v>25</v>
      </c>
      <c r="P27" s="221">
        <v>25</v>
      </c>
      <c r="Q27" s="219"/>
      <c r="R27" s="219"/>
      <c r="S27" s="220"/>
      <c r="T27" s="192"/>
    </row>
    <row r="28" spans="3:20" s="191" customFormat="1" ht="52.5" customHeight="1" x14ac:dyDescent="0.2">
      <c r="C28" s="211" t="s">
        <v>638</v>
      </c>
      <c r="D28" s="222" t="s">
        <v>639</v>
      </c>
      <c r="E28" s="213"/>
      <c r="F28" s="178">
        <f t="shared" si="6"/>
        <v>290.41034999999999</v>
      </c>
      <c r="G28" s="179">
        <f t="shared" ref="G28:P28" si="7">G29+G30+G31+G32+G33</f>
        <v>0</v>
      </c>
      <c r="H28" s="179">
        <f t="shared" si="7"/>
        <v>100</v>
      </c>
      <c r="I28" s="179">
        <f>I29+I30+I31+I32+I33</f>
        <v>56.665999999999997</v>
      </c>
      <c r="J28" s="179">
        <f t="shared" si="7"/>
        <v>40.931350000000002</v>
      </c>
      <c r="K28" s="179">
        <f t="shared" si="7"/>
        <v>0</v>
      </c>
      <c r="L28" s="179">
        <f t="shared" si="7"/>
        <v>60</v>
      </c>
      <c r="M28" s="179">
        <f t="shared" si="7"/>
        <v>0</v>
      </c>
      <c r="N28" s="179">
        <f t="shared" si="7"/>
        <v>32.813000000000002</v>
      </c>
      <c r="O28" s="179">
        <f t="shared" si="7"/>
        <v>0</v>
      </c>
      <c r="P28" s="179">
        <f t="shared" si="7"/>
        <v>0</v>
      </c>
      <c r="Q28" s="219"/>
      <c r="R28" s="219"/>
      <c r="S28" s="220"/>
      <c r="T28" s="192"/>
    </row>
    <row r="29" spans="3:20" s="183" customFormat="1" ht="42.75" hidden="1" customHeight="1" x14ac:dyDescent="0.25">
      <c r="C29" s="194" t="s">
        <v>640</v>
      </c>
      <c r="D29" s="216" t="s">
        <v>641</v>
      </c>
      <c r="E29" s="223"/>
      <c r="F29" s="206">
        <f t="shared" si="6"/>
        <v>0</v>
      </c>
      <c r="G29" s="198"/>
      <c r="H29" s="198"/>
      <c r="I29" s="198"/>
      <c r="J29" s="198"/>
      <c r="K29" s="198"/>
      <c r="L29" s="198"/>
      <c r="M29" s="198"/>
      <c r="N29" s="221"/>
      <c r="O29" s="221"/>
      <c r="P29" s="224">
        <f>600-600</f>
        <v>0</v>
      </c>
      <c r="Q29" s="225"/>
      <c r="R29" s="225"/>
      <c r="S29" s="226"/>
      <c r="T29" s="182"/>
    </row>
    <row r="30" spans="3:20" s="183" customFormat="1" ht="61.5" customHeight="1" x14ac:dyDescent="0.25">
      <c r="C30" s="194" t="s">
        <v>642</v>
      </c>
      <c r="D30" s="216" t="s">
        <v>643</v>
      </c>
      <c r="E30" s="223"/>
      <c r="F30" s="206">
        <f t="shared" si="6"/>
        <v>290.41034999999999</v>
      </c>
      <c r="G30" s="198"/>
      <c r="H30" s="198">
        <v>100</v>
      </c>
      <c r="I30" s="198">
        <f>31.666+25</f>
        <v>56.665999999999997</v>
      </c>
      <c r="J30" s="198">
        <v>40.931350000000002</v>
      </c>
      <c r="K30" s="198"/>
      <c r="L30" s="198">
        <f>30+30</f>
        <v>60</v>
      </c>
      <c r="M30" s="198"/>
      <c r="N30" s="198">
        <v>32.813000000000002</v>
      </c>
      <c r="O30" s="221"/>
      <c r="P30" s="224"/>
      <c r="Q30" s="225"/>
      <c r="R30" s="225"/>
      <c r="S30" s="226"/>
      <c r="T30" s="182"/>
    </row>
    <row r="31" spans="3:20" s="183" customFormat="1" ht="40.5" hidden="1" customHeight="1" x14ac:dyDescent="0.25">
      <c r="C31" s="194" t="s">
        <v>644</v>
      </c>
      <c r="D31" s="227" t="s">
        <v>645</v>
      </c>
      <c r="E31" s="223"/>
      <c r="F31" s="206">
        <f t="shared" si="6"/>
        <v>0</v>
      </c>
      <c r="G31" s="198"/>
      <c r="H31" s="198"/>
      <c r="I31" s="198"/>
      <c r="J31" s="198"/>
      <c r="K31" s="198"/>
      <c r="L31" s="198"/>
      <c r="M31" s="198"/>
      <c r="N31" s="221"/>
      <c r="O31" s="221"/>
      <c r="P31" s="224"/>
      <c r="Q31" s="225"/>
      <c r="R31" s="225"/>
      <c r="S31" s="226"/>
      <c r="T31" s="182"/>
    </row>
    <row r="32" spans="3:20" s="183" customFormat="1" ht="41.25" hidden="1" customHeight="1" x14ac:dyDescent="0.25">
      <c r="C32" s="194" t="s">
        <v>646</v>
      </c>
      <c r="D32" s="227" t="s">
        <v>647</v>
      </c>
      <c r="E32" s="223"/>
      <c r="F32" s="206">
        <f t="shared" si="6"/>
        <v>0</v>
      </c>
      <c r="G32" s="198"/>
      <c r="H32" s="198"/>
      <c r="I32" s="198"/>
      <c r="J32" s="198"/>
      <c r="K32" s="198"/>
      <c r="L32" s="198"/>
      <c r="M32" s="198"/>
      <c r="N32" s="221"/>
      <c r="O32" s="221"/>
      <c r="P32" s="224"/>
      <c r="Q32" s="225"/>
      <c r="R32" s="225"/>
      <c r="S32" s="226"/>
      <c r="T32" s="182"/>
    </row>
    <row r="33" spans="3:48" s="183" customFormat="1" ht="26.25" hidden="1" x14ac:dyDescent="0.25">
      <c r="C33" s="194" t="s">
        <v>648</v>
      </c>
      <c r="D33" s="228" t="s">
        <v>649</v>
      </c>
      <c r="E33" s="223"/>
      <c r="F33" s="206">
        <f t="shared" si="6"/>
        <v>0</v>
      </c>
      <c r="G33" s="198"/>
      <c r="H33" s="198"/>
      <c r="I33" s="198"/>
      <c r="J33" s="198"/>
      <c r="K33" s="198"/>
      <c r="L33" s="198"/>
      <c r="M33" s="198"/>
      <c r="N33" s="221"/>
      <c r="O33" s="221"/>
      <c r="P33" s="224"/>
      <c r="Q33" s="225"/>
      <c r="R33" s="225"/>
      <c r="S33" s="226"/>
      <c r="T33" s="182"/>
    </row>
    <row r="34" spans="3:48" s="183" customFormat="1" ht="15.75" hidden="1" x14ac:dyDescent="0.25">
      <c r="C34" s="211" t="s">
        <v>650</v>
      </c>
      <c r="D34" s="212" t="s">
        <v>651</v>
      </c>
      <c r="E34" s="223"/>
      <c r="F34" s="229">
        <f t="shared" si="6"/>
        <v>0</v>
      </c>
      <c r="G34" s="198"/>
      <c r="H34" s="198"/>
      <c r="I34" s="198"/>
      <c r="J34" s="198"/>
      <c r="K34" s="198"/>
      <c r="L34" s="198"/>
      <c r="M34" s="198"/>
      <c r="N34" s="221"/>
      <c r="O34" s="221"/>
      <c r="P34" s="224"/>
      <c r="Q34" s="225"/>
      <c r="R34" s="225"/>
      <c r="S34" s="226"/>
      <c r="T34" s="182"/>
    </row>
    <row r="35" spans="3:48" s="232" customFormat="1" ht="27.75" customHeight="1" x14ac:dyDescent="0.2">
      <c r="C35" s="230"/>
      <c r="D35" s="230" t="s">
        <v>652</v>
      </c>
      <c r="E35" s="230"/>
      <c r="F35" s="231">
        <f>F7</f>
        <v>45400.763770000012</v>
      </c>
      <c r="G35" s="231">
        <f t="shared" ref="G35:P35" si="8">G7</f>
        <v>4552.3834999999999</v>
      </c>
      <c r="H35" s="231">
        <f t="shared" si="8"/>
        <v>5880.1310000000003</v>
      </c>
      <c r="I35" s="231">
        <f t="shared" si="8"/>
        <v>4862.4580400000004</v>
      </c>
      <c r="J35" s="231">
        <f t="shared" si="8"/>
        <v>5161.2920299999996</v>
      </c>
      <c r="K35" s="231">
        <f t="shared" si="8"/>
        <v>2836.5950000000003</v>
      </c>
      <c r="L35" s="231">
        <f t="shared" si="8"/>
        <v>4158.5789999999997</v>
      </c>
      <c r="M35" s="231">
        <f t="shared" si="8"/>
        <v>3366.2599999999998</v>
      </c>
      <c r="N35" s="231">
        <f t="shared" si="8"/>
        <v>4330.7080000000005</v>
      </c>
      <c r="O35" s="231">
        <f t="shared" si="8"/>
        <v>7138.4708000000001</v>
      </c>
      <c r="P35" s="231">
        <f t="shared" si="8"/>
        <v>3113.8864000000003</v>
      </c>
    </row>
    <row r="36" spans="3:48" x14ac:dyDescent="0.2">
      <c r="C36" s="233"/>
      <c r="D36" s="233"/>
      <c r="E36" s="233"/>
      <c r="F36" s="234">
        <v>45400.763769999998</v>
      </c>
      <c r="G36" s="234"/>
      <c r="H36" s="233"/>
      <c r="I36" s="233"/>
      <c r="J36" s="233"/>
      <c r="K36" s="233"/>
      <c r="L36" s="233"/>
      <c r="M36" s="233"/>
      <c r="T36" s="233"/>
      <c r="U36" s="233"/>
      <c r="V36" s="233"/>
      <c r="W36" s="233"/>
      <c r="X36" s="233"/>
      <c r="Y36" s="233"/>
      <c r="Z36" s="233"/>
      <c r="AA36" s="233"/>
      <c r="AB36" s="233"/>
      <c r="AC36" s="233"/>
      <c r="AD36" s="233"/>
      <c r="AE36" s="233"/>
      <c r="AF36" s="233"/>
      <c r="AG36" s="233"/>
      <c r="AH36" s="233"/>
      <c r="AI36" s="233"/>
      <c r="AJ36" s="233"/>
      <c r="AK36" s="233"/>
      <c r="AL36" s="233"/>
      <c r="AM36" s="233"/>
      <c r="AN36" s="233"/>
      <c r="AO36" s="233"/>
      <c r="AP36" s="233"/>
      <c r="AQ36" s="233"/>
      <c r="AR36" s="233"/>
      <c r="AS36" s="233"/>
      <c r="AT36" s="233"/>
      <c r="AU36" s="233"/>
      <c r="AV36" s="233"/>
    </row>
    <row r="37" spans="3:48" x14ac:dyDescent="0.2">
      <c r="F37" s="234">
        <f>F35-F36</f>
        <v>0</v>
      </c>
    </row>
    <row r="39" spans="3:48" x14ac:dyDescent="0.2">
      <c r="F39" s="234"/>
    </row>
  </sheetData>
  <mergeCells count="5">
    <mergeCell ref="C2:N2"/>
    <mergeCell ref="D4:D5"/>
    <mergeCell ref="E4:E5"/>
    <mergeCell ref="F4:F5"/>
    <mergeCell ref="G4:P4"/>
  </mergeCells>
  <pageMargins left="0" right="0" top="0.94488188976377963" bottom="0.15748031496062992" header="0" footer="0"/>
  <pageSetup paperSize="9" scale="58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92D050"/>
  </sheetPr>
  <dimension ref="A1:J35"/>
  <sheetViews>
    <sheetView view="pageBreakPreview" zoomScaleNormal="100" zoomScaleSheetLayoutView="100" workbookViewId="0">
      <selection activeCell="H1" sqref="H1"/>
    </sheetView>
  </sheetViews>
  <sheetFormatPr defaultRowHeight="15" x14ac:dyDescent="0.25"/>
  <cols>
    <col min="1" max="1" width="47" style="98" customWidth="1"/>
    <col min="2" max="2" width="12" style="98" customWidth="1"/>
    <col min="3" max="4" width="13.140625" style="98" customWidth="1"/>
    <col min="5" max="6" width="11.140625" customWidth="1"/>
    <col min="7" max="7" width="12" customWidth="1"/>
    <col min="8" max="8" width="11.5703125" style="100" bestFit="1" customWidth="1"/>
    <col min="9" max="9" width="12.140625" style="100" bestFit="1" customWidth="1"/>
    <col min="10" max="10" width="11" style="100" bestFit="1" customWidth="1"/>
    <col min="251" max="251" width="36.85546875" customWidth="1"/>
    <col min="252" max="252" width="12" customWidth="1"/>
    <col min="253" max="253" width="19.7109375" customWidth="1"/>
    <col min="254" max="254" width="38.85546875" customWidth="1"/>
    <col min="507" max="507" width="36.85546875" customWidth="1"/>
    <col min="508" max="508" width="12" customWidth="1"/>
    <col min="509" max="509" width="19.7109375" customWidth="1"/>
    <col min="510" max="510" width="38.85546875" customWidth="1"/>
    <col min="763" max="763" width="36.85546875" customWidth="1"/>
    <col min="764" max="764" width="12" customWidth="1"/>
    <col min="765" max="765" width="19.7109375" customWidth="1"/>
    <col min="766" max="766" width="38.85546875" customWidth="1"/>
    <col min="1019" max="1019" width="36.85546875" customWidth="1"/>
    <col min="1020" max="1020" width="12" customWidth="1"/>
    <col min="1021" max="1021" width="19.7109375" customWidth="1"/>
    <col min="1022" max="1022" width="38.85546875" customWidth="1"/>
    <col min="1275" max="1275" width="36.85546875" customWidth="1"/>
    <col min="1276" max="1276" width="12" customWidth="1"/>
    <col min="1277" max="1277" width="19.7109375" customWidth="1"/>
    <col min="1278" max="1278" width="38.85546875" customWidth="1"/>
    <col min="1531" max="1531" width="36.85546875" customWidth="1"/>
    <col min="1532" max="1532" width="12" customWidth="1"/>
    <col min="1533" max="1533" width="19.7109375" customWidth="1"/>
    <col min="1534" max="1534" width="38.85546875" customWidth="1"/>
    <col min="1787" max="1787" width="36.85546875" customWidth="1"/>
    <col min="1788" max="1788" width="12" customWidth="1"/>
    <col min="1789" max="1789" width="19.7109375" customWidth="1"/>
    <col min="1790" max="1790" width="38.85546875" customWidth="1"/>
    <col min="2043" max="2043" width="36.85546875" customWidth="1"/>
    <col min="2044" max="2044" width="12" customWidth="1"/>
    <col min="2045" max="2045" width="19.7109375" customWidth="1"/>
    <col min="2046" max="2046" width="38.85546875" customWidth="1"/>
    <col min="2299" max="2299" width="36.85546875" customWidth="1"/>
    <col min="2300" max="2300" width="12" customWidth="1"/>
    <col min="2301" max="2301" width="19.7109375" customWidth="1"/>
    <col min="2302" max="2302" width="38.85546875" customWidth="1"/>
    <col min="2555" max="2555" width="36.85546875" customWidth="1"/>
    <col min="2556" max="2556" width="12" customWidth="1"/>
    <col min="2557" max="2557" width="19.7109375" customWidth="1"/>
    <col min="2558" max="2558" width="38.85546875" customWidth="1"/>
    <col min="2811" max="2811" width="36.85546875" customWidth="1"/>
    <col min="2812" max="2812" width="12" customWidth="1"/>
    <col min="2813" max="2813" width="19.7109375" customWidth="1"/>
    <col min="2814" max="2814" width="38.85546875" customWidth="1"/>
    <col min="3067" max="3067" width="36.85546875" customWidth="1"/>
    <col min="3068" max="3068" width="12" customWidth="1"/>
    <col min="3069" max="3069" width="19.7109375" customWidth="1"/>
    <col min="3070" max="3070" width="38.85546875" customWidth="1"/>
    <col min="3323" max="3323" width="36.85546875" customWidth="1"/>
    <col min="3324" max="3324" width="12" customWidth="1"/>
    <col min="3325" max="3325" width="19.7109375" customWidth="1"/>
    <col min="3326" max="3326" width="38.85546875" customWidth="1"/>
    <col min="3579" max="3579" width="36.85546875" customWidth="1"/>
    <col min="3580" max="3580" width="12" customWidth="1"/>
    <col min="3581" max="3581" width="19.7109375" customWidth="1"/>
    <col min="3582" max="3582" width="38.85546875" customWidth="1"/>
    <col min="3835" max="3835" width="36.85546875" customWidth="1"/>
    <col min="3836" max="3836" width="12" customWidth="1"/>
    <col min="3837" max="3837" width="19.7109375" customWidth="1"/>
    <col min="3838" max="3838" width="38.85546875" customWidth="1"/>
    <col min="4091" max="4091" width="36.85546875" customWidth="1"/>
    <col min="4092" max="4092" width="12" customWidth="1"/>
    <col min="4093" max="4093" width="19.7109375" customWidth="1"/>
    <col min="4094" max="4094" width="38.85546875" customWidth="1"/>
    <col min="4347" max="4347" width="36.85546875" customWidth="1"/>
    <col min="4348" max="4348" width="12" customWidth="1"/>
    <col min="4349" max="4349" width="19.7109375" customWidth="1"/>
    <col min="4350" max="4350" width="38.85546875" customWidth="1"/>
    <col min="4603" max="4603" width="36.85546875" customWidth="1"/>
    <col min="4604" max="4604" width="12" customWidth="1"/>
    <col min="4605" max="4605" width="19.7109375" customWidth="1"/>
    <col min="4606" max="4606" width="38.85546875" customWidth="1"/>
    <col min="4859" max="4859" width="36.85546875" customWidth="1"/>
    <col min="4860" max="4860" width="12" customWidth="1"/>
    <col min="4861" max="4861" width="19.7109375" customWidth="1"/>
    <col min="4862" max="4862" width="38.85546875" customWidth="1"/>
    <col min="5115" max="5115" width="36.85546875" customWidth="1"/>
    <col min="5116" max="5116" width="12" customWidth="1"/>
    <col min="5117" max="5117" width="19.7109375" customWidth="1"/>
    <col min="5118" max="5118" width="38.85546875" customWidth="1"/>
    <col min="5371" max="5371" width="36.85546875" customWidth="1"/>
    <col min="5372" max="5372" width="12" customWidth="1"/>
    <col min="5373" max="5373" width="19.7109375" customWidth="1"/>
    <col min="5374" max="5374" width="38.85546875" customWidth="1"/>
    <col min="5627" max="5627" width="36.85546875" customWidth="1"/>
    <col min="5628" max="5628" width="12" customWidth="1"/>
    <col min="5629" max="5629" width="19.7109375" customWidth="1"/>
    <col min="5630" max="5630" width="38.85546875" customWidth="1"/>
    <col min="5883" max="5883" width="36.85546875" customWidth="1"/>
    <col min="5884" max="5884" width="12" customWidth="1"/>
    <col min="5885" max="5885" width="19.7109375" customWidth="1"/>
    <col min="5886" max="5886" width="38.85546875" customWidth="1"/>
    <col min="6139" max="6139" width="36.85546875" customWidth="1"/>
    <col min="6140" max="6140" width="12" customWidth="1"/>
    <col min="6141" max="6141" width="19.7109375" customWidth="1"/>
    <col min="6142" max="6142" width="38.85546875" customWidth="1"/>
    <col min="6395" max="6395" width="36.85546875" customWidth="1"/>
    <col min="6396" max="6396" width="12" customWidth="1"/>
    <col min="6397" max="6397" width="19.7109375" customWidth="1"/>
    <col min="6398" max="6398" width="38.85546875" customWidth="1"/>
    <col min="6651" max="6651" width="36.85546875" customWidth="1"/>
    <col min="6652" max="6652" width="12" customWidth="1"/>
    <col min="6653" max="6653" width="19.7109375" customWidth="1"/>
    <col min="6654" max="6654" width="38.85546875" customWidth="1"/>
    <col min="6907" max="6907" width="36.85546875" customWidth="1"/>
    <col min="6908" max="6908" width="12" customWidth="1"/>
    <col min="6909" max="6909" width="19.7109375" customWidth="1"/>
    <col min="6910" max="6910" width="38.85546875" customWidth="1"/>
    <col min="7163" max="7163" width="36.85546875" customWidth="1"/>
    <col min="7164" max="7164" width="12" customWidth="1"/>
    <col min="7165" max="7165" width="19.7109375" customWidth="1"/>
    <col min="7166" max="7166" width="38.85546875" customWidth="1"/>
    <col min="7419" max="7419" width="36.85546875" customWidth="1"/>
    <col min="7420" max="7420" width="12" customWidth="1"/>
    <col min="7421" max="7421" width="19.7109375" customWidth="1"/>
    <col min="7422" max="7422" width="38.85546875" customWidth="1"/>
    <col min="7675" max="7675" width="36.85546875" customWidth="1"/>
    <col min="7676" max="7676" width="12" customWidth="1"/>
    <col min="7677" max="7677" width="19.7109375" customWidth="1"/>
    <col min="7678" max="7678" width="38.85546875" customWidth="1"/>
    <col min="7931" max="7931" width="36.85546875" customWidth="1"/>
    <col min="7932" max="7932" width="12" customWidth="1"/>
    <col min="7933" max="7933" width="19.7109375" customWidth="1"/>
    <col min="7934" max="7934" width="38.85546875" customWidth="1"/>
    <col min="8187" max="8187" width="36.85546875" customWidth="1"/>
    <col min="8188" max="8188" width="12" customWidth="1"/>
    <col min="8189" max="8189" width="19.7109375" customWidth="1"/>
    <col min="8190" max="8190" width="38.85546875" customWidth="1"/>
    <col min="8443" max="8443" width="36.85546875" customWidth="1"/>
    <col min="8444" max="8444" width="12" customWidth="1"/>
    <col min="8445" max="8445" width="19.7109375" customWidth="1"/>
    <col min="8446" max="8446" width="38.85546875" customWidth="1"/>
    <col min="8699" max="8699" width="36.85546875" customWidth="1"/>
    <col min="8700" max="8700" width="12" customWidth="1"/>
    <col min="8701" max="8701" width="19.7109375" customWidth="1"/>
    <col min="8702" max="8702" width="38.85546875" customWidth="1"/>
    <col min="8955" max="8955" width="36.85546875" customWidth="1"/>
    <col min="8956" max="8956" width="12" customWidth="1"/>
    <col min="8957" max="8957" width="19.7109375" customWidth="1"/>
    <col min="8958" max="8958" width="38.85546875" customWidth="1"/>
    <col min="9211" max="9211" width="36.85546875" customWidth="1"/>
    <col min="9212" max="9212" width="12" customWidth="1"/>
    <col min="9213" max="9213" width="19.7109375" customWidth="1"/>
    <col min="9214" max="9214" width="38.85546875" customWidth="1"/>
    <col min="9467" max="9467" width="36.85546875" customWidth="1"/>
    <col min="9468" max="9468" width="12" customWidth="1"/>
    <col min="9469" max="9469" width="19.7109375" customWidth="1"/>
    <col min="9470" max="9470" width="38.85546875" customWidth="1"/>
    <col min="9723" max="9723" width="36.85546875" customWidth="1"/>
    <col min="9724" max="9724" width="12" customWidth="1"/>
    <col min="9725" max="9725" width="19.7109375" customWidth="1"/>
    <col min="9726" max="9726" width="38.85546875" customWidth="1"/>
    <col min="9979" max="9979" width="36.85546875" customWidth="1"/>
    <col min="9980" max="9980" width="12" customWidth="1"/>
    <col min="9981" max="9981" width="19.7109375" customWidth="1"/>
    <col min="9982" max="9982" width="38.85546875" customWidth="1"/>
    <col min="10235" max="10235" width="36.85546875" customWidth="1"/>
    <col min="10236" max="10236" width="12" customWidth="1"/>
    <col min="10237" max="10237" width="19.7109375" customWidth="1"/>
    <col min="10238" max="10238" width="38.85546875" customWidth="1"/>
    <col min="10491" max="10491" width="36.85546875" customWidth="1"/>
    <col min="10492" max="10492" width="12" customWidth="1"/>
    <col min="10493" max="10493" width="19.7109375" customWidth="1"/>
    <col min="10494" max="10494" width="38.85546875" customWidth="1"/>
    <col min="10747" max="10747" width="36.85546875" customWidth="1"/>
    <col min="10748" max="10748" width="12" customWidth="1"/>
    <col min="10749" max="10749" width="19.7109375" customWidth="1"/>
    <col min="10750" max="10750" width="38.85546875" customWidth="1"/>
    <col min="11003" max="11003" width="36.85546875" customWidth="1"/>
    <col min="11004" max="11004" width="12" customWidth="1"/>
    <col min="11005" max="11005" width="19.7109375" customWidth="1"/>
    <col min="11006" max="11006" width="38.85546875" customWidth="1"/>
    <col min="11259" max="11259" width="36.85546875" customWidth="1"/>
    <col min="11260" max="11260" width="12" customWidth="1"/>
    <col min="11261" max="11261" width="19.7109375" customWidth="1"/>
    <col min="11262" max="11262" width="38.85546875" customWidth="1"/>
    <col min="11515" max="11515" width="36.85546875" customWidth="1"/>
    <col min="11516" max="11516" width="12" customWidth="1"/>
    <col min="11517" max="11517" width="19.7109375" customWidth="1"/>
    <col min="11518" max="11518" width="38.85546875" customWidth="1"/>
    <col min="11771" max="11771" width="36.85546875" customWidth="1"/>
    <col min="11772" max="11772" width="12" customWidth="1"/>
    <col min="11773" max="11773" width="19.7109375" customWidth="1"/>
    <col min="11774" max="11774" width="38.85546875" customWidth="1"/>
    <col min="12027" max="12027" width="36.85546875" customWidth="1"/>
    <col min="12028" max="12028" width="12" customWidth="1"/>
    <col min="12029" max="12029" width="19.7109375" customWidth="1"/>
    <col min="12030" max="12030" width="38.85546875" customWidth="1"/>
    <col min="12283" max="12283" width="36.85546875" customWidth="1"/>
    <col min="12284" max="12284" width="12" customWidth="1"/>
    <col min="12285" max="12285" width="19.7109375" customWidth="1"/>
    <col min="12286" max="12286" width="38.85546875" customWidth="1"/>
    <col min="12539" max="12539" width="36.85546875" customWidth="1"/>
    <col min="12540" max="12540" width="12" customWidth="1"/>
    <col min="12541" max="12541" width="19.7109375" customWidth="1"/>
    <col min="12542" max="12542" width="38.85546875" customWidth="1"/>
    <col min="12795" max="12795" width="36.85546875" customWidth="1"/>
    <col min="12796" max="12796" width="12" customWidth="1"/>
    <col min="12797" max="12797" width="19.7109375" customWidth="1"/>
    <col min="12798" max="12798" width="38.85546875" customWidth="1"/>
    <col min="13051" max="13051" width="36.85546875" customWidth="1"/>
    <col min="13052" max="13052" width="12" customWidth="1"/>
    <col min="13053" max="13053" width="19.7109375" customWidth="1"/>
    <col min="13054" max="13054" width="38.85546875" customWidth="1"/>
    <col min="13307" max="13307" width="36.85546875" customWidth="1"/>
    <col min="13308" max="13308" width="12" customWidth="1"/>
    <col min="13309" max="13309" width="19.7109375" customWidth="1"/>
    <col min="13310" max="13310" width="38.85546875" customWidth="1"/>
    <col min="13563" max="13563" width="36.85546875" customWidth="1"/>
    <col min="13564" max="13564" width="12" customWidth="1"/>
    <col min="13565" max="13565" width="19.7109375" customWidth="1"/>
    <col min="13566" max="13566" width="38.85546875" customWidth="1"/>
    <col min="13819" max="13819" width="36.85546875" customWidth="1"/>
    <col min="13820" max="13820" width="12" customWidth="1"/>
    <col min="13821" max="13821" width="19.7109375" customWidth="1"/>
    <col min="13822" max="13822" width="38.85546875" customWidth="1"/>
    <col min="14075" max="14075" width="36.85546875" customWidth="1"/>
    <col min="14076" max="14076" width="12" customWidth="1"/>
    <col min="14077" max="14077" width="19.7109375" customWidth="1"/>
    <col min="14078" max="14078" width="38.85546875" customWidth="1"/>
    <col min="14331" max="14331" width="36.85546875" customWidth="1"/>
    <col min="14332" max="14332" width="12" customWidth="1"/>
    <col min="14333" max="14333" width="19.7109375" customWidth="1"/>
    <col min="14334" max="14334" width="38.85546875" customWidth="1"/>
    <col min="14587" max="14587" width="36.85546875" customWidth="1"/>
    <col min="14588" max="14588" width="12" customWidth="1"/>
    <col min="14589" max="14589" width="19.7109375" customWidth="1"/>
    <col min="14590" max="14590" width="38.85546875" customWidth="1"/>
    <col min="14843" max="14843" width="36.85546875" customWidth="1"/>
    <col min="14844" max="14844" width="12" customWidth="1"/>
    <col min="14845" max="14845" width="19.7109375" customWidth="1"/>
    <col min="14846" max="14846" width="38.85546875" customWidth="1"/>
    <col min="15099" max="15099" width="36.85546875" customWidth="1"/>
    <col min="15100" max="15100" width="12" customWidth="1"/>
    <col min="15101" max="15101" width="19.7109375" customWidth="1"/>
    <col min="15102" max="15102" width="38.85546875" customWidth="1"/>
    <col min="15355" max="15355" width="36.85546875" customWidth="1"/>
    <col min="15356" max="15356" width="12" customWidth="1"/>
    <col min="15357" max="15357" width="19.7109375" customWidth="1"/>
    <col min="15358" max="15358" width="38.85546875" customWidth="1"/>
    <col min="15611" max="15611" width="36.85546875" customWidth="1"/>
    <col min="15612" max="15612" width="12" customWidth="1"/>
    <col min="15613" max="15613" width="19.7109375" customWidth="1"/>
    <col min="15614" max="15614" width="38.85546875" customWidth="1"/>
    <col min="15867" max="15867" width="36.85546875" customWidth="1"/>
    <col min="15868" max="15868" width="12" customWidth="1"/>
    <col min="15869" max="15869" width="19.7109375" customWidth="1"/>
    <col min="15870" max="15870" width="38.85546875" customWidth="1"/>
    <col min="16123" max="16123" width="36.85546875" customWidth="1"/>
    <col min="16124" max="16124" width="12" customWidth="1"/>
    <col min="16125" max="16125" width="19.7109375" customWidth="1"/>
    <col min="16126" max="16126" width="38.85546875" customWidth="1"/>
  </cols>
  <sheetData>
    <row r="1" spans="1:10" x14ac:dyDescent="0.25">
      <c r="C1" s="99"/>
      <c r="D1" s="99"/>
      <c r="H1" s="354" t="s">
        <v>844</v>
      </c>
    </row>
    <row r="2" spans="1:10" s="101" customFormat="1" ht="18" x14ac:dyDescent="0.25">
      <c r="A2" s="426" t="s">
        <v>689</v>
      </c>
      <c r="B2" s="426"/>
      <c r="C2" s="426"/>
      <c r="D2" s="426"/>
      <c r="E2" s="414"/>
      <c r="F2" s="414"/>
      <c r="G2" s="414"/>
      <c r="H2" s="414"/>
      <c r="I2" s="414"/>
      <c r="J2" s="414"/>
    </row>
    <row r="3" spans="1:10" s="101" customFormat="1" ht="52.5" customHeight="1" x14ac:dyDescent="0.25">
      <c r="A3" s="427"/>
      <c r="B3" s="427"/>
      <c r="C3" s="427"/>
      <c r="D3" s="427"/>
      <c r="E3" s="414"/>
      <c r="F3" s="414"/>
      <c r="G3" s="414"/>
      <c r="H3" s="414"/>
      <c r="I3" s="414"/>
      <c r="J3" s="414"/>
    </row>
    <row r="4" spans="1:10" ht="15.75" customHeight="1" x14ac:dyDescent="0.25">
      <c r="D4" s="102"/>
      <c r="I4" s="428" t="s">
        <v>144</v>
      </c>
      <c r="J4" s="429"/>
    </row>
    <row r="5" spans="1:10" s="101" customFormat="1" ht="18" customHeight="1" x14ac:dyDescent="0.25">
      <c r="A5" s="430" t="s">
        <v>583</v>
      </c>
      <c r="B5" s="431" t="s">
        <v>584</v>
      </c>
      <c r="C5" s="432"/>
      <c r="D5" s="433"/>
      <c r="E5" s="434" t="s">
        <v>656</v>
      </c>
      <c r="F5" s="435"/>
      <c r="G5" s="436"/>
      <c r="H5" s="431" t="s">
        <v>658</v>
      </c>
      <c r="I5" s="432"/>
      <c r="J5" s="433"/>
    </row>
    <row r="6" spans="1:10" s="101" customFormat="1" ht="122.25" customHeight="1" x14ac:dyDescent="0.25">
      <c r="A6" s="430"/>
      <c r="B6" s="103" t="s">
        <v>585</v>
      </c>
      <c r="C6" s="103" t="s">
        <v>586</v>
      </c>
      <c r="D6" s="104" t="s">
        <v>587</v>
      </c>
      <c r="E6" s="104" t="s">
        <v>203</v>
      </c>
      <c r="F6" s="103" t="s">
        <v>586</v>
      </c>
      <c r="G6" s="104" t="s">
        <v>587</v>
      </c>
      <c r="H6" s="105" t="s">
        <v>585</v>
      </c>
      <c r="I6" s="105" t="s">
        <v>586</v>
      </c>
      <c r="J6" s="106" t="s">
        <v>587</v>
      </c>
    </row>
    <row r="7" spans="1:10" s="101" customFormat="1" ht="39" hidden="1" x14ac:dyDescent="0.25">
      <c r="A7" s="107" t="s">
        <v>588</v>
      </c>
      <c r="B7" s="108">
        <f>B8</f>
        <v>0</v>
      </c>
      <c r="C7" s="108">
        <f>C8</f>
        <v>0</v>
      </c>
      <c r="D7" s="108">
        <f>D8</f>
        <v>0</v>
      </c>
      <c r="E7" s="109">
        <f>SUM(F7:G7)</f>
        <v>0</v>
      </c>
      <c r="F7" s="109">
        <f>F8</f>
        <v>0</v>
      </c>
      <c r="G7" s="109">
        <f>G8</f>
        <v>0</v>
      </c>
      <c r="H7" s="110">
        <f>H8</f>
        <v>0</v>
      </c>
      <c r="I7" s="110">
        <f>I8</f>
        <v>0</v>
      </c>
      <c r="J7" s="110">
        <f>J8</f>
        <v>0</v>
      </c>
    </row>
    <row r="8" spans="1:10" s="101" customFormat="1" ht="18" hidden="1" x14ac:dyDescent="0.25">
      <c r="A8" s="107" t="s">
        <v>589</v>
      </c>
      <c r="B8" s="108">
        <f t="shared" ref="B8:J8" si="0">B9+B11+B12+B13+B10</f>
        <v>0</v>
      </c>
      <c r="C8" s="108">
        <f t="shared" si="0"/>
        <v>0</v>
      </c>
      <c r="D8" s="108">
        <f t="shared" si="0"/>
        <v>0</v>
      </c>
      <c r="E8" s="108">
        <f t="shared" si="0"/>
        <v>0</v>
      </c>
      <c r="F8" s="108">
        <f t="shared" si="0"/>
        <v>0</v>
      </c>
      <c r="G8" s="108">
        <f t="shared" si="0"/>
        <v>0</v>
      </c>
      <c r="H8" s="110">
        <f t="shared" si="0"/>
        <v>0</v>
      </c>
      <c r="I8" s="110">
        <f t="shared" si="0"/>
        <v>0</v>
      </c>
      <c r="J8" s="110">
        <f t="shared" si="0"/>
        <v>0</v>
      </c>
    </row>
    <row r="9" spans="1:10" s="101" customFormat="1" ht="25.5" hidden="1" x14ac:dyDescent="0.25">
      <c r="A9" s="111" t="s">
        <v>590</v>
      </c>
      <c r="B9" s="108">
        <f>SUM(C9:D9)</f>
        <v>0</v>
      </c>
      <c r="C9" s="108"/>
      <c r="D9" s="108"/>
      <c r="E9" s="109">
        <f t="shared" ref="E9:E17" si="1">SUM(F9:G9)</f>
        <v>0</v>
      </c>
      <c r="F9" s="109"/>
      <c r="G9" s="109"/>
      <c r="H9" s="110">
        <f>SUM(I9:J9)</f>
        <v>0</v>
      </c>
      <c r="I9" s="110"/>
      <c r="J9" s="110"/>
    </row>
    <row r="10" spans="1:10" s="101" customFormat="1" ht="25.5" hidden="1" x14ac:dyDescent="0.25">
      <c r="A10" s="111" t="s">
        <v>591</v>
      </c>
      <c r="B10" s="108">
        <f>SUM(C10:D10)</f>
        <v>0</v>
      </c>
      <c r="C10" s="108"/>
      <c r="D10" s="108"/>
      <c r="E10" s="109">
        <f t="shared" si="1"/>
        <v>0</v>
      </c>
      <c r="F10" s="109"/>
      <c r="G10" s="109"/>
      <c r="H10" s="110">
        <f>SUM(I10:J10)</f>
        <v>0</v>
      </c>
      <c r="I10" s="110"/>
      <c r="J10" s="110"/>
    </row>
    <row r="11" spans="1:10" s="101" customFormat="1" ht="38.25" hidden="1" x14ac:dyDescent="0.25">
      <c r="A11" s="112" t="s">
        <v>592</v>
      </c>
      <c r="B11" s="108">
        <f>SUM(C11:D11)</f>
        <v>0</v>
      </c>
      <c r="C11" s="108"/>
      <c r="D11" s="108"/>
      <c r="E11" s="109">
        <f t="shared" si="1"/>
        <v>0</v>
      </c>
      <c r="F11" s="109"/>
      <c r="G11" s="109"/>
      <c r="H11" s="110">
        <f>SUM(I11:J11)</f>
        <v>0</v>
      </c>
      <c r="I11" s="110"/>
      <c r="J11" s="110"/>
    </row>
    <row r="12" spans="1:10" s="101" customFormat="1" ht="51" hidden="1" x14ac:dyDescent="0.25">
      <c r="A12" s="112" t="s">
        <v>593</v>
      </c>
      <c r="B12" s="108">
        <f>SUM(C12:D12)</f>
        <v>0</v>
      </c>
      <c r="C12" s="108"/>
      <c r="D12" s="108"/>
      <c r="E12" s="109">
        <f t="shared" si="1"/>
        <v>0</v>
      </c>
      <c r="F12" s="109"/>
      <c r="G12" s="109"/>
      <c r="H12" s="110">
        <f>SUM(I12:J12)</f>
        <v>0</v>
      </c>
      <c r="I12" s="110"/>
      <c r="J12" s="110"/>
    </row>
    <row r="13" spans="1:10" s="101" customFormat="1" ht="38.25" hidden="1" x14ac:dyDescent="0.25">
      <c r="A13" s="112" t="s">
        <v>594</v>
      </c>
      <c r="B13" s="108">
        <f>SUM(C13:D13)</f>
        <v>0</v>
      </c>
      <c r="C13" s="108"/>
      <c r="D13" s="108"/>
      <c r="E13" s="109">
        <f t="shared" si="1"/>
        <v>0</v>
      </c>
      <c r="F13" s="109"/>
      <c r="G13" s="109"/>
      <c r="H13" s="110">
        <f>SUM(I13:J13)</f>
        <v>0</v>
      </c>
      <c r="I13" s="110"/>
      <c r="J13" s="110"/>
    </row>
    <row r="14" spans="1:10" s="101" customFormat="1" ht="51.75" hidden="1" x14ac:dyDescent="0.25">
      <c r="A14" s="107" t="s">
        <v>595</v>
      </c>
      <c r="B14" s="109">
        <f t="shared" ref="B14:J14" si="2">B15</f>
        <v>0</v>
      </c>
      <c r="C14" s="109">
        <f t="shared" si="2"/>
        <v>0</v>
      </c>
      <c r="D14" s="109">
        <f t="shared" si="2"/>
        <v>0</v>
      </c>
      <c r="E14" s="109">
        <f t="shared" si="2"/>
        <v>0</v>
      </c>
      <c r="F14" s="109">
        <f t="shared" si="2"/>
        <v>0</v>
      </c>
      <c r="G14" s="109">
        <f t="shared" si="2"/>
        <v>0</v>
      </c>
      <c r="H14" s="113">
        <f t="shared" si="2"/>
        <v>0</v>
      </c>
      <c r="I14" s="113">
        <f t="shared" si="2"/>
        <v>0</v>
      </c>
      <c r="J14" s="113">
        <f t="shared" si="2"/>
        <v>0</v>
      </c>
    </row>
    <row r="15" spans="1:10" s="101" customFormat="1" ht="18" hidden="1" x14ac:dyDescent="0.25">
      <c r="A15" s="107" t="s">
        <v>596</v>
      </c>
      <c r="B15" s="108">
        <f t="shared" ref="B15:J15" si="3">B16+B17</f>
        <v>0</v>
      </c>
      <c r="C15" s="108">
        <f t="shared" si="3"/>
        <v>0</v>
      </c>
      <c r="D15" s="108">
        <f t="shared" si="3"/>
        <v>0</v>
      </c>
      <c r="E15" s="108">
        <f t="shared" si="3"/>
        <v>0</v>
      </c>
      <c r="F15" s="108">
        <f t="shared" si="3"/>
        <v>0</v>
      </c>
      <c r="G15" s="108">
        <f t="shared" si="3"/>
        <v>0</v>
      </c>
      <c r="H15" s="110">
        <f t="shared" si="3"/>
        <v>0</v>
      </c>
      <c r="I15" s="110">
        <f t="shared" si="3"/>
        <v>0</v>
      </c>
      <c r="J15" s="110">
        <f t="shared" si="3"/>
        <v>0</v>
      </c>
    </row>
    <row r="16" spans="1:10" ht="30.75" hidden="1" customHeight="1" x14ac:dyDescent="0.25">
      <c r="A16" s="114" t="s">
        <v>597</v>
      </c>
      <c r="B16" s="115">
        <f>SUM(C16:D16)</f>
        <v>0</v>
      </c>
      <c r="C16" s="115"/>
      <c r="D16" s="116"/>
      <c r="E16" s="117">
        <f t="shared" si="1"/>
        <v>0</v>
      </c>
      <c r="F16" s="118"/>
      <c r="G16" s="118"/>
      <c r="H16" s="119">
        <f>SUM(I16:J16)</f>
        <v>0</v>
      </c>
      <c r="I16" s="119"/>
      <c r="J16" s="120"/>
    </row>
    <row r="17" spans="1:10" ht="30.75" hidden="1" customHeight="1" x14ac:dyDescent="0.25">
      <c r="A17" s="112" t="s">
        <v>598</v>
      </c>
      <c r="B17" s="115">
        <f>SUM(C17:D17)</f>
        <v>0</v>
      </c>
      <c r="C17" s="115"/>
      <c r="D17" s="116"/>
      <c r="E17" s="117">
        <f t="shared" si="1"/>
        <v>0</v>
      </c>
      <c r="F17" s="118"/>
      <c r="G17" s="118"/>
      <c r="H17" s="119">
        <f>SUM(I17:J17)</f>
        <v>0</v>
      </c>
      <c r="I17" s="119"/>
      <c r="J17" s="120"/>
    </row>
    <row r="18" spans="1:10" ht="24" hidden="1" customHeight="1" x14ac:dyDescent="0.25">
      <c r="A18" s="121" t="s">
        <v>564</v>
      </c>
      <c r="B18" s="122" t="e">
        <f>B20+#REF!</f>
        <v>#REF!</v>
      </c>
      <c r="C18" s="122" t="e">
        <f>C20+#REF!</f>
        <v>#REF!</v>
      </c>
      <c r="D18" s="122" t="e">
        <f>D20+#REF!</f>
        <v>#REF!</v>
      </c>
      <c r="E18" s="122" t="e">
        <f>E20+#REF!</f>
        <v>#REF!</v>
      </c>
      <c r="F18" s="122" t="e">
        <f>F20+#REF!</f>
        <v>#REF!</v>
      </c>
      <c r="G18" s="122" t="e">
        <f>G20+#REF!</f>
        <v>#REF!</v>
      </c>
      <c r="H18" s="123" t="e">
        <f>H20+#REF!</f>
        <v>#REF!</v>
      </c>
      <c r="I18" s="123" t="e">
        <f>I20+#REF!</f>
        <v>#REF!</v>
      </c>
      <c r="J18" s="123" t="e">
        <f>J20+#REF!</f>
        <v>#REF!</v>
      </c>
    </row>
    <row r="19" spans="1:10" s="124" customFormat="1" ht="53.25" customHeight="1" x14ac:dyDescent="0.25">
      <c r="A19" s="38" t="s">
        <v>431</v>
      </c>
      <c r="B19" s="280">
        <f t="shared" ref="B19:J20" si="4">B20</f>
        <v>6592.44434</v>
      </c>
      <c r="C19" s="280">
        <f t="shared" si="4"/>
        <v>6460.5735699999996</v>
      </c>
      <c r="D19" s="280">
        <f t="shared" si="4"/>
        <v>131.87076999999999</v>
      </c>
      <c r="E19" s="280">
        <f>SUM(F19:G19)</f>
        <v>6592.44434</v>
      </c>
      <c r="F19" s="280">
        <f t="shared" si="4"/>
        <v>6460.5735699999996</v>
      </c>
      <c r="G19" s="280">
        <f t="shared" si="4"/>
        <v>131.87076999999999</v>
      </c>
      <c r="H19" s="281">
        <f>H20</f>
        <v>0</v>
      </c>
      <c r="I19" s="281">
        <f t="shared" si="4"/>
        <v>0</v>
      </c>
      <c r="J19" s="281">
        <f t="shared" si="4"/>
        <v>0</v>
      </c>
    </row>
    <row r="20" spans="1:10" s="101" customFormat="1" ht="36.75" x14ac:dyDescent="0.25">
      <c r="A20" s="38" t="s">
        <v>599</v>
      </c>
      <c r="B20" s="280">
        <f>B21</f>
        <v>6592.44434</v>
      </c>
      <c r="C20" s="280">
        <f t="shared" si="4"/>
        <v>6460.5735699999996</v>
      </c>
      <c r="D20" s="280">
        <f t="shared" si="4"/>
        <v>131.87076999999999</v>
      </c>
      <c r="E20" s="280">
        <f t="shared" si="4"/>
        <v>6592.44434</v>
      </c>
      <c r="F20" s="280">
        <f t="shared" si="4"/>
        <v>6460.5735699999996</v>
      </c>
      <c r="G20" s="280">
        <f t="shared" si="4"/>
        <v>131.87076999999999</v>
      </c>
      <c r="H20" s="281">
        <f t="shared" si="4"/>
        <v>0</v>
      </c>
      <c r="I20" s="281">
        <f t="shared" si="4"/>
        <v>0</v>
      </c>
      <c r="J20" s="281">
        <f t="shared" si="4"/>
        <v>0</v>
      </c>
    </row>
    <row r="21" spans="1:10" s="101" customFormat="1" ht="25.5" x14ac:dyDescent="0.25">
      <c r="A21" s="125" t="s">
        <v>590</v>
      </c>
      <c r="B21" s="282">
        <f>SUM(C21:D21)</f>
        <v>6592.44434</v>
      </c>
      <c r="C21" s="282">
        <v>6460.5735699999996</v>
      </c>
      <c r="D21" s="282">
        <v>131.87076999999999</v>
      </c>
      <c r="E21" s="282">
        <f>SUM(F21:G21)</f>
        <v>6592.44434</v>
      </c>
      <c r="F21" s="283">
        <f>5816.16162+644.41195</f>
        <v>6460.5735699999996</v>
      </c>
      <c r="G21" s="283">
        <f>0.02234+118.69717+13.15126</f>
        <v>131.87076999999999</v>
      </c>
      <c r="H21" s="284">
        <f>SUM(I21:J21)</f>
        <v>0</v>
      </c>
      <c r="I21" s="284">
        <f>C21-F21</f>
        <v>0</v>
      </c>
      <c r="J21" s="284">
        <f>D21-G21</f>
        <v>0</v>
      </c>
    </row>
    <row r="22" spans="1:10" s="126" customFormat="1" ht="36" customHeight="1" x14ac:dyDescent="0.25">
      <c r="A22" s="38" t="s">
        <v>207</v>
      </c>
      <c r="B22" s="280">
        <f>B23</f>
        <v>4604</v>
      </c>
      <c r="C22" s="280">
        <f t="shared" ref="C22:J22" si="5">C23</f>
        <v>0</v>
      </c>
      <c r="D22" s="280">
        <f t="shared" si="5"/>
        <v>4604</v>
      </c>
      <c r="E22" s="280">
        <f t="shared" si="5"/>
        <v>3760.2179999999998</v>
      </c>
      <c r="F22" s="280">
        <f t="shared" si="5"/>
        <v>0</v>
      </c>
      <c r="G22" s="280">
        <f t="shared" si="5"/>
        <v>3760.2179999999998</v>
      </c>
      <c r="H22" s="281">
        <f t="shared" si="5"/>
        <v>843.78200000000004</v>
      </c>
      <c r="I22" s="281">
        <f t="shared" si="5"/>
        <v>0</v>
      </c>
      <c r="J22" s="281">
        <f t="shared" si="5"/>
        <v>843.78200000000004</v>
      </c>
    </row>
    <row r="23" spans="1:10" s="126" customFormat="1" ht="57" customHeight="1" x14ac:dyDescent="0.25">
      <c r="A23" s="38" t="s">
        <v>314</v>
      </c>
      <c r="B23" s="280">
        <f>B24+B25</f>
        <v>4604</v>
      </c>
      <c r="C23" s="280">
        <f>C24+C25</f>
        <v>0</v>
      </c>
      <c r="D23" s="280">
        <f>D24+D25</f>
        <v>4604</v>
      </c>
      <c r="E23" s="280">
        <f t="shared" ref="E23:J23" si="6">E24+E25</f>
        <v>3760.2179999999998</v>
      </c>
      <c r="F23" s="280">
        <f t="shared" si="6"/>
        <v>0</v>
      </c>
      <c r="G23" s="280">
        <f t="shared" si="6"/>
        <v>3760.2179999999998</v>
      </c>
      <c r="H23" s="281">
        <f t="shared" si="6"/>
        <v>843.78200000000004</v>
      </c>
      <c r="I23" s="281">
        <f t="shared" si="6"/>
        <v>0</v>
      </c>
      <c r="J23" s="281">
        <f t="shared" si="6"/>
        <v>843.78200000000004</v>
      </c>
    </row>
    <row r="24" spans="1:10" s="101" customFormat="1" ht="29.25" customHeight="1" x14ac:dyDescent="0.25">
      <c r="A24" s="127" t="s">
        <v>600</v>
      </c>
      <c r="B24" s="282">
        <f>SUM(C24:D24)</f>
        <v>1604</v>
      </c>
      <c r="C24" s="282"/>
      <c r="D24" s="282">
        <f>950+654</f>
        <v>1604</v>
      </c>
      <c r="E24" s="282">
        <f>SUM(F24:G24)</f>
        <v>760.21799999999996</v>
      </c>
      <c r="F24" s="283"/>
      <c r="G24" s="283">
        <v>760.21799999999996</v>
      </c>
      <c r="H24" s="284">
        <f>SUM(I24:J24)</f>
        <v>843.78200000000004</v>
      </c>
      <c r="I24" s="284">
        <f>C24-F24</f>
        <v>0</v>
      </c>
      <c r="J24" s="284">
        <f>D24-G24</f>
        <v>843.78200000000004</v>
      </c>
    </row>
    <row r="25" spans="1:10" s="101" customFormat="1" ht="18" x14ac:dyDescent="0.25">
      <c r="A25" s="127" t="s">
        <v>494</v>
      </c>
      <c r="B25" s="282">
        <f>SUM(C25:D25)</f>
        <v>3000</v>
      </c>
      <c r="C25" s="282"/>
      <c r="D25" s="282">
        <v>3000</v>
      </c>
      <c r="E25" s="282">
        <f>SUM(F25:G25)</f>
        <v>3000</v>
      </c>
      <c r="F25" s="283"/>
      <c r="G25" s="283">
        <v>3000</v>
      </c>
      <c r="H25" s="284">
        <f>SUM(I25:J25)</f>
        <v>0</v>
      </c>
      <c r="I25" s="284">
        <f>C25-F25</f>
        <v>0</v>
      </c>
      <c r="J25" s="284">
        <f>D25-G25</f>
        <v>0</v>
      </c>
    </row>
    <row r="26" spans="1:10" s="101" customFormat="1" ht="24.75" x14ac:dyDescent="0.25">
      <c r="A26" s="38" t="s">
        <v>427</v>
      </c>
      <c r="B26" s="280">
        <f>B27</f>
        <v>80922.123300000007</v>
      </c>
      <c r="C26" s="280">
        <f t="shared" ref="C26:J26" si="7">C27</f>
        <v>76192.620299999995</v>
      </c>
      <c r="D26" s="280">
        <f t="shared" si="7"/>
        <v>4729.5029999999997</v>
      </c>
      <c r="E26" s="280">
        <f t="shared" si="7"/>
        <v>80439.686170000001</v>
      </c>
      <c r="F26" s="280">
        <f t="shared" si="7"/>
        <v>76192.583169999998</v>
      </c>
      <c r="G26" s="280">
        <f t="shared" si="7"/>
        <v>4247.1030000000001</v>
      </c>
      <c r="H26" s="281">
        <f t="shared" si="7"/>
        <v>482.43712999999696</v>
      </c>
      <c r="I26" s="281">
        <f t="shared" si="7"/>
        <v>3.7129999996977858E-2</v>
      </c>
      <c r="J26" s="281">
        <f t="shared" si="7"/>
        <v>482.4</v>
      </c>
    </row>
    <row r="27" spans="1:10" s="101" customFormat="1" ht="52.5" customHeight="1" x14ac:dyDescent="0.25">
      <c r="A27" s="38" t="s">
        <v>276</v>
      </c>
      <c r="B27" s="280">
        <f>B28+B30+B29+B31</f>
        <v>80922.123300000007</v>
      </c>
      <c r="C27" s="280">
        <f t="shared" ref="C27:J27" si="8">C28+C30+C29+C31</f>
        <v>76192.620299999995</v>
      </c>
      <c r="D27" s="280">
        <f t="shared" si="8"/>
        <v>4729.5029999999997</v>
      </c>
      <c r="E27" s="280">
        <f>E28+E30+E29+E31</f>
        <v>80439.686170000001</v>
      </c>
      <c r="F27" s="280">
        <f t="shared" si="8"/>
        <v>76192.583169999998</v>
      </c>
      <c r="G27" s="280">
        <f t="shared" si="8"/>
        <v>4247.1030000000001</v>
      </c>
      <c r="H27" s="281">
        <f t="shared" si="8"/>
        <v>482.43712999999696</v>
      </c>
      <c r="I27" s="281">
        <f t="shared" si="8"/>
        <v>3.7129999996977858E-2</v>
      </c>
      <c r="J27" s="281">
        <f t="shared" si="8"/>
        <v>482.4</v>
      </c>
    </row>
    <row r="28" spans="1:10" s="101" customFormat="1" ht="29.25" customHeight="1" x14ac:dyDescent="0.25">
      <c r="A28" s="127" t="s">
        <v>601</v>
      </c>
      <c r="B28" s="282">
        <f>SUM(C28:D28)</f>
        <v>3805.9</v>
      </c>
      <c r="C28" s="282"/>
      <c r="D28" s="282">
        <v>3805.9</v>
      </c>
      <c r="E28" s="282">
        <f>SUM(F28:G28)</f>
        <v>3805.9</v>
      </c>
      <c r="F28" s="283"/>
      <c r="G28" s="283">
        <v>3805.9</v>
      </c>
      <c r="H28" s="282">
        <f>SUM(I28:J28)</f>
        <v>0</v>
      </c>
      <c r="I28" s="284">
        <f t="shared" ref="I28:J31" si="9">C28-F28</f>
        <v>0</v>
      </c>
      <c r="J28" s="284">
        <f t="shared" si="9"/>
        <v>0</v>
      </c>
    </row>
    <row r="29" spans="1:10" s="101" customFormat="1" ht="25.5" customHeight="1" x14ac:dyDescent="0.25">
      <c r="A29" s="127" t="s">
        <v>602</v>
      </c>
      <c r="B29" s="282">
        <f>SUM(C29:D29)</f>
        <v>581.5</v>
      </c>
      <c r="C29" s="282"/>
      <c r="D29" s="282">
        <v>581.5</v>
      </c>
      <c r="E29" s="282">
        <f>SUM(F29:G29)</f>
        <v>99.1</v>
      </c>
      <c r="F29" s="283"/>
      <c r="G29" s="283">
        <v>99.1</v>
      </c>
      <c r="H29" s="282">
        <f>SUM(I29:J29)</f>
        <v>482.4</v>
      </c>
      <c r="I29" s="284">
        <f t="shared" si="9"/>
        <v>0</v>
      </c>
      <c r="J29" s="284">
        <f t="shared" si="9"/>
        <v>482.4</v>
      </c>
    </row>
    <row r="30" spans="1:10" s="101" customFormat="1" ht="36.75" x14ac:dyDescent="0.25">
      <c r="A30" s="127" t="s">
        <v>603</v>
      </c>
      <c r="B30" s="282">
        <f>SUM(C30:D30)</f>
        <v>46231.692999999999</v>
      </c>
      <c r="C30" s="283">
        <v>45889.59</v>
      </c>
      <c r="D30" s="283">
        <f>176.06+166.043</f>
        <v>342.10300000000001</v>
      </c>
      <c r="E30" s="282">
        <f>SUM(F30:G30)</f>
        <v>46231.655870000002</v>
      </c>
      <c r="F30" s="283">
        <f>17429.89899+20323.56288+8136.091</f>
        <v>45889.55287</v>
      </c>
      <c r="G30" s="283">
        <f>176.06+166.043</f>
        <v>342.10300000000001</v>
      </c>
      <c r="H30" s="282">
        <f>SUM(I30:J30)</f>
        <v>3.7129999996977858E-2</v>
      </c>
      <c r="I30" s="284">
        <f t="shared" si="9"/>
        <v>3.7129999996977858E-2</v>
      </c>
      <c r="J30" s="284">
        <f t="shared" si="9"/>
        <v>0</v>
      </c>
    </row>
    <row r="31" spans="1:10" s="101" customFormat="1" ht="31.5" customHeight="1" x14ac:dyDescent="0.25">
      <c r="A31" s="127" t="s">
        <v>604</v>
      </c>
      <c r="B31" s="282">
        <f>SUM(C31:D31)</f>
        <v>30303.030299999999</v>
      </c>
      <c r="C31" s="282">
        <v>30303.030299999999</v>
      </c>
      <c r="D31" s="282"/>
      <c r="E31" s="282">
        <f>SUM(F31:G31)</f>
        <v>30303.030299999999</v>
      </c>
      <c r="F31" s="283">
        <v>30303.030299999999</v>
      </c>
      <c r="G31" s="282"/>
      <c r="H31" s="282">
        <f>SUM(I31:J31)</f>
        <v>0</v>
      </c>
      <c r="I31" s="284">
        <f t="shared" si="9"/>
        <v>0</v>
      </c>
      <c r="J31" s="284">
        <f t="shared" si="9"/>
        <v>0</v>
      </c>
    </row>
    <row r="32" spans="1:10" ht="24" customHeight="1" x14ac:dyDescent="0.25">
      <c r="A32" s="121" t="s">
        <v>564</v>
      </c>
      <c r="B32" s="285">
        <f>B19+B22+B26</f>
        <v>92118.567640000008</v>
      </c>
      <c r="C32" s="285">
        <f t="shared" ref="C32:J32" si="10">C19+C22+C26</f>
        <v>82653.193869999988</v>
      </c>
      <c r="D32" s="285">
        <f t="shared" si="10"/>
        <v>9465.3737699999983</v>
      </c>
      <c r="E32" s="285">
        <f>E19+E22+E26</f>
        <v>90792.348509999996</v>
      </c>
      <c r="F32" s="285">
        <f t="shared" si="10"/>
        <v>82653.156739999991</v>
      </c>
      <c r="G32" s="285">
        <f t="shared" si="10"/>
        <v>8139.1917699999995</v>
      </c>
      <c r="H32" s="286">
        <f t="shared" si="10"/>
        <v>1326.219129999997</v>
      </c>
      <c r="I32" s="286">
        <f t="shared" si="10"/>
        <v>3.7129999996977858E-2</v>
      </c>
      <c r="J32" s="286">
        <f t="shared" si="10"/>
        <v>1326.182</v>
      </c>
    </row>
    <row r="34" spans="5:8" x14ac:dyDescent="0.25">
      <c r="E34">
        <v>90792.34852</v>
      </c>
      <c r="H34" s="128">
        <f>92118.56764</f>
        <v>92118.567639999994</v>
      </c>
    </row>
    <row r="35" spans="5:8" x14ac:dyDescent="0.25">
      <c r="E35" s="128">
        <f>E34-E32</f>
        <v>1.0000003385357559E-5</v>
      </c>
      <c r="H35" s="100">
        <f>H32-H34</f>
        <v>-90792.348509999996</v>
      </c>
    </row>
  </sheetData>
  <mergeCells count="6">
    <mergeCell ref="A2:J3"/>
    <mergeCell ref="I4:J4"/>
    <mergeCell ref="A5:A6"/>
    <mergeCell ref="B5:D5"/>
    <mergeCell ref="E5:G5"/>
    <mergeCell ref="H5:J5"/>
  </mergeCells>
  <pageMargins left="0.78740157480314965" right="0" top="0.74803149606299213" bottom="0.35433070866141736" header="0" footer="0"/>
  <pageSetup paperSize="9" scale="6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92D050"/>
  </sheetPr>
  <dimension ref="A1:F36"/>
  <sheetViews>
    <sheetView tabSelected="1" view="pageBreakPreview" topLeftCell="A7" zoomScale="80" zoomScaleNormal="100" zoomScaleSheetLayoutView="80" workbookViewId="0">
      <selection activeCell="C1" sqref="C1"/>
    </sheetView>
  </sheetViews>
  <sheetFormatPr defaultColWidth="8.85546875" defaultRowHeight="12.75" x14ac:dyDescent="0.25"/>
  <cols>
    <col min="1" max="1" width="7.140625" style="129" customWidth="1"/>
    <col min="2" max="2" width="78.7109375" style="130" customWidth="1"/>
    <col min="3" max="3" width="14.7109375" style="139" customWidth="1"/>
    <col min="4" max="4" width="12.7109375" style="129" customWidth="1"/>
    <col min="5" max="5" width="14" style="129" customWidth="1"/>
    <col min="6" max="6" width="12.28515625" style="129" customWidth="1"/>
    <col min="7" max="16384" width="8.85546875" style="129"/>
  </cols>
  <sheetData>
    <row r="1" spans="1:6" ht="13.5" customHeight="1" x14ac:dyDescent="0.25">
      <c r="B1" s="131"/>
      <c r="C1" s="358" t="s">
        <v>845</v>
      </c>
    </row>
    <row r="2" spans="1:6" ht="60" customHeight="1" x14ac:dyDescent="0.25">
      <c r="A2" s="437" t="s">
        <v>690</v>
      </c>
      <c r="B2" s="437"/>
      <c r="C2" s="437"/>
      <c r="D2" s="437"/>
      <c r="E2" s="437"/>
    </row>
    <row r="3" spans="1:6" ht="17.25" customHeight="1" x14ac:dyDescent="0.25">
      <c r="B3" s="131"/>
    </row>
    <row r="4" spans="1:6" ht="31.7" customHeight="1" x14ac:dyDescent="0.25">
      <c r="A4" s="438" t="s">
        <v>605</v>
      </c>
      <c r="B4" s="438" t="s">
        <v>717</v>
      </c>
      <c r="C4" s="439" t="s">
        <v>192</v>
      </c>
      <c r="D4" s="440" t="s">
        <v>716</v>
      </c>
      <c r="E4" s="406"/>
      <c r="F4" s="129" t="s">
        <v>657</v>
      </c>
    </row>
    <row r="5" spans="1:6" ht="72.75" customHeight="1" x14ac:dyDescent="0.25">
      <c r="A5" s="438"/>
      <c r="B5" s="438"/>
      <c r="C5" s="398"/>
      <c r="D5" s="132" t="s">
        <v>606</v>
      </c>
      <c r="E5" s="132" t="s">
        <v>607</v>
      </c>
    </row>
    <row r="6" spans="1:6" ht="20.25" customHeight="1" x14ac:dyDescent="0.25">
      <c r="A6" s="133" t="s">
        <v>608</v>
      </c>
      <c r="B6" s="133" t="s">
        <v>609</v>
      </c>
      <c r="C6" s="133">
        <v>1</v>
      </c>
      <c r="D6" s="133">
        <f>C6+1</f>
        <v>2</v>
      </c>
      <c r="E6" s="133">
        <f>D6+1</f>
        <v>3</v>
      </c>
    </row>
    <row r="7" spans="1:6" ht="20.25" customHeight="1" x14ac:dyDescent="0.25">
      <c r="A7" s="133"/>
      <c r="B7" s="314" t="s">
        <v>713</v>
      </c>
      <c r="C7" s="315">
        <v>17788</v>
      </c>
      <c r="D7" s="316">
        <v>10714.9</v>
      </c>
      <c r="E7" s="315">
        <f>C7-D7</f>
        <v>7073.1</v>
      </c>
    </row>
    <row r="8" spans="1:6" s="318" customFormat="1" ht="15.75" x14ac:dyDescent="0.25">
      <c r="A8" s="314">
        <v>1</v>
      </c>
      <c r="B8" s="314" t="s">
        <v>714</v>
      </c>
      <c r="C8" s="317">
        <f>SUM(C10:C27)-C24</f>
        <v>16522.582309999998</v>
      </c>
      <c r="D8" s="315">
        <f>SUM(D10:D27)-D24</f>
        <v>10714.9</v>
      </c>
      <c r="E8" s="315">
        <f>SUM(E10:E27)-E24</f>
        <v>5807.6823100000001</v>
      </c>
    </row>
    <row r="9" spans="1:6" s="139" customFormat="1" ht="15" x14ac:dyDescent="0.25">
      <c r="A9" s="239"/>
      <c r="B9" s="307" t="s">
        <v>565</v>
      </c>
      <c r="C9" s="309"/>
      <c r="D9" s="240"/>
      <c r="E9" s="240"/>
    </row>
    <row r="10" spans="1:6" ht="15" x14ac:dyDescent="0.25">
      <c r="A10" s="134">
        <v>1</v>
      </c>
      <c r="B10" s="135" t="s">
        <v>715</v>
      </c>
      <c r="C10" s="309">
        <f>SUM(D10:E10)</f>
        <v>505.10203999999999</v>
      </c>
      <c r="D10" s="136">
        <v>500</v>
      </c>
      <c r="E10" s="136">
        <v>5.1020399999999997</v>
      </c>
    </row>
    <row r="11" spans="1:6" s="299" customFormat="1" ht="15" x14ac:dyDescent="0.25">
      <c r="A11" s="296">
        <f>A10+1</f>
        <v>2</v>
      </c>
      <c r="B11" s="297" t="s">
        <v>707</v>
      </c>
      <c r="C11" s="310">
        <f t="shared" ref="C11:C27" si="0">SUM(D11:E11)</f>
        <v>611.25199999999995</v>
      </c>
      <c r="D11" s="291"/>
      <c r="E11" s="291">
        <v>611.25199999999995</v>
      </c>
      <c r="F11" s="295">
        <v>611.25199999999995</v>
      </c>
    </row>
    <row r="12" spans="1:6" s="299" customFormat="1" ht="30" x14ac:dyDescent="0.25">
      <c r="A12" s="296">
        <f t="shared" ref="A12:A22" si="1">A11+1</f>
        <v>3</v>
      </c>
      <c r="B12" s="297" t="s">
        <v>692</v>
      </c>
      <c r="C12" s="310">
        <f t="shared" si="0"/>
        <v>296.88</v>
      </c>
      <c r="D12" s="291"/>
      <c r="E12" s="291">
        <v>296.88</v>
      </c>
      <c r="F12" s="293">
        <v>219.02</v>
      </c>
    </row>
    <row r="13" spans="1:6" s="299" customFormat="1" ht="45" x14ac:dyDescent="0.25">
      <c r="A13" s="296">
        <f t="shared" si="1"/>
        <v>4</v>
      </c>
      <c r="B13" s="297" t="s">
        <v>693</v>
      </c>
      <c r="C13" s="310">
        <f t="shared" si="0"/>
        <v>674.73699999999997</v>
      </c>
      <c r="D13" s="291"/>
      <c r="E13" s="291">
        <f>896.56-219.02-2.803</f>
        <v>674.73699999999997</v>
      </c>
      <c r="F13" s="293">
        <v>896.56</v>
      </c>
    </row>
    <row r="14" spans="1:6" s="299" customFormat="1" ht="30" x14ac:dyDescent="0.25">
      <c r="A14" s="296">
        <f t="shared" si="1"/>
        <v>5</v>
      </c>
      <c r="B14" s="297" t="s">
        <v>709</v>
      </c>
      <c r="C14" s="310">
        <f t="shared" si="0"/>
        <v>294.84000000000003</v>
      </c>
      <c r="D14" s="291"/>
      <c r="E14" s="291">
        <f>484.94-190.1</f>
        <v>294.84000000000003</v>
      </c>
      <c r="F14" s="293">
        <v>484.94</v>
      </c>
    </row>
    <row r="15" spans="1:6" s="299" customFormat="1" ht="15" x14ac:dyDescent="0.25">
      <c r="A15" s="296">
        <f t="shared" si="1"/>
        <v>6</v>
      </c>
      <c r="B15" s="297" t="s">
        <v>694</v>
      </c>
      <c r="C15" s="310">
        <f t="shared" si="0"/>
        <v>33.54</v>
      </c>
      <c r="D15" s="291"/>
      <c r="E15" s="291">
        <v>33.54</v>
      </c>
      <c r="F15" s="293">
        <v>33.54</v>
      </c>
    </row>
    <row r="16" spans="1:6" s="299" customFormat="1" ht="15" x14ac:dyDescent="0.25">
      <c r="A16" s="296">
        <f t="shared" si="1"/>
        <v>7</v>
      </c>
      <c r="B16" s="297" t="s">
        <v>695</v>
      </c>
      <c r="C16" s="310">
        <f t="shared" si="0"/>
        <v>526.68000000000006</v>
      </c>
      <c r="D16" s="291"/>
      <c r="E16" s="291">
        <f>400+126.68</f>
        <v>526.68000000000006</v>
      </c>
      <c r="F16" s="293">
        <f>400+126.68</f>
        <v>526.68000000000006</v>
      </c>
    </row>
    <row r="17" spans="1:6" s="299" customFormat="1" ht="45" x14ac:dyDescent="0.25">
      <c r="A17" s="296">
        <f t="shared" si="1"/>
        <v>8</v>
      </c>
      <c r="B17" s="297" t="s">
        <v>710</v>
      </c>
      <c r="C17" s="310">
        <f t="shared" si="0"/>
        <v>78.849000000000004</v>
      </c>
      <c r="D17" s="291"/>
      <c r="E17" s="291">
        <v>78.849000000000004</v>
      </c>
      <c r="F17" s="293">
        <v>78.849000000000004</v>
      </c>
    </row>
    <row r="18" spans="1:6" s="299" customFormat="1" ht="15" x14ac:dyDescent="0.25">
      <c r="A18" s="296">
        <f t="shared" si="1"/>
        <v>9</v>
      </c>
      <c r="B18" s="297" t="s">
        <v>708</v>
      </c>
      <c r="C18" s="310">
        <f t="shared" si="0"/>
        <v>190.1</v>
      </c>
      <c r="D18" s="291"/>
      <c r="E18" s="291">
        <v>190.1</v>
      </c>
      <c r="F18" s="293"/>
    </row>
    <row r="19" spans="1:6" s="299" customFormat="1" ht="15" x14ac:dyDescent="0.25">
      <c r="A19" s="296">
        <f t="shared" si="1"/>
        <v>10</v>
      </c>
      <c r="B19" s="297" t="s">
        <v>702</v>
      </c>
      <c r="C19" s="310">
        <f t="shared" si="0"/>
        <v>144.89400000000001</v>
      </c>
      <c r="D19" s="291"/>
      <c r="E19" s="291">
        <v>144.89400000000001</v>
      </c>
      <c r="F19" s="293">
        <v>144.89400000000001</v>
      </c>
    </row>
    <row r="20" spans="1:6" s="299" customFormat="1" ht="15" x14ac:dyDescent="0.25">
      <c r="A20" s="296">
        <f t="shared" si="1"/>
        <v>11</v>
      </c>
      <c r="B20" s="297" t="s">
        <v>696</v>
      </c>
      <c r="C20" s="310">
        <f t="shared" si="0"/>
        <v>37.270000000000003</v>
      </c>
      <c r="D20" s="291"/>
      <c r="E20" s="291">
        <v>37.270000000000003</v>
      </c>
      <c r="F20" s="293">
        <v>37.24</v>
      </c>
    </row>
    <row r="21" spans="1:6" s="299" customFormat="1" ht="15" x14ac:dyDescent="0.25">
      <c r="A21" s="296">
        <f t="shared" si="1"/>
        <v>12</v>
      </c>
      <c r="B21" s="297" t="s">
        <v>711</v>
      </c>
      <c r="C21" s="310">
        <f t="shared" si="0"/>
        <v>1620</v>
      </c>
      <c r="D21" s="291"/>
      <c r="E21" s="291">
        <v>1620</v>
      </c>
      <c r="F21" s="291">
        <v>1620</v>
      </c>
    </row>
    <row r="22" spans="1:6" s="299" customFormat="1" ht="15" x14ac:dyDescent="0.25">
      <c r="A22" s="296">
        <f t="shared" si="1"/>
        <v>13</v>
      </c>
      <c r="B22" s="300" t="s">
        <v>712</v>
      </c>
      <c r="C22" s="310">
        <f t="shared" si="0"/>
        <v>250</v>
      </c>
      <c r="D22" s="291"/>
      <c r="E22" s="291">
        <v>250</v>
      </c>
      <c r="F22" s="291">
        <v>250</v>
      </c>
    </row>
    <row r="23" spans="1:6" s="299" customFormat="1" ht="30" x14ac:dyDescent="0.25">
      <c r="A23" s="296">
        <v>14</v>
      </c>
      <c r="B23" s="297" t="s">
        <v>703</v>
      </c>
      <c r="C23" s="310">
        <f>SUM(D23:E23)</f>
        <v>730.52</v>
      </c>
      <c r="D23" s="291"/>
      <c r="E23" s="291">
        <v>730.52</v>
      </c>
    </row>
    <row r="24" spans="1:6" s="303" customFormat="1" ht="38.25" customHeight="1" x14ac:dyDescent="0.25">
      <c r="A24" s="296">
        <f>A23+1</f>
        <v>15</v>
      </c>
      <c r="B24" s="301" t="s">
        <v>705</v>
      </c>
      <c r="C24" s="310">
        <f t="shared" si="0"/>
        <v>10527.91827</v>
      </c>
      <c r="D24" s="298">
        <f>SUM(D25:D27)</f>
        <v>10214.9</v>
      </c>
      <c r="E24" s="298">
        <f>SUM(E25:E27)</f>
        <v>313.01826999999997</v>
      </c>
      <c r="F24" s="302">
        <f>SUM(F25:F27)</f>
        <v>313.01826999999997</v>
      </c>
    </row>
    <row r="25" spans="1:6" s="299" customFormat="1" ht="21.75" customHeight="1" x14ac:dyDescent="0.25">
      <c r="A25" s="296"/>
      <c r="B25" s="304" t="s">
        <v>706</v>
      </c>
      <c r="C25" s="310">
        <f t="shared" si="0"/>
        <v>50</v>
      </c>
      <c r="D25" s="294"/>
      <c r="E25" s="294">
        <v>50</v>
      </c>
      <c r="F25" s="305">
        <v>50</v>
      </c>
    </row>
    <row r="26" spans="1:6" s="299" customFormat="1" ht="30" x14ac:dyDescent="0.25">
      <c r="A26" s="296"/>
      <c r="B26" s="304" t="s">
        <v>705</v>
      </c>
      <c r="C26" s="310">
        <f t="shared" si="0"/>
        <v>10423.368269999999</v>
      </c>
      <c r="D26" s="294">
        <v>10214.9</v>
      </c>
      <c r="E26" s="294">
        <v>208.46826999999999</v>
      </c>
      <c r="F26" s="305">
        <v>208.46826999999999</v>
      </c>
    </row>
    <row r="27" spans="1:6" s="299" customFormat="1" ht="30" x14ac:dyDescent="0.25">
      <c r="A27" s="296"/>
      <c r="B27" s="304" t="s">
        <v>704</v>
      </c>
      <c r="C27" s="310">
        <f t="shared" si="0"/>
        <v>54.55</v>
      </c>
      <c r="D27" s="291"/>
      <c r="E27" s="294">
        <f>32.55+22</f>
        <v>54.55</v>
      </c>
      <c r="F27" s="290">
        <f>32.55+22</f>
        <v>54.55</v>
      </c>
    </row>
    <row r="28" spans="1:6" s="303" customFormat="1" ht="30" customHeight="1" x14ac:dyDescent="0.25">
      <c r="A28" s="306"/>
      <c r="B28" s="138" t="s">
        <v>718</v>
      </c>
      <c r="C28" s="308">
        <f>C7-C8</f>
        <v>1265.417690000002</v>
      </c>
      <c r="D28" s="308">
        <f>D7-D8</f>
        <v>0</v>
      </c>
      <c r="E28" s="308">
        <f>E7-E8</f>
        <v>1265.4176900000002</v>
      </c>
    </row>
    <row r="29" spans="1:6" ht="15.75" x14ac:dyDescent="0.25">
      <c r="A29" s="311"/>
      <c r="B29" s="312"/>
      <c r="C29" s="313"/>
      <c r="D29" s="137"/>
      <c r="E29" s="137"/>
    </row>
    <row r="30" spans="1:6" ht="15.75" x14ac:dyDescent="0.25">
      <c r="B30" s="140"/>
      <c r="E30" s="287"/>
    </row>
    <row r="31" spans="1:6" ht="15.75" x14ac:dyDescent="0.25">
      <c r="B31" s="140"/>
      <c r="C31" s="292"/>
    </row>
    <row r="32" spans="1:6" ht="15.75" x14ac:dyDescent="0.25">
      <c r="B32" s="140"/>
    </row>
    <row r="33" spans="2:2" ht="15.75" x14ac:dyDescent="0.25">
      <c r="B33" s="140"/>
    </row>
    <row r="34" spans="2:2" ht="15.75" x14ac:dyDescent="0.25">
      <c r="B34" s="140"/>
    </row>
    <row r="35" spans="2:2" ht="15.75" x14ac:dyDescent="0.25">
      <c r="B35" s="140"/>
    </row>
    <row r="36" spans="2:2" ht="15.75" x14ac:dyDescent="0.25">
      <c r="B36" s="140"/>
    </row>
  </sheetData>
  <mergeCells count="5">
    <mergeCell ref="A2:E2"/>
    <mergeCell ref="A4:A5"/>
    <mergeCell ref="B4:B5"/>
    <mergeCell ref="C4:C5"/>
    <mergeCell ref="D4:E4"/>
  </mergeCells>
  <pageMargins left="0.59055118110236227" right="0" top="0.15748031496062992" bottom="0" header="0" footer="0"/>
  <pageSetup paperSize="9" scale="7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92D050"/>
  </sheetPr>
  <dimension ref="A1:J26"/>
  <sheetViews>
    <sheetView view="pageBreakPreview" zoomScale="60" zoomScaleNormal="55" workbookViewId="0">
      <selection activeCell="C10" sqref="C10"/>
    </sheetView>
  </sheetViews>
  <sheetFormatPr defaultRowHeight="15.75" x14ac:dyDescent="0.25"/>
  <cols>
    <col min="1" max="1" width="27.85546875" customWidth="1"/>
    <col min="2" max="2" width="43.85546875" style="97" customWidth="1"/>
    <col min="3" max="3" width="46" style="97" customWidth="1"/>
    <col min="4" max="4" width="23.42578125" customWidth="1"/>
    <col min="5" max="5" width="14.5703125" hidden="1" customWidth="1"/>
    <col min="6" max="6" width="19.42578125" customWidth="1"/>
    <col min="7" max="7" width="18.140625" customWidth="1"/>
    <col min="8" max="8" width="12.42578125" hidden="1" customWidth="1"/>
    <col min="9" max="10" width="38.28515625" customWidth="1"/>
    <col min="236" max="236" width="27.85546875" customWidth="1"/>
    <col min="237" max="237" width="42.28515625" customWidth="1"/>
    <col min="238" max="238" width="69.140625" customWidth="1"/>
    <col min="239" max="239" width="0.28515625" customWidth="1"/>
    <col min="240" max="243" width="0" hidden="1" customWidth="1"/>
    <col min="244" max="244" width="17.7109375" customWidth="1"/>
    <col min="245" max="245" width="16.28515625" customWidth="1"/>
    <col min="246" max="246" width="15.28515625" customWidth="1"/>
    <col min="247" max="247" width="12" customWidth="1"/>
    <col min="248" max="248" width="16.28515625" customWidth="1"/>
    <col min="249" max="249" width="14.85546875" customWidth="1"/>
    <col min="250" max="250" width="15.28515625" customWidth="1"/>
    <col min="251" max="251" width="16" customWidth="1"/>
    <col min="252" max="252" width="21.140625" customWidth="1"/>
    <col min="253" max="254" width="18.5703125" customWidth="1"/>
    <col min="255" max="255" width="17.7109375" customWidth="1"/>
    <col min="492" max="492" width="27.85546875" customWidth="1"/>
    <col min="493" max="493" width="42.28515625" customWidth="1"/>
    <col min="494" max="494" width="69.140625" customWidth="1"/>
    <col min="495" max="495" width="0.28515625" customWidth="1"/>
    <col min="496" max="499" width="0" hidden="1" customWidth="1"/>
    <col min="500" max="500" width="17.7109375" customWidth="1"/>
    <col min="501" max="501" width="16.28515625" customWidth="1"/>
    <col min="502" max="502" width="15.28515625" customWidth="1"/>
    <col min="503" max="503" width="12" customWidth="1"/>
    <col min="504" max="504" width="16.28515625" customWidth="1"/>
    <col min="505" max="505" width="14.85546875" customWidth="1"/>
    <col min="506" max="506" width="15.28515625" customWidth="1"/>
    <col min="507" max="507" width="16" customWidth="1"/>
    <col min="508" max="508" width="21.140625" customWidth="1"/>
    <col min="509" max="510" width="18.5703125" customWidth="1"/>
    <col min="511" max="511" width="17.7109375" customWidth="1"/>
    <col min="748" max="748" width="27.85546875" customWidth="1"/>
    <col min="749" max="749" width="42.28515625" customWidth="1"/>
    <col min="750" max="750" width="69.140625" customWidth="1"/>
    <col min="751" max="751" width="0.28515625" customWidth="1"/>
    <col min="752" max="755" width="0" hidden="1" customWidth="1"/>
    <col min="756" max="756" width="17.7109375" customWidth="1"/>
    <col min="757" max="757" width="16.28515625" customWidth="1"/>
    <col min="758" max="758" width="15.28515625" customWidth="1"/>
    <col min="759" max="759" width="12" customWidth="1"/>
    <col min="760" max="760" width="16.28515625" customWidth="1"/>
    <col min="761" max="761" width="14.85546875" customWidth="1"/>
    <col min="762" max="762" width="15.28515625" customWidth="1"/>
    <col min="763" max="763" width="16" customWidth="1"/>
    <col min="764" max="764" width="21.140625" customWidth="1"/>
    <col min="765" max="766" width="18.5703125" customWidth="1"/>
    <col min="767" max="767" width="17.7109375" customWidth="1"/>
    <col min="1004" max="1004" width="27.85546875" customWidth="1"/>
    <col min="1005" max="1005" width="42.28515625" customWidth="1"/>
    <col min="1006" max="1006" width="69.140625" customWidth="1"/>
    <col min="1007" max="1007" width="0.28515625" customWidth="1"/>
    <col min="1008" max="1011" width="0" hidden="1" customWidth="1"/>
    <col min="1012" max="1012" width="17.7109375" customWidth="1"/>
    <col min="1013" max="1013" width="16.28515625" customWidth="1"/>
    <col min="1014" max="1014" width="15.28515625" customWidth="1"/>
    <col min="1015" max="1015" width="12" customWidth="1"/>
    <col min="1016" max="1016" width="16.28515625" customWidth="1"/>
    <col min="1017" max="1017" width="14.85546875" customWidth="1"/>
    <col min="1018" max="1018" width="15.28515625" customWidth="1"/>
    <col min="1019" max="1019" width="16" customWidth="1"/>
    <col min="1020" max="1020" width="21.140625" customWidth="1"/>
    <col min="1021" max="1022" width="18.5703125" customWidth="1"/>
    <col min="1023" max="1023" width="17.7109375" customWidth="1"/>
    <col min="1260" max="1260" width="27.85546875" customWidth="1"/>
    <col min="1261" max="1261" width="42.28515625" customWidth="1"/>
    <col min="1262" max="1262" width="69.140625" customWidth="1"/>
    <col min="1263" max="1263" width="0.28515625" customWidth="1"/>
    <col min="1264" max="1267" width="0" hidden="1" customWidth="1"/>
    <col min="1268" max="1268" width="17.7109375" customWidth="1"/>
    <col min="1269" max="1269" width="16.28515625" customWidth="1"/>
    <col min="1270" max="1270" width="15.28515625" customWidth="1"/>
    <col min="1271" max="1271" width="12" customWidth="1"/>
    <col min="1272" max="1272" width="16.28515625" customWidth="1"/>
    <col min="1273" max="1273" width="14.85546875" customWidth="1"/>
    <col min="1274" max="1274" width="15.28515625" customWidth="1"/>
    <col min="1275" max="1275" width="16" customWidth="1"/>
    <col min="1276" max="1276" width="21.140625" customWidth="1"/>
    <col min="1277" max="1278" width="18.5703125" customWidth="1"/>
    <col min="1279" max="1279" width="17.7109375" customWidth="1"/>
    <col min="1516" max="1516" width="27.85546875" customWidth="1"/>
    <col min="1517" max="1517" width="42.28515625" customWidth="1"/>
    <col min="1518" max="1518" width="69.140625" customWidth="1"/>
    <col min="1519" max="1519" width="0.28515625" customWidth="1"/>
    <col min="1520" max="1523" width="0" hidden="1" customWidth="1"/>
    <col min="1524" max="1524" width="17.7109375" customWidth="1"/>
    <col min="1525" max="1525" width="16.28515625" customWidth="1"/>
    <col min="1526" max="1526" width="15.28515625" customWidth="1"/>
    <col min="1527" max="1527" width="12" customWidth="1"/>
    <col min="1528" max="1528" width="16.28515625" customWidth="1"/>
    <col min="1529" max="1529" width="14.85546875" customWidth="1"/>
    <col min="1530" max="1530" width="15.28515625" customWidth="1"/>
    <col min="1531" max="1531" width="16" customWidth="1"/>
    <col min="1532" max="1532" width="21.140625" customWidth="1"/>
    <col min="1533" max="1534" width="18.5703125" customWidth="1"/>
    <col min="1535" max="1535" width="17.7109375" customWidth="1"/>
    <col min="1772" max="1772" width="27.85546875" customWidth="1"/>
    <col min="1773" max="1773" width="42.28515625" customWidth="1"/>
    <col min="1774" max="1774" width="69.140625" customWidth="1"/>
    <col min="1775" max="1775" width="0.28515625" customWidth="1"/>
    <col min="1776" max="1779" width="0" hidden="1" customWidth="1"/>
    <col min="1780" max="1780" width="17.7109375" customWidth="1"/>
    <col min="1781" max="1781" width="16.28515625" customWidth="1"/>
    <col min="1782" max="1782" width="15.28515625" customWidth="1"/>
    <col min="1783" max="1783" width="12" customWidth="1"/>
    <col min="1784" max="1784" width="16.28515625" customWidth="1"/>
    <col min="1785" max="1785" width="14.85546875" customWidth="1"/>
    <col min="1786" max="1786" width="15.28515625" customWidth="1"/>
    <col min="1787" max="1787" width="16" customWidth="1"/>
    <col min="1788" max="1788" width="21.140625" customWidth="1"/>
    <col min="1789" max="1790" width="18.5703125" customWidth="1"/>
    <col min="1791" max="1791" width="17.7109375" customWidth="1"/>
    <col min="2028" max="2028" width="27.85546875" customWidth="1"/>
    <col min="2029" max="2029" width="42.28515625" customWidth="1"/>
    <col min="2030" max="2030" width="69.140625" customWidth="1"/>
    <col min="2031" max="2031" width="0.28515625" customWidth="1"/>
    <col min="2032" max="2035" width="0" hidden="1" customWidth="1"/>
    <col min="2036" max="2036" width="17.7109375" customWidth="1"/>
    <col min="2037" max="2037" width="16.28515625" customWidth="1"/>
    <col min="2038" max="2038" width="15.28515625" customWidth="1"/>
    <col min="2039" max="2039" width="12" customWidth="1"/>
    <col min="2040" max="2040" width="16.28515625" customWidth="1"/>
    <col min="2041" max="2041" width="14.85546875" customWidth="1"/>
    <col min="2042" max="2042" width="15.28515625" customWidth="1"/>
    <col min="2043" max="2043" width="16" customWidth="1"/>
    <col min="2044" max="2044" width="21.140625" customWidth="1"/>
    <col min="2045" max="2046" width="18.5703125" customWidth="1"/>
    <col min="2047" max="2047" width="17.7109375" customWidth="1"/>
    <col min="2284" max="2284" width="27.85546875" customWidth="1"/>
    <col min="2285" max="2285" width="42.28515625" customWidth="1"/>
    <col min="2286" max="2286" width="69.140625" customWidth="1"/>
    <col min="2287" max="2287" width="0.28515625" customWidth="1"/>
    <col min="2288" max="2291" width="0" hidden="1" customWidth="1"/>
    <col min="2292" max="2292" width="17.7109375" customWidth="1"/>
    <col min="2293" max="2293" width="16.28515625" customWidth="1"/>
    <col min="2294" max="2294" width="15.28515625" customWidth="1"/>
    <col min="2295" max="2295" width="12" customWidth="1"/>
    <col min="2296" max="2296" width="16.28515625" customWidth="1"/>
    <col min="2297" max="2297" width="14.85546875" customWidth="1"/>
    <col min="2298" max="2298" width="15.28515625" customWidth="1"/>
    <col min="2299" max="2299" width="16" customWidth="1"/>
    <col min="2300" max="2300" width="21.140625" customWidth="1"/>
    <col min="2301" max="2302" width="18.5703125" customWidth="1"/>
    <col min="2303" max="2303" width="17.7109375" customWidth="1"/>
    <col min="2540" max="2540" width="27.85546875" customWidth="1"/>
    <col min="2541" max="2541" width="42.28515625" customWidth="1"/>
    <col min="2542" max="2542" width="69.140625" customWidth="1"/>
    <col min="2543" max="2543" width="0.28515625" customWidth="1"/>
    <col min="2544" max="2547" width="0" hidden="1" customWidth="1"/>
    <col min="2548" max="2548" width="17.7109375" customWidth="1"/>
    <col min="2549" max="2549" width="16.28515625" customWidth="1"/>
    <col min="2550" max="2550" width="15.28515625" customWidth="1"/>
    <col min="2551" max="2551" width="12" customWidth="1"/>
    <col min="2552" max="2552" width="16.28515625" customWidth="1"/>
    <col min="2553" max="2553" width="14.85546875" customWidth="1"/>
    <col min="2554" max="2554" width="15.28515625" customWidth="1"/>
    <col min="2555" max="2555" width="16" customWidth="1"/>
    <col min="2556" max="2556" width="21.140625" customWidth="1"/>
    <col min="2557" max="2558" width="18.5703125" customWidth="1"/>
    <col min="2559" max="2559" width="17.7109375" customWidth="1"/>
    <col min="2796" max="2796" width="27.85546875" customWidth="1"/>
    <col min="2797" max="2797" width="42.28515625" customWidth="1"/>
    <col min="2798" max="2798" width="69.140625" customWidth="1"/>
    <col min="2799" max="2799" width="0.28515625" customWidth="1"/>
    <col min="2800" max="2803" width="0" hidden="1" customWidth="1"/>
    <col min="2804" max="2804" width="17.7109375" customWidth="1"/>
    <col min="2805" max="2805" width="16.28515625" customWidth="1"/>
    <col min="2806" max="2806" width="15.28515625" customWidth="1"/>
    <col min="2807" max="2807" width="12" customWidth="1"/>
    <col min="2808" max="2808" width="16.28515625" customWidth="1"/>
    <col min="2809" max="2809" width="14.85546875" customWidth="1"/>
    <col min="2810" max="2810" width="15.28515625" customWidth="1"/>
    <col min="2811" max="2811" width="16" customWidth="1"/>
    <col min="2812" max="2812" width="21.140625" customWidth="1"/>
    <col min="2813" max="2814" width="18.5703125" customWidth="1"/>
    <col min="2815" max="2815" width="17.7109375" customWidth="1"/>
    <col min="3052" max="3052" width="27.85546875" customWidth="1"/>
    <col min="3053" max="3053" width="42.28515625" customWidth="1"/>
    <col min="3054" max="3054" width="69.140625" customWidth="1"/>
    <col min="3055" max="3055" width="0.28515625" customWidth="1"/>
    <col min="3056" max="3059" width="0" hidden="1" customWidth="1"/>
    <col min="3060" max="3060" width="17.7109375" customWidth="1"/>
    <col min="3061" max="3061" width="16.28515625" customWidth="1"/>
    <col min="3062" max="3062" width="15.28515625" customWidth="1"/>
    <col min="3063" max="3063" width="12" customWidth="1"/>
    <col min="3064" max="3064" width="16.28515625" customWidth="1"/>
    <col min="3065" max="3065" width="14.85546875" customWidth="1"/>
    <col min="3066" max="3066" width="15.28515625" customWidth="1"/>
    <col min="3067" max="3067" width="16" customWidth="1"/>
    <col min="3068" max="3068" width="21.140625" customWidth="1"/>
    <col min="3069" max="3070" width="18.5703125" customWidth="1"/>
    <col min="3071" max="3071" width="17.7109375" customWidth="1"/>
    <col min="3308" max="3308" width="27.85546875" customWidth="1"/>
    <col min="3309" max="3309" width="42.28515625" customWidth="1"/>
    <col min="3310" max="3310" width="69.140625" customWidth="1"/>
    <col min="3311" max="3311" width="0.28515625" customWidth="1"/>
    <col min="3312" max="3315" width="0" hidden="1" customWidth="1"/>
    <col min="3316" max="3316" width="17.7109375" customWidth="1"/>
    <col min="3317" max="3317" width="16.28515625" customWidth="1"/>
    <col min="3318" max="3318" width="15.28515625" customWidth="1"/>
    <col min="3319" max="3319" width="12" customWidth="1"/>
    <col min="3320" max="3320" width="16.28515625" customWidth="1"/>
    <col min="3321" max="3321" width="14.85546875" customWidth="1"/>
    <col min="3322" max="3322" width="15.28515625" customWidth="1"/>
    <col min="3323" max="3323" width="16" customWidth="1"/>
    <col min="3324" max="3324" width="21.140625" customWidth="1"/>
    <col min="3325" max="3326" width="18.5703125" customWidth="1"/>
    <col min="3327" max="3327" width="17.7109375" customWidth="1"/>
    <col min="3564" max="3564" width="27.85546875" customWidth="1"/>
    <col min="3565" max="3565" width="42.28515625" customWidth="1"/>
    <col min="3566" max="3566" width="69.140625" customWidth="1"/>
    <col min="3567" max="3567" width="0.28515625" customWidth="1"/>
    <col min="3568" max="3571" width="0" hidden="1" customWidth="1"/>
    <col min="3572" max="3572" width="17.7109375" customWidth="1"/>
    <col min="3573" max="3573" width="16.28515625" customWidth="1"/>
    <col min="3574" max="3574" width="15.28515625" customWidth="1"/>
    <col min="3575" max="3575" width="12" customWidth="1"/>
    <col min="3576" max="3576" width="16.28515625" customWidth="1"/>
    <col min="3577" max="3577" width="14.85546875" customWidth="1"/>
    <col min="3578" max="3578" width="15.28515625" customWidth="1"/>
    <col min="3579" max="3579" width="16" customWidth="1"/>
    <col min="3580" max="3580" width="21.140625" customWidth="1"/>
    <col min="3581" max="3582" width="18.5703125" customWidth="1"/>
    <col min="3583" max="3583" width="17.7109375" customWidth="1"/>
    <col min="3820" max="3820" width="27.85546875" customWidth="1"/>
    <col min="3821" max="3821" width="42.28515625" customWidth="1"/>
    <col min="3822" max="3822" width="69.140625" customWidth="1"/>
    <col min="3823" max="3823" width="0.28515625" customWidth="1"/>
    <col min="3824" max="3827" width="0" hidden="1" customWidth="1"/>
    <col min="3828" max="3828" width="17.7109375" customWidth="1"/>
    <col min="3829" max="3829" width="16.28515625" customWidth="1"/>
    <col min="3830" max="3830" width="15.28515625" customWidth="1"/>
    <col min="3831" max="3831" width="12" customWidth="1"/>
    <col min="3832" max="3832" width="16.28515625" customWidth="1"/>
    <col min="3833" max="3833" width="14.85546875" customWidth="1"/>
    <col min="3834" max="3834" width="15.28515625" customWidth="1"/>
    <col min="3835" max="3835" width="16" customWidth="1"/>
    <col min="3836" max="3836" width="21.140625" customWidth="1"/>
    <col min="3837" max="3838" width="18.5703125" customWidth="1"/>
    <col min="3839" max="3839" width="17.7109375" customWidth="1"/>
    <col min="4076" max="4076" width="27.85546875" customWidth="1"/>
    <col min="4077" max="4077" width="42.28515625" customWidth="1"/>
    <col min="4078" max="4078" width="69.140625" customWidth="1"/>
    <col min="4079" max="4079" width="0.28515625" customWidth="1"/>
    <col min="4080" max="4083" width="0" hidden="1" customWidth="1"/>
    <col min="4084" max="4084" width="17.7109375" customWidth="1"/>
    <col min="4085" max="4085" width="16.28515625" customWidth="1"/>
    <col min="4086" max="4086" width="15.28515625" customWidth="1"/>
    <col min="4087" max="4087" width="12" customWidth="1"/>
    <col min="4088" max="4088" width="16.28515625" customWidth="1"/>
    <col min="4089" max="4089" width="14.85546875" customWidth="1"/>
    <col min="4090" max="4090" width="15.28515625" customWidth="1"/>
    <col min="4091" max="4091" width="16" customWidth="1"/>
    <col min="4092" max="4092" width="21.140625" customWidth="1"/>
    <col min="4093" max="4094" width="18.5703125" customWidth="1"/>
    <col min="4095" max="4095" width="17.7109375" customWidth="1"/>
    <col min="4332" max="4332" width="27.85546875" customWidth="1"/>
    <col min="4333" max="4333" width="42.28515625" customWidth="1"/>
    <col min="4334" max="4334" width="69.140625" customWidth="1"/>
    <col min="4335" max="4335" width="0.28515625" customWidth="1"/>
    <col min="4336" max="4339" width="0" hidden="1" customWidth="1"/>
    <col min="4340" max="4340" width="17.7109375" customWidth="1"/>
    <col min="4341" max="4341" width="16.28515625" customWidth="1"/>
    <col min="4342" max="4342" width="15.28515625" customWidth="1"/>
    <col min="4343" max="4343" width="12" customWidth="1"/>
    <col min="4344" max="4344" width="16.28515625" customWidth="1"/>
    <col min="4345" max="4345" width="14.85546875" customWidth="1"/>
    <col min="4346" max="4346" width="15.28515625" customWidth="1"/>
    <col min="4347" max="4347" width="16" customWidth="1"/>
    <col min="4348" max="4348" width="21.140625" customWidth="1"/>
    <col min="4349" max="4350" width="18.5703125" customWidth="1"/>
    <col min="4351" max="4351" width="17.7109375" customWidth="1"/>
    <col min="4588" max="4588" width="27.85546875" customWidth="1"/>
    <col min="4589" max="4589" width="42.28515625" customWidth="1"/>
    <col min="4590" max="4590" width="69.140625" customWidth="1"/>
    <col min="4591" max="4591" width="0.28515625" customWidth="1"/>
    <col min="4592" max="4595" width="0" hidden="1" customWidth="1"/>
    <col min="4596" max="4596" width="17.7109375" customWidth="1"/>
    <col min="4597" max="4597" width="16.28515625" customWidth="1"/>
    <col min="4598" max="4598" width="15.28515625" customWidth="1"/>
    <col min="4599" max="4599" width="12" customWidth="1"/>
    <col min="4600" max="4600" width="16.28515625" customWidth="1"/>
    <col min="4601" max="4601" width="14.85546875" customWidth="1"/>
    <col min="4602" max="4602" width="15.28515625" customWidth="1"/>
    <col min="4603" max="4603" width="16" customWidth="1"/>
    <col min="4604" max="4604" width="21.140625" customWidth="1"/>
    <col min="4605" max="4606" width="18.5703125" customWidth="1"/>
    <col min="4607" max="4607" width="17.7109375" customWidth="1"/>
    <col min="4844" max="4844" width="27.85546875" customWidth="1"/>
    <col min="4845" max="4845" width="42.28515625" customWidth="1"/>
    <col min="4846" max="4846" width="69.140625" customWidth="1"/>
    <col min="4847" max="4847" width="0.28515625" customWidth="1"/>
    <col min="4848" max="4851" width="0" hidden="1" customWidth="1"/>
    <col min="4852" max="4852" width="17.7109375" customWidth="1"/>
    <col min="4853" max="4853" width="16.28515625" customWidth="1"/>
    <col min="4854" max="4854" width="15.28515625" customWidth="1"/>
    <col min="4855" max="4855" width="12" customWidth="1"/>
    <col min="4856" max="4856" width="16.28515625" customWidth="1"/>
    <col min="4857" max="4857" width="14.85546875" customWidth="1"/>
    <col min="4858" max="4858" width="15.28515625" customWidth="1"/>
    <col min="4859" max="4859" width="16" customWidth="1"/>
    <col min="4860" max="4860" width="21.140625" customWidth="1"/>
    <col min="4861" max="4862" width="18.5703125" customWidth="1"/>
    <col min="4863" max="4863" width="17.7109375" customWidth="1"/>
    <col min="5100" max="5100" width="27.85546875" customWidth="1"/>
    <col min="5101" max="5101" width="42.28515625" customWidth="1"/>
    <col min="5102" max="5102" width="69.140625" customWidth="1"/>
    <col min="5103" max="5103" width="0.28515625" customWidth="1"/>
    <col min="5104" max="5107" width="0" hidden="1" customWidth="1"/>
    <col min="5108" max="5108" width="17.7109375" customWidth="1"/>
    <col min="5109" max="5109" width="16.28515625" customWidth="1"/>
    <col min="5110" max="5110" width="15.28515625" customWidth="1"/>
    <col min="5111" max="5111" width="12" customWidth="1"/>
    <col min="5112" max="5112" width="16.28515625" customWidth="1"/>
    <col min="5113" max="5113" width="14.85546875" customWidth="1"/>
    <col min="5114" max="5114" width="15.28515625" customWidth="1"/>
    <col min="5115" max="5115" width="16" customWidth="1"/>
    <col min="5116" max="5116" width="21.140625" customWidth="1"/>
    <col min="5117" max="5118" width="18.5703125" customWidth="1"/>
    <col min="5119" max="5119" width="17.7109375" customWidth="1"/>
    <col min="5356" max="5356" width="27.85546875" customWidth="1"/>
    <col min="5357" max="5357" width="42.28515625" customWidth="1"/>
    <col min="5358" max="5358" width="69.140625" customWidth="1"/>
    <col min="5359" max="5359" width="0.28515625" customWidth="1"/>
    <col min="5360" max="5363" width="0" hidden="1" customWidth="1"/>
    <col min="5364" max="5364" width="17.7109375" customWidth="1"/>
    <col min="5365" max="5365" width="16.28515625" customWidth="1"/>
    <col min="5366" max="5366" width="15.28515625" customWidth="1"/>
    <col min="5367" max="5367" width="12" customWidth="1"/>
    <col min="5368" max="5368" width="16.28515625" customWidth="1"/>
    <col min="5369" max="5369" width="14.85546875" customWidth="1"/>
    <col min="5370" max="5370" width="15.28515625" customWidth="1"/>
    <col min="5371" max="5371" width="16" customWidth="1"/>
    <col min="5372" max="5372" width="21.140625" customWidth="1"/>
    <col min="5373" max="5374" width="18.5703125" customWidth="1"/>
    <col min="5375" max="5375" width="17.7109375" customWidth="1"/>
    <col min="5612" max="5612" width="27.85546875" customWidth="1"/>
    <col min="5613" max="5613" width="42.28515625" customWidth="1"/>
    <col min="5614" max="5614" width="69.140625" customWidth="1"/>
    <col min="5615" max="5615" width="0.28515625" customWidth="1"/>
    <col min="5616" max="5619" width="0" hidden="1" customWidth="1"/>
    <col min="5620" max="5620" width="17.7109375" customWidth="1"/>
    <col min="5621" max="5621" width="16.28515625" customWidth="1"/>
    <col min="5622" max="5622" width="15.28515625" customWidth="1"/>
    <col min="5623" max="5623" width="12" customWidth="1"/>
    <col min="5624" max="5624" width="16.28515625" customWidth="1"/>
    <col min="5625" max="5625" width="14.85546875" customWidth="1"/>
    <col min="5626" max="5626" width="15.28515625" customWidth="1"/>
    <col min="5627" max="5627" width="16" customWidth="1"/>
    <col min="5628" max="5628" width="21.140625" customWidth="1"/>
    <col min="5629" max="5630" width="18.5703125" customWidth="1"/>
    <col min="5631" max="5631" width="17.7109375" customWidth="1"/>
    <col min="5868" max="5868" width="27.85546875" customWidth="1"/>
    <col min="5869" max="5869" width="42.28515625" customWidth="1"/>
    <col min="5870" max="5870" width="69.140625" customWidth="1"/>
    <col min="5871" max="5871" width="0.28515625" customWidth="1"/>
    <col min="5872" max="5875" width="0" hidden="1" customWidth="1"/>
    <col min="5876" max="5876" width="17.7109375" customWidth="1"/>
    <col min="5877" max="5877" width="16.28515625" customWidth="1"/>
    <col min="5878" max="5878" width="15.28515625" customWidth="1"/>
    <col min="5879" max="5879" width="12" customWidth="1"/>
    <col min="5880" max="5880" width="16.28515625" customWidth="1"/>
    <col min="5881" max="5881" width="14.85546875" customWidth="1"/>
    <col min="5882" max="5882" width="15.28515625" customWidth="1"/>
    <col min="5883" max="5883" width="16" customWidth="1"/>
    <col min="5884" max="5884" width="21.140625" customWidth="1"/>
    <col min="5885" max="5886" width="18.5703125" customWidth="1"/>
    <col min="5887" max="5887" width="17.7109375" customWidth="1"/>
    <col min="6124" max="6124" width="27.85546875" customWidth="1"/>
    <col min="6125" max="6125" width="42.28515625" customWidth="1"/>
    <col min="6126" max="6126" width="69.140625" customWidth="1"/>
    <col min="6127" max="6127" width="0.28515625" customWidth="1"/>
    <col min="6128" max="6131" width="0" hidden="1" customWidth="1"/>
    <col min="6132" max="6132" width="17.7109375" customWidth="1"/>
    <col min="6133" max="6133" width="16.28515625" customWidth="1"/>
    <col min="6134" max="6134" width="15.28515625" customWidth="1"/>
    <col min="6135" max="6135" width="12" customWidth="1"/>
    <col min="6136" max="6136" width="16.28515625" customWidth="1"/>
    <col min="6137" max="6137" width="14.85546875" customWidth="1"/>
    <col min="6138" max="6138" width="15.28515625" customWidth="1"/>
    <col min="6139" max="6139" width="16" customWidth="1"/>
    <col min="6140" max="6140" width="21.140625" customWidth="1"/>
    <col min="6141" max="6142" width="18.5703125" customWidth="1"/>
    <col min="6143" max="6143" width="17.7109375" customWidth="1"/>
    <col min="6380" max="6380" width="27.85546875" customWidth="1"/>
    <col min="6381" max="6381" width="42.28515625" customWidth="1"/>
    <col min="6382" max="6382" width="69.140625" customWidth="1"/>
    <col min="6383" max="6383" width="0.28515625" customWidth="1"/>
    <col min="6384" max="6387" width="0" hidden="1" customWidth="1"/>
    <col min="6388" max="6388" width="17.7109375" customWidth="1"/>
    <col min="6389" max="6389" width="16.28515625" customWidth="1"/>
    <col min="6390" max="6390" width="15.28515625" customWidth="1"/>
    <col min="6391" max="6391" width="12" customWidth="1"/>
    <col min="6392" max="6392" width="16.28515625" customWidth="1"/>
    <col min="6393" max="6393" width="14.85546875" customWidth="1"/>
    <col min="6394" max="6394" width="15.28515625" customWidth="1"/>
    <col min="6395" max="6395" width="16" customWidth="1"/>
    <col min="6396" max="6396" width="21.140625" customWidth="1"/>
    <col min="6397" max="6398" width="18.5703125" customWidth="1"/>
    <col min="6399" max="6399" width="17.7109375" customWidth="1"/>
    <col min="6636" max="6636" width="27.85546875" customWidth="1"/>
    <col min="6637" max="6637" width="42.28515625" customWidth="1"/>
    <col min="6638" max="6638" width="69.140625" customWidth="1"/>
    <col min="6639" max="6639" width="0.28515625" customWidth="1"/>
    <col min="6640" max="6643" width="0" hidden="1" customWidth="1"/>
    <col min="6644" max="6644" width="17.7109375" customWidth="1"/>
    <col min="6645" max="6645" width="16.28515625" customWidth="1"/>
    <col min="6646" max="6646" width="15.28515625" customWidth="1"/>
    <col min="6647" max="6647" width="12" customWidth="1"/>
    <col min="6648" max="6648" width="16.28515625" customWidth="1"/>
    <col min="6649" max="6649" width="14.85546875" customWidth="1"/>
    <col min="6650" max="6650" width="15.28515625" customWidth="1"/>
    <col min="6651" max="6651" width="16" customWidth="1"/>
    <col min="6652" max="6652" width="21.140625" customWidth="1"/>
    <col min="6653" max="6654" width="18.5703125" customWidth="1"/>
    <col min="6655" max="6655" width="17.7109375" customWidth="1"/>
    <col min="6892" max="6892" width="27.85546875" customWidth="1"/>
    <col min="6893" max="6893" width="42.28515625" customWidth="1"/>
    <col min="6894" max="6894" width="69.140625" customWidth="1"/>
    <col min="6895" max="6895" width="0.28515625" customWidth="1"/>
    <col min="6896" max="6899" width="0" hidden="1" customWidth="1"/>
    <col min="6900" max="6900" width="17.7109375" customWidth="1"/>
    <col min="6901" max="6901" width="16.28515625" customWidth="1"/>
    <col min="6902" max="6902" width="15.28515625" customWidth="1"/>
    <col min="6903" max="6903" width="12" customWidth="1"/>
    <col min="6904" max="6904" width="16.28515625" customWidth="1"/>
    <col min="6905" max="6905" width="14.85546875" customWidth="1"/>
    <col min="6906" max="6906" width="15.28515625" customWidth="1"/>
    <col min="6907" max="6907" width="16" customWidth="1"/>
    <col min="6908" max="6908" width="21.140625" customWidth="1"/>
    <col min="6909" max="6910" width="18.5703125" customWidth="1"/>
    <col min="6911" max="6911" width="17.7109375" customWidth="1"/>
    <col min="7148" max="7148" width="27.85546875" customWidth="1"/>
    <col min="7149" max="7149" width="42.28515625" customWidth="1"/>
    <col min="7150" max="7150" width="69.140625" customWidth="1"/>
    <col min="7151" max="7151" width="0.28515625" customWidth="1"/>
    <col min="7152" max="7155" width="0" hidden="1" customWidth="1"/>
    <col min="7156" max="7156" width="17.7109375" customWidth="1"/>
    <col min="7157" max="7157" width="16.28515625" customWidth="1"/>
    <col min="7158" max="7158" width="15.28515625" customWidth="1"/>
    <col min="7159" max="7159" width="12" customWidth="1"/>
    <col min="7160" max="7160" width="16.28515625" customWidth="1"/>
    <col min="7161" max="7161" width="14.85546875" customWidth="1"/>
    <col min="7162" max="7162" width="15.28515625" customWidth="1"/>
    <col min="7163" max="7163" width="16" customWidth="1"/>
    <col min="7164" max="7164" width="21.140625" customWidth="1"/>
    <col min="7165" max="7166" width="18.5703125" customWidth="1"/>
    <col min="7167" max="7167" width="17.7109375" customWidth="1"/>
    <col min="7404" max="7404" width="27.85546875" customWidth="1"/>
    <col min="7405" max="7405" width="42.28515625" customWidth="1"/>
    <col min="7406" max="7406" width="69.140625" customWidth="1"/>
    <col min="7407" max="7407" width="0.28515625" customWidth="1"/>
    <col min="7408" max="7411" width="0" hidden="1" customWidth="1"/>
    <col min="7412" max="7412" width="17.7109375" customWidth="1"/>
    <col min="7413" max="7413" width="16.28515625" customWidth="1"/>
    <col min="7414" max="7414" width="15.28515625" customWidth="1"/>
    <col min="7415" max="7415" width="12" customWidth="1"/>
    <col min="7416" max="7416" width="16.28515625" customWidth="1"/>
    <col min="7417" max="7417" width="14.85546875" customWidth="1"/>
    <col min="7418" max="7418" width="15.28515625" customWidth="1"/>
    <col min="7419" max="7419" width="16" customWidth="1"/>
    <col min="7420" max="7420" width="21.140625" customWidth="1"/>
    <col min="7421" max="7422" width="18.5703125" customWidth="1"/>
    <col min="7423" max="7423" width="17.7109375" customWidth="1"/>
    <col min="7660" max="7660" width="27.85546875" customWidth="1"/>
    <col min="7661" max="7661" width="42.28515625" customWidth="1"/>
    <col min="7662" max="7662" width="69.140625" customWidth="1"/>
    <col min="7663" max="7663" width="0.28515625" customWidth="1"/>
    <col min="7664" max="7667" width="0" hidden="1" customWidth="1"/>
    <col min="7668" max="7668" width="17.7109375" customWidth="1"/>
    <col min="7669" max="7669" width="16.28515625" customWidth="1"/>
    <col min="7670" max="7670" width="15.28515625" customWidth="1"/>
    <col min="7671" max="7671" width="12" customWidth="1"/>
    <col min="7672" max="7672" width="16.28515625" customWidth="1"/>
    <col min="7673" max="7673" width="14.85546875" customWidth="1"/>
    <col min="7674" max="7674" width="15.28515625" customWidth="1"/>
    <col min="7675" max="7675" width="16" customWidth="1"/>
    <col min="7676" max="7676" width="21.140625" customWidth="1"/>
    <col min="7677" max="7678" width="18.5703125" customWidth="1"/>
    <col min="7679" max="7679" width="17.7109375" customWidth="1"/>
    <col min="7916" max="7916" width="27.85546875" customWidth="1"/>
    <col min="7917" max="7917" width="42.28515625" customWidth="1"/>
    <col min="7918" max="7918" width="69.140625" customWidth="1"/>
    <col min="7919" max="7919" width="0.28515625" customWidth="1"/>
    <col min="7920" max="7923" width="0" hidden="1" customWidth="1"/>
    <col min="7924" max="7924" width="17.7109375" customWidth="1"/>
    <col min="7925" max="7925" width="16.28515625" customWidth="1"/>
    <col min="7926" max="7926" width="15.28515625" customWidth="1"/>
    <col min="7927" max="7927" width="12" customWidth="1"/>
    <col min="7928" max="7928" width="16.28515625" customWidth="1"/>
    <col min="7929" max="7929" width="14.85546875" customWidth="1"/>
    <col min="7930" max="7930" width="15.28515625" customWidth="1"/>
    <col min="7931" max="7931" width="16" customWidth="1"/>
    <col min="7932" max="7932" width="21.140625" customWidth="1"/>
    <col min="7933" max="7934" width="18.5703125" customWidth="1"/>
    <col min="7935" max="7935" width="17.7109375" customWidth="1"/>
    <col min="8172" max="8172" width="27.85546875" customWidth="1"/>
    <col min="8173" max="8173" width="42.28515625" customWidth="1"/>
    <col min="8174" max="8174" width="69.140625" customWidth="1"/>
    <col min="8175" max="8175" width="0.28515625" customWidth="1"/>
    <col min="8176" max="8179" width="0" hidden="1" customWidth="1"/>
    <col min="8180" max="8180" width="17.7109375" customWidth="1"/>
    <col min="8181" max="8181" width="16.28515625" customWidth="1"/>
    <col min="8182" max="8182" width="15.28515625" customWidth="1"/>
    <col min="8183" max="8183" width="12" customWidth="1"/>
    <col min="8184" max="8184" width="16.28515625" customWidth="1"/>
    <col min="8185" max="8185" width="14.85546875" customWidth="1"/>
    <col min="8186" max="8186" width="15.28515625" customWidth="1"/>
    <col min="8187" max="8187" width="16" customWidth="1"/>
    <col min="8188" max="8188" width="21.140625" customWidth="1"/>
    <col min="8189" max="8190" width="18.5703125" customWidth="1"/>
    <col min="8191" max="8191" width="17.7109375" customWidth="1"/>
    <col min="8428" max="8428" width="27.85546875" customWidth="1"/>
    <col min="8429" max="8429" width="42.28515625" customWidth="1"/>
    <col min="8430" max="8430" width="69.140625" customWidth="1"/>
    <col min="8431" max="8431" width="0.28515625" customWidth="1"/>
    <col min="8432" max="8435" width="0" hidden="1" customWidth="1"/>
    <col min="8436" max="8436" width="17.7109375" customWidth="1"/>
    <col min="8437" max="8437" width="16.28515625" customWidth="1"/>
    <col min="8438" max="8438" width="15.28515625" customWidth="1"/>
    <col min="8439" max="8439" width="12" customWidth="1"/>
    <col min="8440" max="8440" width="16.28515625" customWidth="1"/>
    <col min="8441" max="8441" width="14.85546875" customWidth="1"/>
    <col min="8442" max="8442" width="15.28515625" customWidth="1"/>
    <col min="8443" max="8443" width="16" customWidth="1"/>
    <col min="8444" max="8444" width="21.140625" customWidth="1"/>
    <col min="8445" max="8446" width="18.5703125" customWidth="1"/>
    <col min="8447" max="8447" width="17.7109375" customWidth="1"/>
    <col min="8684" max="8684" width="27.85546875" customWidth="1"/>
    <col min="8685" max="8685" width="42.28515625" customWidth="1"/>
    <col min="8686" max="8686" width="69.140625" customWidth="1"/>
    <col min="8687" max="8687" width="0.28515625" customWidth="1"/>
    <col min="8688" max="8691" width="0" hidden="1" customWidth="1"/>
    <col min="8692" max="8692" width="17.7109375" customWidth="1"/>
    <col min="8693" max="8693" width="16.28515625" customWidth="1"/>
    <col min="8694" max="8694" width="15.28515625" customWidth="1"/>
    <col min="8695" max="8695" width="12" customWidth="1"/>
    <col min="8696" max="8696" width="16.28515625" customWidth="1"/>
    <col min="8697" max="8697" width="14.85546875" customWidth="1"/>
    <col min="8698" max="8698" width="15.28515625" customWidth="1"/>
    <col min="8699" max="8699" width="16" customWidth="1"/>
    <col min="8700" max="8700" width="21.140625" customWidth="1"/>
    <col min="8701" max="8702" width="18.5703125" customWidth="1"/>
    <col min="8703" max="8703" width="17.7109375" customWidth="1"/>
    <col min="8940" max="8940" width="27.85546875" customWidth="1"/>
    <col min="8941" max="8941" width="42.28515625" customWidth="1"/>
    <col min="8942" max="8942" width="69.140625" customWidth="1"/>
    <col min="8943" max="8943" width="0.28515625" customWidth="1"/>
    <col min="8944" max="8947" width="0" hidden="1" customWidth="1"/>
    <col min="8948" max="8948" width="17.7109375" customWidth="1"/>
    <col min="8949" max="8949" width="16.28515625" customWidth="1"/>
    <col min="8950" max="8950" width="15.28515625" customWidth="1"/>
    <col min="8951" max="8951" width="12" customWidth="1"/>
    <col min="8952" max="8952" width="16.28515625" customWidth="1"/>
    <col min="8953" max="8953" width="14.85546875" customWidth="1"/>
    <col min="8954" max="8954" width="15.28515625" customWidth="1"/>
    <col min="8955" max="8955" width="16" customWidth="1"/>
    <col min="8956" max="8956" width="21.140625" customWidth="1"/>
    <col min="8957" max="8958" width="18.5703125" customWidth="1"/>
    <col min="8959" max="8959" width="17.7109375" customWidth="1"/>
    <col min="9196" max="9196" width="27.85546875" customWidth="1"/>
    <col min="9197" max="9197" width="42.28515625" customWidth="1"/>
    <col min="9198" max="9198" width="69.140625" customWidth="1"/>
    <col min="9199" max="9199" width="0.28515625" customWidth="1"/>
    <col min="9200" max="9203" width="0" hidden="1" customWidth="1"/>
    <col min="9204" max="9204" width="17.7109375" customWidth="1"/>
    <col min="9205" max="9205" width="16.28515625" customWidth="1"/>
    <col min="9206" max="9206" width="15.28515625" customWidth="1"/>
    <col min="9207" max="9207" width="12" customWidth="1"/>
    <col min="9208" max="9208" width="16.28515625" customWidth="1"/>
    <col min="9209" max="9209" width="14.85546875" customWidth="1"/>
    <col min="9210" max="9210" width="15.28515625" customWidth="1"/>
    <col min="9211" max="9211" width="16" customWidth="1"/>
    <col min="9212" max="9212" width="21.140625" customWidth="1"/>
    <col min="9213" max="9214" width="18.5703125" customWidth="1"/>
    <col min="9215" max="9215" width="17.7109375" customWidth="1"/>
    <col min="9452" max="9452" width="27.85546875" customWidth="1"/>
    <col min="9453" max="9453" width="42.28515625" customWidth="1"/>
    <col min="9454" max="9454" width="69.140625" customWidth="1"/>
    <col min="9455" max="9455" width="0.28515625" customWidth="1"/>
    <col min="9456" max="9459" width="0" hidden="1" customWidth="1"/>
    <col min="9460" max="9460" width="17.7109375" customWidth="1"/>
    <col min="9461" max="9461" width="16.28515625" customWidth="1"/>
    <col min="9462" max="9462" width="15.28515625" customWidth="1"/>
    <col min="9463" max="9463" width="12" customWidth="1"/>
    <col min="9464" max="9464" width="16.28515625" customWidth="1"/>
    <col min="9465" max="9465" width="14.85546875" customWidth="1"/>
    <col min="9466" max="9466" width="15.28515625" customWidth="1"/>
    <col min="9467" max="9467" width="16" customWidth="1"/>
    <col min="9468" max="9468" width="21.140625" customWidth="1"/>
    <col min="9469" max="9470" width="18.5703125" customWidth="1"/>
    <col min="9471" max="9471" width="17.7109375" customWidth="1"/>
    <col min="9708" max="9708" width="27.85546875" customWidth="1"/>
    <col min="9709" max="9709" width="42.28515625" customWidth="1"/>
    <col min="9710" max="9710" width="69.140625" customWidth="1"/>
    <col min="9711" max="9711" width="0.28515625" customWidth="1"/>
    <col min="9712" max="9715" width="0" hidden="1" customWidth="1"/>
    <col min="9716" max="9716" width="17.7109375" customWidth="1"/>
    <col min="9717" max="9717" width="16.28515625" customWidth="1"/>
    <col min="9718" max="9718" width="15.28515625" customWidth="1"/>
    <col min="9719" max="9719" width="12" customWidth="1"/>
    <col min="9720" max="9720" width="16.28515625" customWidth="1"/>
    <col min="9721" max="9721" width="14.85546875" customWidth="1"/>
    <col min="9722" max="9722" width="15.28515625" customWidth="1"/>
    <col min="9723" max="9723" width="16" customWidth="1"/>
    <col min="9724" max="9724" width="21.140625" customWidth="1"/>
    <col min="9725" max="9726" width="18.5703125" customWidth="1"/>
    <col min="9727" max="9727" width="17.7109375" customWidth="1"/>
    <col min="9964" max="9964" width="27.85546875" customWidth="1"/>
    <col min="9965" max="9965" width="42.28515625" customWidth="1"/>
    <col min="9966" max="9966" width="69.140625" customWidth="1"/>
    <col min="9967" max="9967" width="0.28515625" customWidth="1"/>
    <col min="9968" max="9971" width="0" hidden="1" customWidth="1"/>
    <col min="9972" max="9972" width="17.7109375" customWidth="1"/>
    <col min="9973" max="9973" width="16.28515625" customWidth="1"/>
    <col min="9974" max="9974" width="15.28515625" customWidth="1"/>
    <col min="9975" max="9975" width="12" customWidth="1"/>
    <col min="9976" max="9976" width="16.28515625" customWidth="1"/>
    <col min="9977" max="9977" width="14.85546875" customWidth="1"/>
    <col min="9978" max="9978" width="15.28515625" customWidth="1"/>
    <col min="9979" max="9979" width="16" customWidth="1"/>
    <col min="9980" max="9980" width="21.140625" customWidth="1"/>
    <col min="9981" max="9982" width="18.5703125" customWidth="1"/>
    <col min="9983" max="9983" width="17.7109375" customWidth="1"/>
    <col min="10220" max="10220" width="27.85546875" customWidth="1"/>
    <col min="10221" max="10221" width="42.28515625" customWidth="1"/>
    <col min="10222" max="10222" width="69.140625" customWidth="1"/>
    <col min="10223" max="10223" width="0.28515625" customWidth="1"/>
    <col min="10224" max="10227" width="0" hidden="1" customWidth="1"/>
    <col min="10228" max="10228" width="17.7109375" customWidth="1"/>
    <col min="10229" max="10229" width="16.28515625" customWidth="1"/>
    <col min="10230" max="10230" width="15.28515625" customWidth="1"/>
    <col min="10231" max="10231" width="12" customWidth="1"/>
    <col min="10232" max="10232" width="16.28515625" customWidth="1"/>
    <col min="10233" max="10233" width="14.85546875" customWidth="1"/>
    <col min="10234" max="10234" width="15.28515625" customWidth="1"/>
    <col min="10235" max="10235" width="16" customWidth="1"/>
    <col min="10236" max="10236" width="21.140625" customWidth="1"/>
    <col min="10237" max="10238" width="18.5703125" customWidth="1"/>
    <col min="10239" max="10239" width="17.7109375" customWidth="1"/>
    <col min="10476" max="10476" width="27.85546875" customWidth="1"/>
    <col min="10477" max="10477" width="42.28515625" customWidth="1"/>
    <col min="10478" max="10478" width="69.140625" customWidth="1"/>
    <col min="10479" max="10479" width="0.28515625" customWidth="1"/>
    <col min="10480" max="10483" width="0" hidden="1" customWidth="1"/>
    <col min="10484" max="10484" width="17.7109375" customWidth="1"/>
    <col min="10485" max="10485" width="16.28515625" customWidth="1"/>
    <col min="10486" max="10486" width="15.28515625" customWidth="1"/>
    <col min="10487" max="10487" width="12" customWidth="1"/>
    <col min="10488" max="10488" width="16.28515625" customWidth="1"/>
    <col min="10489" max="10489" width="14.85546875" customWidth="1"/>
    <col min="10490" max="10490" width="15.28515625" customWidth="1"/>
    <col min="10491" max="10491" width="16" customWidth="1"/>
    <col min="10492" max="10492" width="21.140625" customWidth="1"/>
    <col min="10493" max="10494" width="18.5703125" customWidth="1"/>
    <col min="10495" max="10495" width="17.7109375" customWidth="1"/>
    <col min="10732" max="10732" width="27.85546875" customWidth="1"/>
    <col min="10733" max="10733" width="42.28515625" customWidth="1"/>
    <col min="10734" max="10734" width="69.140625" customWidth="1"/>
    <col min="10735" max="10735" width="0.28515625" customWidth="1"/>
    <col min="10736" max="10739" width="0" hidden="1" customWidth="1"/>
    <col min="10740" max="10740" width="17.7109375" customWidth="1"/>
    <col min="10741" max="10741" width="16.28515625" customWidth="1"/>
    <col min="10742" max="10742" width="15.28515625" customWidth="1"/>
    <col min="10743" max="10743" width="12" customWidth="1"/>
    <col min="10744" max="10744" width="16.28515625" customWidth="1"/>
    <col min="10745" max="10745" width="14.85546875" customWidth="1"/>
    <col min="10746" max="10746" width="15.28515625" customWidth="1"/>
    <col min="10747" max="10747" width="16" customWidth="1"/>
    <col min="10748" max="10748" width="21.140625" customWidth="1"/>
    <col min="10749" max="10750" width="18.5703125" customWidth="1"/>
    <col min="10751" max="10751" width="17.7109375" customWidth="1"/>
    <col min="10988" max="10988" width="27.85546875" customWidth="1"/>
    <col min="10989" max="10989" width="42.28515625" customWidth="1"/>
    <col min="10990" max="10990" width="69.140625" customWidth="1"/>
    <col min="10991" max="10991" width="0.28515625" customWidth="1"/>
    <col min="10992" max="10995" width="0" hidden="1" customWidth="1"/>
    <col min="10996" max="10996" width="17.7109375" customWidth="1"/>
    <col min="10997" max="10997" width="16.28515625" customWidth="1"/>
    <col min="10998" max="10998" width="15.28515625" customWidth="1"/>
    <col min="10999" max="10999" width="12" customWidth="1"/>
    <col min="11000" max="11000" width="16.28515625" customWidth="1"/>
    <col min="11001" max="11001" width="14.85546875" customWidth="1"/>
    <col min="11002" max="11002" width="15.28515625" customWidth="1"/>
    <col min="11003" max="11003" width="16" customWidth="1"/>
    <col min="11004" max="11004" width="21.140625" customWidth="1"/>
    <col min="11005" max="11006" width="18.5703125" customWidth="1"/>
    <col min="11007" max="11007" width="17.7109375" customWidth="1"/>
    <col min="11244" max="11244" width="27.85546875" customWidth="1"/>
    <col min="11245" max="11245" width="42.28515625" customWidth="1"/>
    <col min="11246" max="11246" width="69.140625" customWidth="1"/>
    <col min="11247" max="11247" width="0.28515625" customWidth="1"/>
    <col min="11248" max="11251" width="0" hidden="1" customWidth="1"/>
    <col min="11252" max="11252" width="17.7109375" customWidth="1"/>
    <col min="11253" max="11253" width="16.28515625" customWidth="1"/>
    <col min="11254" max="11254" width="15.28515625" customWidth="1"/>
    <col min="11255" max="11255" width="12" customWidth="1"/>
    <col min="11256" max="11256" width="16.28515625" customWidth="1"/>
    <col min="11257" max="11257" width="14.85546875" customWidth="1"/>
    <col min="11258" max="11258" width="15.28515625" customWidth="1"/>
    <col min="11259" max="11259" width="16" customWidth="1"/>
    <col min="11260" max="11260" width="21.140625" customWidth="1"/>
    <col min="11261" max="11262" width="18.5703125" customWidth="1"/>
    <col min="11263" max="11263" width="17.7109375" customWidth="1"/>
    <col min="11500" max="11500" width="27.85546875" customWidth="1"/>
    <col min="11501" max="11501" width="42.28515625" customWidth="1"/>
    <col min="11502" max="11502" width="69.140625" customWidth="1"/>
    <col min="11503" max="11503" width="0.28515625" customWidth="1"/>
    <col min="11504" max="11507" width="0" hidden="1" customWidth="1"/>
    <col min="11508" max="11508" width="17.7109375" customWidth="1"/>
    <col min="11509" max="11509" width="16.28515625" customWidth="1"/>
    <col min="11510" max="11510" width="15.28515625" customWidth="1"/>
    <col min="11511" max="11511" width="12" customWidth="1"/>
    <col min="11512" max="11512" width="16.28515625" customWidth="1"/>
    <col min="11513" max="11513" width="14.85546875" customWidth="1"/>
    <col min="11514" max="11514" width="15.28515625" customWidth="1"/>
    <col min="11515" max="11515" width="16" customWidth="1"/>
    <col min="11516" max="11516" width="21.140625" customWidth="1"/>
    <col min="11517" max="11518" width="18.5703125" customWidth="1"/>
    <col min="11519" max="11519" width="17.7109375" customWidth="1"/>
    <col min="11756" max="11756" width="27.85546875" customWidth="1"/>
    <col min="11757" max="11757" width="42.28515625" customWidth="1"/>
    <col min="11758" max="11758" width="69.140625" customWidth="1"/>
    <col min="11759" max="11759" width="0.28515625" customWidth="1"/>
    <col min="11760" max="11763" width="0" hidden="1" customWidth="1"/>
    <col min="11764" max="11764" width="17.7109375" customWidth="1"/>
    <col min="11765" max="11765" width="16.28515625" customWidth="1"/>
    <col min="11766" max="11766" width="15.28515625" customWidth="1"/>
    <col min="11767" max="11767" width="12" customWidth="1"/>
    <col min="11768" max="11768" width="16.28515625" customWidth="1"/>
    <col min="11769" max="11769" width="14.85546875" customWidth="1"/>
    <col min="11770" max="11770" width="15.28515625" customWidth="1"/>
    <col min="11771" max="11771" width="16" customWidth="1"/>
    <col min="11772" max="11772" width="21.140625" customWidth="1"/>
    <col min="11773" max="11774" width="18.5703125" customWidth="1"/>
    <col min="11775" max="11775" width="17.7109375" customWidth="1"/>
    <col min="12012" max="12012" width="27.85546875" customWidth="1"/>
    <col min="12013" max="12013" width="42.28515625" customWidth="1"/>
    <col min="12014" max="12014" width="69.140625" customWidth="1"/>
    <col min="12015" max="12015" width="0.28515625" customWidth="1"/>
    <col min="12016" max="12019" width="0" hidden="1" customWidth="1"/>
    <col min="12020" max="12020" width="17.7109375" customWidth="1"/>
    <col min="12021" max="12021" width="16.28515625" customWidth="1"/>
    <col min="12022" max="12022" width="15.28515625" customWidth="1"/>
    <col min="12023" max="12023" width="12" customWidth="1"/>
    <col min="12024" max="12024" width="16.28515625" customWidth="1"/>
    <col min="12025" max="12025" width="14.85546875" customWidth="1"/>
    <col min="12026" max="12026" width="15.28515625" customWidth="1"/>
    <col min="12027" max="12027" width="16" customWidth="1"/>
    <col min="12028" max="12028" width="21.140625" customWidth="1"/>
    <col min="12029" max="12030" width="18.5703125" customWidth="1"/>
    <col min="12031" max="12031" width="17.7109375" customWidth="1"/>
    <col min="12268" max="12268" width="27.85546875" customWidth="1"/>
    <col min="12269" max="12269" width="42.28515625" customWidth="1"/>
    <col min="12270" max="12270" width="69.140625" customWidth="1"/>
    <col min="12271" max="12271" width="0.28515625" customWidth="1"/>
    <col min="12272" max="12275" width="0" hidden="1" customWidth="1"/>
    <col min="12276" max="12276" width="17.7109375" customWidth="1"/>
    <col min="12277" max="12277" width="16.28515625" customWidth="1"/>
    <col min="12278" max="12278" width="15.28515625" customWidth="1"/>
    <col min="12279" max="12279" width="12" customWidth="1"/>
    <col min="12280" max="12280" width="16.28515625" customWidth="1"/>
    <col min="12281" max="12281" width="14.85546875" customWidth="1"/>
    <col min="12282" max="12282" width="15.28515625" customWidth="1"/>
    <col min="12283" max="12283" width="16" customWidth="1"/>
    <col min="12284" max="12284" width="21.140625" customWidth="1"/>
    <col min="12285" max="12286" width="18.5703125" customWidth="1"/>
    <col min="12287" max="12287" width="17.7109375" customWidth="1"/>
    <col min="12524" max="12524" width="27.85546875" customWidth="1"/>
    <col min="12525" max="12525" width="42.28515625" customWidth="1"/>
    <col min="12526" max="12526" width="69.140625" customWidth="1"/>
    <col min="12527" max="12527" width="0.28515625" customWidth="1"/>
    <col min="12528" max="12531" width="0" hidden="1" customWidth="1"/>
    <col min="12532" max="12532" width="17.7109375" customWidth="1"/>
    <col min="12533" max="12533" width="16.28515625" customWidth="1"/>
    <col min="12534" max="12534" width="15.28515625" customWidth="1"/>
    <col min="12535" max="12535" width="12" customWidth="1"/>
    <col min="12536" max="12536" width="16.28515625" customWidth="1"/>
    <col min="12537" max="12537" width="14.85546875" customWidth="1"/>
    <col min="12538" max="12538" width="15.28515625" customWidth="1"/>
    <col min="12539" max="12539" width="16" customWidth="1"/>
    <col min="12540" max="12540" width="21.140625" customWidth="1"/>
    <col min="12541" max="12542" width="18.5703125" customWidth="1"/>
    <col min="12543" max="12543" width="17.7109375" customWidth="1"/>
    <col min="12780" max="12780" width="27.85546875" customWidth="1"/>
    <col min="12781" max="12781" width="42.28515625" customWidth="1"/>
    <col min="12782" max="12782" width="69.140625" customWidth="1"/>
    <col min="12783" max="12783" width="0.28515625" customWidth="1"/>
    <col min="12784" max="12787" width="0" hidden="1" customWidth="1"/>
    <col min="12788" max="12788" width="17.7109375" customWidth="1"/>
    <col min="12789" max="12789" width="16.28515625" customWidth="1"/>
    <col min="12790" max="12790" width="15.28515625" customWidth="1"/>
    <col min="12791" max="12791" width="12" customWidth="1"/>
    <col min="12792" max="12792" width="16.28515625" customWidth="1"/>
    <col min="12793" max="12793" width="14.85546875" customWidth="1"/>
    <col min="12794" max="12794" width="15.28515625" customWidth="1"/>
    <col min="12795" max="12795" width="16" customWidth="1"/>
    <col min="12796" max="12796" width="21.140625" customWidth="1"/>
    <col min="12797" max="12798" width="18.5703125" customWidth="1"/>
    <col min="12799" max="12799" width="17.7109375" customWidth="1"/>
    <col min="13036" max="13036" width="27.85546875" customWidth="1"/>
    <col min="13037" max="13037" width="42.28515625" customWidth="1"/>
    <col min="13038" max="13038" width="69.140625" customWidth="1"/>
    <col min="13039" max="13039" width="0.28515625" customWidth="1"/>
    <col min="13040" max="13043" width="0" hidden="1" customWidth="1"/>
    <col min="13044" max="13044" width="17.7109375" customWidth="1"/>
    <col min="13045" max="13045" width="16.28515625" customWidth="1"/>
    <col min="13046" max="13046" width="15.28515625" customWidth="1"/>
    <col min="13047" max="13047" width="12" customWidth="1"/>
    <col min="13048" max="13048" width="16.28515625" customWidth="1"/>
    <col min="13049" max="13049" width="14.85546875" customWidth="1"/>
    <col min="13050" max="13050" width="15.28515625" customWidth="1"/>
    <col min="13051" max="13051" width="16" customWidth="1"/>
    <col min="13052" max="13052" width="21.140625" customWidth="1"/>
    <col min="13053" max="13054" width="18.5703125" customWidth="1"/>
    <col min="13055" max="13055" width="17.7109375" customWidth="1"/>
    <col min="13292" max="13292" width="27.85546875" customWidth="1"/>
    <col min="13293" max="13293" width="42.28515625" customWidth="1"/>
    <col min="13294" max="13294" width="69.140625" customWidth="1"/>
    <col min="13295" max="13295" width="0.28515625" customWidth="1"/>
    <col min="13296" max="13299" width="0" hidden="1" customWidth="1"/>
    <col min="13300" max="13300" width="17.7109375" customWidth="1"/>
    <col min="13301" max="13301" width="16.28515625" customWidth="1"/>
    <col min="13302" max="13302" width="15.28515625" customWidth="1"/>
    <col min="13303" max="13303" width="12" customWidth="1"/>
    <col min="13304" max="13304" width="16.28515625" customWidth="1"/>
    <col min="13305" max="13305" width="14.85546875" customWidth="1"/>
    <col min="13306" max="13306" width="15.28515625" customWidth="1"/>
    <col min="13307" max="13307" width="16" customWidth="1"/>
    <col min="13308" max="13308" width="21.140625" customWidth="1"/>
    <col min="13309" max="13310" width="18.5703125" customWidth="1"/>
    <col min="13311" max="13311" width="17.7109375" customWidth="1"/>
    <col min="13548" max="13548" width="27.85546875" customWidth="1"/>
    <col min="13549" max="13549" width="42.28515625" customWidth="1"/>
    <col min="13550" max="13550" width="69.140625" customWidth="1"/>
    <col min="13551" max="13551" width="0.28515625" customWidth="1"/>
    <col min="13552" max="13555" width="0" hidden="1" customWidth="1"/>
    <col min="13556" max="13556" width="17.7109375" customWidth="1"/>
    <col min="13557" max="13557" width="16.28515625" customWidth="1"/>
    <col min="13558" max="13558" width="15.28515625" customWidth="1"/>
    <col min="13559" max="13559" width="12" customWidth="1"/>
    <col min="13560" max="13560" width="16.28515625" customWidth="1"/>
    <col min="13561" max="13561" width="14.85546875" customWidth="1"/>
    <col min="13562" max="13562" width="15.28515625" customWidth="1"/>
    <col min="13563" max="13563" width="16" customWidth="1"/>
    <col min="13564" max="13564" width="21.140625" customWidth="1"/>
    <col min="13565" max="13566" width="18.5703125" customWidth="1"/>
    <col min="13567" max="13567" width="17.7109375" customWidth="1"/>
    <col min="13804" max="13804" width="27.85546875" customWidth="1"/>
    <col min="13805" max="13805" width="42.28515625" customWidth="1"/>
    <col min="13806" max="13806" width="69.140625" customWidth="1"/>
    <col min="13807" max="13807" width="0.28515625" customWidth="1"/>
    <col min="13808" max="13811" width="0" hidden="1" customWidth="1"/>
    <col min="13812" max="13812" width="17.7109375" customWidth="1"/>
    <col min="13813" max="13813" width="16.28515625" customWidth="1"/>
    <col min="13814" max="13814" width="15.28515625" customWidth="1"/>
    <col min="13815" max="13815" width="12" customWidth="1"/>
    <col min="13816" max="13816" width="16.28515625" customWidth="1"/>
    <col min="13817" max="13817" width="14.85546875" customWidth="1"/>
    <col min="13818" max="13818" width="15.28515625" customWidth="1"/>
    <col min="13819" max="13819" width="16" customWidth="1"/>
    <col min="13820" max="13820" width="21.140625" customWidth="1"/>
    <col min="13821" max="13822" width="18.5703125" customWidth="1"/>
    <col min="13823" max="13823" width="17.7109375" customWidth="1"/>
    <col min="14060" max="14060" width="27.85546875" customWidth="1"/>
    <col min="14061" max="14061" width="42.28515625" customWidth="1"/>
    <col min="14062" max="14062" width="69.140625" customWidth="1"/>
    <col min="14063" max="14063" width="0.28515625" customWidth="1"/>
    <col min="14064" max="14067" width="0" hidden="1" customWidth="1"/>
    <col min="14068" max="14068" width="17.7109375" customWidth="1"/>
    <col min="14069" max="14069" width="16.28515625" customWidth="1"/>
    <col min="14070" max="14070" width="15.28515625" customWidth="1"/>
    <col min="14071" max="14071" width="12" customWidth="1"/>
    <col min="14072" max="14072" width="16.28515625" customWidth="1"/>
    <col min="14073" max="14073" width="14.85546875" customWidth="1"/>
    <col min="14074" max="14074" width="15.28515625" customWidth="1"/>
    <col min="14075" max="14075" width="16" customWidth="1"/>
    <col min="14076" max="14076" width="21.140625" customWidth="1"/>
    <col min="14077" max="14078" width="18.5703125" customWidth="1"/>
    <col min="14079" max="14079" width="17.7109375" customWidth="1"/>
    <col min="14316" max="14316" width="27.85546875" customWidth="1"/>
    <col min="14317" max="14317" width="42.28515625" customWidth="1"/>
    <col min="14318" max="14318" width="69.140625" customWidth="1"/>
    <col min="14319" max="14319" width="0.28515625" customWidth="1"/>
    <col min="14320" max="14323" width="0" hidden="1" customWidth="1"/>
    <col min="14324" max="14324" width="17.7109375" customWidth="1"/>
    <col min="14325" max="14325" width="16.28515625" customWidth="1"/>
    <col min="14326" max="14326" width="15.28515625" customWidth="1"/>
    <col min="14327" max="14327" width="12" customWidth="1"/>
    <col min="14328" max="14328" width="16.28515625" customWidth="1"/>
    <col min="14329" max="14329" width="14.85546875" customWidth="1"/>
    <col min="14330" max="14330" width="15.28515625" customWidth="1"/>
    <col min="14331" max="14331" width="16" customWidth="1"/>
    <col min="14332" max="14332" width="21.140625" customWidth="1"/>
    <col min="14333" max="14334" width="18.5703125" customWidth="1"/>
    <col min="14335" max="14335" width="17.7109375" customWidth="1"/>
    <col min="14572" max="14572" width="27.85546875" customWidth="1"/>
    <col min="14573" max="14573" width="42.28515625" customWidth="1"/>
    <col min="14574" max="14574" width="69.140625" customWidth="1"/>
    <col min="14575" max="14575" width="0.28515625" customWidth="1"/>
    <col min="14576" max="14579" width="0" hidden="1" customWidth="1"/>
    <col min="14580" max="14580" width="17.7109375" customWidth="1"/>
    <col min="14581" max="14581" width="16.28515625" customWidth="1"/>
    <col min="14582" max="14582" width="15.28515625" customWidth="1"/>
    <col min="14583" max="14583" width="12" customWidth="1"/>
    <col min="14584" max="14584" width="16.28515625" customWidth="1"/>
    <col min="14585" max="14585" width="14.85546875" customWidth="1"/>
    <col min="14586" max="14586" width="15.28515625" customWidth="1"/>
    <col min="14587" max="14587" width="16" customWidth="1"/>
    <col min="14588" max="14588" width="21.140625" customWidth="1"/>
    <col min="14589" max="14590" width="18.5703125" customWidth="1"/>
    <col min="14591" max="14591" width="17.7109375" customWidth="1"/>
    <col min="14828" max="14828" width="27.85546875" customWidth="1"/>
    <col min="14829" max="14829" width="42.28515625" customWidth="1"/>
    <col min="14830" max="14830" width="69.140625" customWidth="1"/>
    <col min="14831" max="14831" width="0.28515625" customWidth="1"/>
    <col min="14832" max="14835" width="0" hidden="1" customWidth="1"/>
    <col min="14836" max="14836" width="17.7109375" customWidth="1"/>
    <col min="14837" max="14837" width="16.28515625" customWidth="1"/>
    <col min="14838" max="14838" width="15.28515625" customWidth="1"/>
    <col min="14839" max="14839" width="12" customWidth="1"/>
    <col min="14840" max="14840" width="16.28515625" customWidth="1"/>
    <col min="14841" max="14841" width="14.85546875" customWidth="1"/>
    <col min="14842" max="14842" width="15.28515625" customWidth="1"/>
    <col min="14843" max="14843" width="16" customWidth="1"/>
    <col min="14844" max="14844" width="21.140625" customWidth="1"/>
    <col min="14845" max="14846" width="18.5703125" customWidth="1"/>
    <col min="14847" max="14847" width="17.7109375" customWidth="1"/>
    <col min="15084" max="15084" width="27.85546875" customWidth="1"/>
    <col min="15085" max="15085" width="42.28515625" customWidth="1"/>
    <col min="15086" max="15086" width="69.140625" customWidth="1"/>
    <col min="15087" max="15087" width="0.28515625" customWidth="1"/>
    <col min="15088" max="15091" width="0" hidden="1" customWidth="1"/>
    <col min="15092" max="15092" width="17.7109375" customWidth="1"/>
    <col min="15093" max="15093" width="16.28515625" customWidth="1"/>
    <col min="15094" max="15094" width="15.28515625" customWidth="1"/>
    <col min="15095" max="15095" width="12" customWidth="1"/>
    <col min="15096" max="15096" width="16.28515625" customWidth="1"/>
    <col min="15097" max="15097" width="14.85546875" customWidth="1"/>
    <col min="15098" max="15098" width="15.28515625" customWidth="1"/>
    <col min="15099" max="15099" width="16" customWidth="1"/>
    <col min="15100" max="15100" width="21.140625" customWidth="1"/>
    <col min="15101" max="15102" width="18.5703125" customWidth="1"/>
    <col min="15103" max="15103" width="17.7109375" customWidth="1"/>
    <col min="15340" max="15340" width="27.85546875" customWidth="1"/>
    <col min="15341" max="15341" width="42.28515625" customWidth="1"/>
    <col min="15342" max="15342" width="69.140625" customWidth="1"/>
    <col min="15343" max="15343" width="0.28515625" customWidth="1"/>
    <col min="15344" max="15347" width="0" hidden="1" customWidth="1"/>
    <col min="15348" max="15348" width="17.7109375" customWidth="1"/>
    <col min="15349" max="15349" width="16.28515625" customWidth="1"/>
    <col min="15350" max="15350" width="15.28515625" customWidth="1"/>
    <col min="15351" max="15351" width="12" customWidth="1"/>
    <col min="15352" max="15352" width="16.28515625" customWidth="1"/>
    <col min="15353" max="15353" width="14.85546875" customWidth="1"/>
    <col min="15354" max="15354" width="15.28515625" customWidth="1"/>
    <col min="15355" max="15355" width="16" customWidth="1"/>
    <col min="15356" max="15356" width="21.140625" customWidth="1"/>
    <col min="15357" max="15358" width="18.5703125" customWidth="1"/>
    <col min="15359" max="15359" width="17.7109375" customWidth="1"/>
    <col min="15596" max="15596" width="27.85546875" customWidth="1"/>
    <col min="15597" max="15597" width="42.28515625" customWidth="1"/>
    <col min="15598" max="15598" width="69.140625" customWidth="1"/>
    <col min="15599" max="15599" width="0.28515625" customWidth="1"/>
    <col min="15600" max="15603" width="0" hidden="1" customWidth="1"/>
    <col min="15604" max="15604" width="17.7109375" customWidth="1"/>
    <col min="15605" max="15605" width="16.28515625" customWidth="1"/>
    <col min="15606" max="15606" width="15.28515625" customWidth="1"/>
    <col min="15607" max="15607" width="12" customWidth="1"/>
    <col min="15608" max="15608" width="16.28515625" customWidth="1"/>
    <col min="15609" max="15609" width="14.85546875" customWidth="1"/>
    <col min="15610" max="15610" width="15.28515625" customWidth="1"/>
    <col min="15611" max="15611" width="16" customWidth="1"/>
    <col min="15612" max="15612" width="21.140625" customWidth="1"/>
    <col min="15613" max="15614" width="18.5703125" customWidth="1"/>
    <col min="15615" max="15615" width="17.7109375" customWidth="1"/>
    <col min="15852" max="15852" width="27.85546875" customWidth="1"/>
    <col min="15853" max="15853" width="42.28515625" customWidth="1"/>
    <col min="15854" max="15854" width="69.140625" customWidth="1"/>
    <col min="15855" max="15855" width="0.28515625" customWidth="1"/>
    <col min="15856" max="15859" width="0" hidden="1" customWidth="1"/>
    <col min="15860" max="15860" width="17.7109375" customWidth="1"/>
    <col min="15861" max="15861" width="16.28515625" customWidth="1"/>
    <col min="15862" max="15862" width="15.28515625" customWidth="1"/>
    <col min="15863" max="15863" width="12" customWidth="1"/>
    <col min="15864" max="15864" width="16.28515625" customWidth="1"/>
    <col min="15865" max="15865" width="14.85546875" customWidth="1"/>
    <col min="15866" max="15866" width="15.28515625" customWidth="1"/>
    <col min="15867" max="15867" width="16" customWidth="1"/>
    <col min="15868" max="15868" width="21.140625" customWidth="1"/>
    <col min="15869" max="15870" width="18.5703125" customWidth="1"/>
    <col min="15871" max="15871" width="17.7109375" customWidth="1"/>
    <col min="16108" max="16108" width="27.85546875" customWidth="1"/>
    <col min="16109" max="16109" width="42.28515625" customWidth="1"/>
    <col min="16110" max="16110" width="69.140625" customWidth="1"/>
    <col min="16111" max="16111" width="0.28515625" customWidth="1"/>
    <col min="16112" max="16115" width="0" hidden="1" customWidth="1"/>
    <col min="16116" max="16116" width="17.7109375" customWidth="1"/>
    <col min="16117" max="16117" width="16.28515625" customWidth="1"/>
    <col min="16118" max="16118" width="15.28515625" customWidth="1"/>
    <col min="16119" max="16119" width="12" customWidth="1"/>
    <col min="16120" max="16120" width="16.28515625" customWidth="1"/>
    <col min="16121" max="16121" width="14.85546875" customWidth="1"/>
    <col min="16122" max="16122" width="15.28515625" customWidth="1"/>
    <col min="16123" max="16123" width="16" customWidth="1"/>
    <col min="16124" max="16124" width="21.140625" customWidth="1"/>
    <col min="16125" max="16126" width="18.5703125" customWidth="1"/>
    <col min="16127" max="16127" width="17.7109375" customWidth="1"/>
  </cols>
  <sheetData>
    <row r="1" spans="1:10" s="93" customFormat="1" ht="18.75" x14ac:dyDescent="0.3">
      <c r="A1" s="330"/>
      <c r="B1" s="330"/>
      <c r="C1" s="331"/>
      <c r="D1" s="332"/>
      <c r="E1" s="332"/>
      <c r="F1" s="332"/>
      <c r="G1" s="332"/>
      <c r="H1" s="332"/>
      <c r="I1" s="354"/>
      <c r="J1" s="358" t="s">
        <v>846</v>
      </c>
    </row>
    <row r="2" spans="1:10" ht="50.25" customHeight="1" x14ac:dyDescent="0.3">
      <c r="A2" s="451" t="s">
        <v>918</v>
      </c>
      <c r="B2" s="451"/>
      <c r="C2" s="451"/>
      <c r="D2" s="451"/>
      <c r="E2" s="451"/>
      <c r="F2" s="451"/>
      <c r="G2" s="452"/>
      <c r="H2" s="452"/>
      <c r="I2" s="452"/>
      <c r="J2" s="452"/>
    </row>
    <row r="3" spans="1:10" x14ac:dyDescent="0.25">
      <c r="A3" s="83"/>
      <c r="B3" s="83"/>
      <c r="C3" s="83"/>
      <c r="D3" s="84"/>
      <c r="E3" s="84"/>
      <c r="F3" s="84"/>
      <c r="G3" s="84"/>
      <c r="H3" s="84"/>
      <c r="I3" s="84"/>
      <c r="J3" s="333" t="s">
        <v>144</v>
      </c>
    </row>
    <row r="4" spans="1:10" ht="36.75" customHeight="1" x14ac:dyDescent="0.3">
      <c r="A4" s="453" t="s">
        <v>561</v>
      </c>
      <c r="B4" s="453" t="s">
        <v>562</v>
      </c>
      <c r="C4" s="453" t="s">
        <v>563</v>
      </c>
      <c r="D4" s="460" t="s">
        <v>719</v>
      </c>
      <c r="E4" s="461"/>
      <c r="F4" s="461"/>
      <c r="G4" s="462"/>
      <c r="H4" s="460" t="s">
        <v>653</v>
      </c>
      <c r="I4" s="461"/>
      <c r="J4" s="461"/>
    </row>
    <row r="5" spans="1:10" ht="15.75" customHeight="1" x14ac:dyDescent="0.3">
      <c r="A5" s="454"/>
      <c r="B5" s="456"/>
      <c r="C5" s="458"/>
      <c r="D5" s="463" t="s">
        <v>564</v>
      </c>
      <c r="E5" s="460" t="s">
        <v>565</v>
      </c>
      <c r="F5" s="465"/>
      <c r="G5" s="466"/>
      <c r="H5" s="463" t="s">
        <v>566</v>
      </c>
      <c r="I5" s="463" t="s">
        <v>567</v>
      </c>
      <c r="J5" s="463" t="s">
        <v>568</v>
      </c>
    </row>
    <row r="6" spans="1:10" ht="56.25" x14ac:dyDescent="0.25">
      <c r="A6" s="455"/>
      <c r="B6" s="457"/>
      <c r="C6" s="459"/>
      <c r="D6" s="464"/>
      <c r="E6" s="60" t="s">
        <v>566</v>
      </c>
      <c r="F6" s="60" t="s">
        <v>567</v>
      </c>
      <c r="G6" s="60" t="s">
        <v>568</v>
      </c>
      <c r="H6" s="467"/>
      <c r="I6" s="467"/>
      <c r="J6" s="468"/>
    </row>
    <row r="7" spans="1:10" ht="181.5" hidden="1" customHeight="1" x14ac:dyDescent="0.25">
      <c r="A7" s="443" t="s">
        <v>569</v>
      </c>
      <c r="B7" s="85" t="s">
        <v>570</v>
      </c>
      <c r="C7" s="85" t="s">
        <v>571</v>
      </c>
      <c r="D7" s="86">
        <f>SUM(E7:G7)</f>
        <v>0</v>
      </c>
      <c r="E7" s="86"/>
      <c r="F7" s="86"/>
      <c r="G7" s="86"/>
      <c r="H7" s="86"/>
      <c r="I7" s="86"/>
      <c r="J7" s="86"/>
    </row>
    <row r="8" spans="1:10" ht="136.5" hidden="1" customHeight="1" x14ac:dyDescent="0.25">
      <c r="A8" s="444"/>
      <c r="B8" s="85" t="s">
        <v>572</v>
      </c>
      <c r="C8" s="85" t="s">
        <v>573</v>
      </c>
      <c r="D8" s="87">
        <f>SUM(E8:G8)</f>
        <v>0</v>
      </c>
      <c r="E8" s="87"/>
      <c r="F8" s="87"/>
      <c r="G8" s="87"/>
      <c r="H8" s="87"/>
      <c r="I8" s="87"/>
      <c r="J8" s="87"/>
    </row>
    <row r="9" spans="1:10" ht="172.5" hidden="1" customHeight="1" x14ac:dyDescent="0.25">
      <c r="A9" s="444"/>
      <c r="B9" s="85" t="s">
        <v>574</v>
      </c>
      <c r="C9" s="85" t="s">
        <v>574</v>
      </c>
      <c r="D9" s="87">
        <f>SUM(E9:G9)</f>
        <v>0</v>
      </c>
      <c r="E9" s="87"/>
      <c r="F9" s="87"/>
      <c r="G9" s="87"/>
      <c r="H9" s="87"/>
      <c r="I9" s="87"/>
      <c r="J9" s="87"/>
    </row>
    <row r="10" spans="1:10" ht="156.75" customHeight="1" x14ac:dyDescent="0.25">
      <c r="A10" s="445"/>
      <c r="B10" s="85" t="s">
        <v>575</v>
      </c>
      <c r="C10" s="85" t="s">
        <v>576</v>
      </c>
      <c r="D10" s="87">
        <f>SUM(E10:G10)</f>
        <v>741.62963999999999</v>
      </c>
      <c r="E10" s="87"/>
      <c r="F10" s="87"/>
      <c r="G10" s="87">
        <v>741.62963999999999</v>
      </c>
      <c r="H10" s="87"/>
      <c r="I10" s="87"/>
      <c r="J10" s="87">
        <v>741.62963999999999</v>
      </c>
    </row>
    <row r="11" spans="1:10" s="88" customFormat="1" ht="18.75" x14ac:dyDescent="0.25">
      <c r="A11" s="446" t="s">
        <v>577</v>
      </c>
      <c r="B11" s="447"/>
      <c r="C11" s="448"/>
      <c r="D11" s="328">
        <f>SUM(D7:D10)</f>
        <v>741.62963999999999</v>
      </c>
      <c r="E11" s="328">
        <f t="shared" ref="E11:J11" si="0">SUM(E7:E10)</f>
        <v>0</v>
      </c>
      <c r="F11" s="328">
        <f t="shared" si="0"/>
        <v>0</v>
      </c>
      <c r="G11" s="328">
        <f t="shared" si="0"/>
        <v>741.62963999999999</v>
      </c>
      <c r="H11" s="328">
        <f t="shared" si="0"/>
        <v>0</v>
      </c>
      <c r="I11" s="328">
        <f t="shared" si="0"/>
        <v>0</v>
      </c>
      <c r="J11" s="328">
        <f t="shared" si="0"/>
        <v>741.62963999999999</v>
      </c>
    </row>
    <row r="12" spans="1:10" ht="207" customHeight="1" x14ac:dyDescent="0.25">
      <c r="A12" s="443" t="s">
        <v>578</v>
      </c>
      <c r="B12" s="85" t="s">
        <v>579</v>
      </c>
      <c r="C12" s="85" t="s">
        <v>580</v>
      </c>
      <c r="D12" s="87">
        <f>SUM(E12:G12)</f>
        <v>1487.3306500000001</v>
      </c>
      <c r="E12" s="87"/>
      <c r="F12" s="87">
        <v>1487.3306500000001</v>
      </c>
      <c r="G12" s="87"/>
      <c r="H12" s="87"/>
      <c r="I12" s="87">
        <v>1487.3306500000001</v>
      </c>
      <c r="J12" s="87"/>
    </row>
    <row r="13" spans="1:10" ht="140.25" hidden="1" customHeight="1" x14ac:dyDescent="0.25">
      <c r="A13" s="444"/>
      <c r="B13" s="85" t="s">
        <v>581</v>
      </c>
      <c r="C13" s="85" t="s">
        <v>580</v>
      </c>
      <c r="D13" s="326">
        <f>SUM(E13:G13)</f>
        <v>0</v>
      </c>
      <c r="E13" s="326"/>
      <c r="F13" s="326"/>
      <c r="G13" s="326"/>
      <c r="H13" s="326"/>
      <c r="I13" s="326"/>
      <c r="J13" s="326"/>
    </row>
    <row r="14" spans="1:10" s="88" customFormat="1" ht="18.75" x14ac:dyDescent="0.3">
      <c r="A14" s="446" t="s">
        <v>582</v>
      </c>
      <c r="B14" s="447"/>
      <c r="C14" s="448"/>
      <c r="D14" s="329">
        <f>SUM(D12:D13)</f>
        <v>1487.3306500000001</v>
      </c>
      <c r="E14" s="329">
        <f t="shared" ref="E14:J14" si="1">SUM(E12:E13)</f>
        <v>0</v>
      </c>
      <c r="F14" s="329">
        <f t="shared" si="1"/>
        <v>1487.3306500000001</v>
      </c>
      <c r="G14" s="329">
        <f t="shared" si="1"/>
        <v>0</v>
      </c>
      <c r="H14" s="329">
        <f t="shared" si="1"/>
        <v>0</v>
      </c>
      <c r="I14" s="329">
        <f t="shared" si="1"/>
        <v>1487.3306500000001</v>
      </c>
      <c r="J14" s="327">
        <f t="shared" si="1"/>
        <v>0</v>
      </c>
    </row>
    <row r="15" spans="1:10" ht="18.75" x14ac:dyDescent="0.3">
      <c r="A15" s="449" t="s">
        <v>203</v>
      </c>
      <c r="B15" s="450"/>
      <c r="C15" s="450"/>
      <c r="D15" s="89">
        <f>D11+D14</f>
        <v>2228.96029</v>
      </c>
      <c r="E15" s="89">
        <f t="shared" ref="E15:J15" si="2">E11+E14</f>
        <v>0</v>
      </c>
      <c r="F15" s="89">
        <f t="shared" si="2"/>
        <v>1487.3306500000001</v>
      </c>
      <c r="G15" s="89">
        <f t="shared" si="2"/>
        <v>741.62963999999999</v>
      </c>
      <c r="H15" s="89">
        <f t="shared" si="2"/>
        <v>0</v>
      </c>
      <c r="I15" s="89">
        <f t="shared" si="2"/>
        <v>1487.3306500000001</v>
      </c>
      <c r="J15" s="89">
        <f t="shared" si="2"/>
        <v>741.62963999999999</v>
      </c>
    </row>
    <row r="16" spans="1:10" ht="18.75" x14ac:dyDescent="0.3">
      <c r="A16" s="90"/>
      <c r="B16" s="90"/>
      <c r="C16" s="91"/>
      <c r="D16" s="92"/>
      <c r="E16" s="92"/>
      <c r="F16" s="92"/>
      <c r="G16" s="92"/>
      <c r="H16" s="92"/>
      <c r="I16" s="92"/>
      <c r="J16" s="92"/>
    </row>
    <row r="17" spans="1:10" x14ac:dyDescent="0.25">
      <c r="A17" s="93"/>
      <c r="B17" s="94"/>
      <c r="C17" s="95"/>
      <c r="D17" s="93"/>
      <c r="E17" s="93"/>
      <c r="F17" s="93"/>
      <c r="G17" s="93"/>
      <c r="H17" s="93"/>
      <c r="I17" s="93"/>
      <c r="J17" s="93"/>
    </row>
    <row r="26" spans="1:10" ht="15" x14ac:dyDescent="0.25">
      <c r="B26" s="441"/>
      <c r="C26" s="442"/>
      <c r="D26" s="96"/>
      <c r="E26" s="96"/>
      <c r="F26" s="96"/>
      <c r="G26" s="96"/>
      <c r="H26" s="96"/>
      <c r="I26" s="96"/>
      <c r="J26" s="96"/>
    </row>
  </sheetData>
  <mergeCells count="17">
    <mergeCell ref="A2:J2"/>
    <mergeCell ref="A4:A6"/>
    <mergeCell ref="B4:B6"/>
    <mergeCell ref="C4:C6"/>
    <mergeCell ref="D4:G4"/>
    <mergeCell ref="H4:J4"/>
    <mergeCell ref="D5:D6"/>
    <mergeCell ref="E5:G5"/>
    <mergeCell ref="H5:H6"/>
    <mergeCell ref="I5:I6"/>
    <mergeCell ref="J5:J6"/>
    <mergeCell ref="B26:C26"/>
    <mergeCell ref="A7:A10"/>
    <mergeCell ref="A11:C11"/>
    <mergeCell ref="A12:A13"/>
    <mergeCell ref="A14:C14"/>
    <mergeCell ref="A15:C15"/>
  </mergeCells>
  <pageMargins left="0.39370078740157483" right="0" top="0.94488188976377963" bottom="0" header="0" footer="0"/>
  <pageSetup paperSize="9" scale="4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92D050"/>
  </sheetPr>
  <dimension ref="A1:K69"/>
  <sheetViews>
    <sheetView view="pageBreakPreview" topLeftCell="A2" zoomScaleNormal="100" zoomScaleSheetLayoutView="100" workbookViewId="0">
      <pane xSplit="3" ySplit="5" topLeftCell="D7" activePane="bottomRight" state="frozen"/>
      <selection activeCell="A2" sqref="A2"/>
      <selection pane="topRight" activeCell="D2" sqref="D2"/>
      <selection pane="bottomLeft" activeCell="A7" sqref="A7"/>
      <selection pane="bottomRight" activeCell="E26" sqref="E26"/>
    </sheetView>
  </sheetViews>
  <sheetFormatPr defaultRowHeight="15" x14ac:dyDescent="0.25"/>
  <cols>
    <col min="1" max="1" width="47.42578125" style="9" customWidth="1"/>
    <col min="3" max="3" width="9.140625" style="8"/>
    <col min="4" max="4" width="15.7109375" style="8" customWidth="1"/>
    <col min="5" max="7" width="15.7109375" style="64" customWidth="1"/>
    <col min="8" max="8" width="11.5703125" customWidth="1"/>
    <col min="9" max="9" width="10" customWidth="1"/>
  </cols>
  <sheetData>
    <row r="1" spans="1:11" s="9" customFormat="1" ht="18.75" customHeight="1" x14ac:dyDescent="0.25">
      <c r="B1" s="20"/>
      <c r="C1" s="20"/>
      <c r="D1" s="20"/>
      <c r="E1" s="258"/>
      <c r="F1" s="258"/>
      <c r="G1" s="469" t="s">
        <v>672</v>
      </c>
      <c r="H1" s="452"/>
      <c r="I1" s="452"/>
      <c r="J1" s="274"/>
      <c r="K1" s="274"/>
    </row>
    <row r="2" spans="1:11" s="9" customFormat="1" ht="15.75" x14ac:dyDescent="0.2">
      <c r="A2" s="472" t="s">
        <v>673</v>
      </c>
      <c r="B2" s="473"/>
      <c r="C2" s="473"/>
      <c r="D2" s="473"/>
      <c r="E2" s="474"/>
      <c r="F2" s="474"/>
      <c r="G2" s="474"/>
      <c r="H2" s="474"/>
      <c r="I2" s="474"/>
    </row>
    <row r="3" spans="1:11" s="9" customFormat="1" ht="27.75" customHeight="1" x14ac:dyDescent="0.2">
      <c r="A3" s="393" t="s">
        <v>687</v>
      </c>
      <c r="B3" s="394"/>
      <c r="C3" s="394"/>
      <c r="D3" s="394"/>
      <c r="E3" s="392"/>
      <c r="F3" s="392"/>
      <c r="G3" s="392"/>
      <c r="H3" s="392"/>
      <c r="I3" s="392"/>
    </row>
    <row r="4" spans="1:11" s="9" customFormat="1" ht="24.75" customHeight="1" x14ac:dyDescent="0.25">
      <c r="A4" s="259"/>
      <c r="B4" s="260"/>
      <c r="C4" s="260"/>
      <c r="D4" s="260"/>
      <c r="E4" s="261"/>
      <c r="F4" s="261"/>
      <c r="G4" s="261"/>
      <c r="H4" s="395" t="s">
        <v>144</v>
      </c>
      <c r="I4" s="396"/>
      <c r="J4" s="278"/>
      <c r="K4" s="279"/>
    </row>
    <row r="5" spans="1:11" s="10" customFormat="1" ht="15" customHeight="1" x14ac:dyDescent="0.2">
      <c r="A5" s="397" t="s">
        <v>191</v>
      </c>
      <c r="B5" s="399" t="s">
        <v>190</v>
      </c>
      <c r="C5" s="400"/>
      <c r="D5" s="470" t="s">
        <v>685</v>
      </c>
      <c r="E5" s="404" t="s">
        <v>682</v>
      </c>
      <c r="F5" s="405"/>
      <c r="G5" s="405"/>
      <c r="H5" s="406"/>
      <c r="I5" s="403" t="s">
        <v>686</v>
      </c>
    </row>
    <row r="6" spans="1:11" s="10" customFormat="1" ht="42" customHeight="1" x14ac:dyDescent="0.2">
      <c r="A6" s="398"/>
      <c r="B6" s="401"/>
      <c r="C6" s="402"/>
      <c r="D6" s="471"/>
      <c r="E6" s="263" t="s">
        <v>675</v>
      </c>
      <c r="F6" s="263" t="s">
        <v>653</v>
      </c>
      <c r="G6" s="264" t="s">
        <v>676</v>
      </c>
      <c r="H6" s="264" t="s">
        <v>677</v>
      </c>
      <c r="I6" s="398"/>
    </row>
    <row r="7" spans="1:11" s="10" customFormat="1" ht="18.75" customHeight="1" x14ac:dyDescent="0.2">
      <c r="A7" s="14" t="s">
        <v>140</v>
      </c>
      <c r="B7" s="387" t="s">
        <v>189</v>
      </c>
      <c r="C7" s="388"/>
      <c r="D7" s="319">
        <f>SUM(D8:D15)</f>
        <v>27457.93865</v>
      </c>
      <c r="E7" s="320">
        <f>SUM(E8:E15)</f>
        <v>31266.590520000002</v>
      </c>
      <c r="F7" s="68">
        <f>SUM(F8:F15)</f>
        <v>30917.170459999994</v>
      </c>
      <c r="G7" s="68">
        <f>F7/E7*100</f>
        <v>98.882449112011443</v>
      </c>
      <c r="H7" s="276">
        <f>F7/$F$66*100</f>
        <v>4.1793350333922161</v>
      </c>
      <c r="I7" s="276">
        <f>F7/D7*100</f>
        <v>112.59829389996831</v>
      </c>
    </row>
    <row r="8" spans="1:11" s="10" customFormat="1" ht="25.5" x14ac:dyDescent="0.2">
      <c r="A8" s="17" t="s">
        <v>188</v>
      </c>
      <c r="B8" s="16" t="s">
        <v>13</v>
      </c>
      <c r="C8" s="15" t="s">
        <v>24</v>
      </c>
      <c r="D8" s="321">
        <v>2082.7667999999999</v>
      </c>
      <c r="E8" s="322">
        <f>'прил 16 вед стр 20г'!G597</f>
        <v>2133.7860000000001</v>
      </c>
      <c r="F8" s="69">
        <f>'прил 16 вед стр 20г'!H597</f>
        <v>2104.3434999999999</v>
      </c>
      <c r="G8" s="69">
        <f t="shared" ref="G8:G66" si="0">F8/E8*100</f>
        <v>98.620175593991149</v>
      </c>
      <c r="H8" s="277">
        <f t="shared" ref="H8:H66" si="1">F8/$F$66*100</f>
        <v>0.28446188253933746</v>
      </c>
      <c r="I8" s="277">
        <f t="shared" ref="I8:I66" si="2">F8/D8*100</f>
        <v>101.03596331572022</v>
      </c>
    </row>
    <row r="9" spans="1:11" s="10" customFormat="1" ht="25.5" x14ac:dyDescent="0.2">
      <c r="A9" s="17" t="s">
        <v>187</v>
      </c>
      <c r="B9" s="16" t="s">
        <v>13</v>
      </c>
      <c r="C9" s="15" t="s">
        <v>6</v>
      </c>
      <c r="D9" s="321">
        <v>2133.0457900000001</v>
      </c>
      <c r="E9" s="322">
        <f>'прил 16 вед стр 20г'!G598</f>
        <v>2137.2368000000001</v>
      </c>
      <c r="F9" s="69">
        <f>'прил 16 вед стр 20г'!H598</f>
        <v>2114.8836799999999</v>
      </c>
      <c r="G9" s="69">
        <f t="shared" si="0"/>
        <v>98.954111215004332</v>
      </c>
      <c r="H9" s="277">
        <f t="shared" si="1"/>
        <v>0.28588668768407904</v>
      </c>
      <c r="I9" s="277">
        <f t="shared" si="2"/>
        <v>99.148536328420761</v>
      </c>
    </row>
    <row r="10" spans="1:11" s="10" customFormat="1" ht="12.75" x14ac:dyDescent="0.2">
      <c r="A10" s="17" t="s">
        <v>186</v>
      </c>
      <c r="B10" s="16" t="s">
        <v>13</v>
      </c>
      <c r="C10" s="15" t="s">
        <v>53</v>
      </c>
      <c r="D10" s="321">
        <v>16344.504370000001</v>
      </c>
      <c r="E10" s="322">
        <f>'прил 16 вед стр 20г'!G599</f>
        <v>18347.742620000001</v>
      </c>
      <c r="F10" s="69">
        <f>'прил 16 вед стр 20г'!H599</f>
        <v>18173.40495</v>
      </c>
      <c r="G10" s="69">
        <f t="shared" si="0"/>
        <v>99.049814063720504</v>
      </c>
      <c r="H10" s="277">
        <f t="shared" si="1"/>
        <v>2.4566526254989807</v>
      </c>
      <c r="I10" s="277">
        <f t="shared" si="2"/>
        <v>111.18969739674034</v>
      </c>
    </row>
    <row r="11" spans="1:11" s="10" customFormat="1" ht="12.75" x14ac:dyDescent="0.2">
      <c r="A11" s="17" t="s">
        <v>185</v>
      </c>
      <c r="B11" s="16" t="s">
        <v>13</v>
      </c>
      <c r="C11" s="15" t="s">
        <v>31</v>
      </c>
      <c r="D11" s="321"/>
      <c r="E11" s="322">
        <f>'прил 16 вед стр 20г'!G600</f>
        <v>9.9</v>
      </c>
      <c r="F11" s="69">
        <f>'прил 16 вед стр 20г'!H600</f>
        <v>0</v>
      </c>
      <c r="G11" s="69">
        <f t="shared" si="0"/>
        <v>0</v>
      </c>
      <c r="H11" s="277">
        <f t="shared" si="1"/>
        <v>0</v>
      </c>
      <c r="I11" s="277"/>
    </row>
    <row r="12" spans="1:11" s="10" customFormat="1" ht="27.75" customHeight="1" x14ac:dyDescent="0.2">
      <c r="A12" s="17" t="s">
        <v>184</v>
      </c>
      <c r="B12" s="16" t="s">
        <v>13</v>
      </c>
      <c r="C12" s="15" t="s">
        <v>47</v>
      </c>
      <c r="D12" s="321">
        <v>5921.4658600000002</v>
      </c>
      <c r="E12" s="322">
        <f>'прил 16 вед стр 20г'!G601</f>
        <v>7382.7731000000003</v>
      </c>
      <c r="F12" s="69">
        <f>'прил 16 вед стр 20г'!H601</f>
        <v>7274.5221299999994</v>
      </c>
      <c r="G12" s="69">
        <f t="shared" si="0"/>
        <v>98.533735650090605</v>
      </c>
      <c r="H12" s="277">
        <f t="shared" si="1"/>
        <v>0.98335859125369551</v>
      </c>
      <c r="I12" s="277">
        <f t="shared" si="2"/>
        <v>122.85002230849642</v>
      </c>
    </row>
    <row r="13" spans="1:11" s="10" customFormat="1" ht="15.75" customHeight="1" x14ac:dyDescent="0.2">
      <c r="A13" s="17" t="s">
        <v>116</v>
      </c>
      <c r="B13" s="16" t="s">
        <v>13</v>
      </c>
      <c r="C13" s="15" t="s">
        <v>70</v>
      </c>
      <c r="D13" s="321">
        <v>25</v>
      </c>
      <c r="E13" s="322">
        <f>'прил 16 вед стр 20г'!G602</f>
        <v>141.69</v>
      </c>
      <c r="F13" s="69">
        <f>'прил 16 вед стр 20г'!H602</f>
        <v>141.55420000000001</v>
      </c>
      <c r="G13" s="69">
        <f t="shared" si="0"/>
        <v>99.904156962382672</v>
      </c>
      <c r="H13" s="277">
        <f t="shared" si="1"/>
        <v>1.9135076670396201E-2</v>
      </c>
      <c r="I13" s="277">
        <f t="shared" si="2"/>
        <v>566.21680000000003</v>
      </c>
    </row>
    <row r="14" spans="1:11" s="10" customFormat="1" ht="12.75" hidden="1" x14ac:dyDescent="0.2">
      <c r="A14" s="17" t="s">
        <v>115</v>
      </c>
      <c r="B14" s="16" t="s">
        <v>13</v>
      </c>
      <c r="C14" s="15" t="s">
        <v>32</v>
      </c>
      <c r="D14" s="321"/>
      <c r="E14" s="322">
        <f>'прил 16 вед стр 20г'!G603</f>
        <v>0</v>
      </c>
      <c r="F14" s="69">
        <f>'прил 16 вед стр 20г'!H603</f>
        <v>0</v>
      </c>
      <c r="G14" s="69" t="e">
        <f t="shared" si="0"/>
        <v>#DIV/0!</v>
      </c>
      <c r="H14" s="277">
        <f t="shared" si="1"/>
        <v>0</v>
      </c>
      <c r="I14" s="277" t="e">
        <f t="shared" si="2"/>
        <v>#DIV/0!</v>
      </c>
    </row>
    <row r="15" spans="1:11" s="10" customFormat="1" ht="12.75" x14ac:dyDescent="0.2">
      <c r="A15" s="5" t="s">
        <v>114</v>
      </c>
      <c r="B15" s="16" t="s">
        <v>13</v>
      </c>
      <c r="C15" s="15" t="s">
        <v>21</v>
      </c>
      <c r="D15" s="321">
        <v>951.15583000000004</v>
      </c>
      <c r="E15" s="322">
        <f>'прил 16 вед стр 20г'!G604</f>
        <v>1113.462</v>
      </c>
      <c r="F15" s="69">
        <f>'прил 16 вед стр 20г'!H604</f>
        <v>1108.462</v>
      </c>
      <c r="G15" s="69">
        <f t="shared" si="0"/>
        <v>99.550950099778888</v>
      </c>
      <c r="H15" s="277">
        <f t="shared" si="1"/>
        <v>0.14984016974572786</v>
      </c>
      <c r="I15" s="277">
        <f t="shared" si="2"/>
        <v>116.53842252115511</v>
      </c>
    </row>
    <row r="16" spans="1:11" s="12" customFormat="1" ht="12.75" hidden="1" x14ac:dyDescent="0.2">
      <c r="A16" s="14" t="s">
        <v>109</v>
      </c>
      <c r="B16" s="387" t="s">
        <v>183</v>
      </c>
      <c r="C16" s="388"/>
      <c r="D16" s="68">
        <f>D17</f>
        <v>888.8</v>
      </c>
      <c r="E16" s="320">
        <f>E17</f>
        <v>0</v>
      </c>
      <c r="F16" s="68">
        <f>F17</f>
        <v>0</v>
      </c>
      <c r="G16" s="68" t="e">
        <f t="shared" si="0"/>
        <v>#DIV/0!</v>
      </c>
      <c r="H16" s="277">
        <f t="shared" si="1"/>
        <v>0</v>
      </c>
      <c r="I16" s="277">
        <f t="shared" si="2"/>
        <v>0</v>
      </c>
    </row>
    <row r="17" spans="1:9" s="10" customFormat="1" ht="16.5" hidden="1" customHeight="1" x14ac:dyDescent="0.2">
      <c r="A17" s="17" t="s">
        <v>182</v>
      </c>
      <c r="B17" s="16" t="s">
        <v>24</v>
      </c>
      <c r="C17" s="15" t="s">
        <v>6</v>
      </c>
      <c r="D17" s="69">
        <v>888.8</v>
      </c>
      <c r="E17" s="322">
        <f>'прил 16 вед стр 20г'!G606</f>
        <v>0</v>
      </c>
      <c r="F17" s="69">
        <f>'прил 16 вед стр 20г'!H606</f>
        <v>0</v>
      </c>
      <c r="G17" s="68" t="e">
        <f t="shared" si="0"/>
        <v>#DIV/0!</v>
      </c>
      <c r="H17" s="277">
        <f t="shared" si="1"/>
        <v>0</v>
      </c>
      <c r="I17" s="277">
        <f t="shared" si="2"/>
        <v>0</v>
      </c>
    </row>
    <row r="18" spans="1:9" s="12" customFormat="1" ht="25.5" x14ac:dyDescent="0.2">
      <c r="A18" s="14" t="s">
        <v>108</v>
      </c>
      <c r="B18" s="387" t="s">
        <v>181</v>
      </c>
      <c r="C18" s="389"/>
      <c r="D18" s="68">
        <f>SUM(D20:D22)</f>
        <v>7547.1780500000004</v>
      </c>
      <c r="E18" s="320">
        <f>SUM(E20:E22)</f>
        <v>5248.1216199999999</v>
      </c>
      <c r="F18" s="68">
        <f>SUM(F20:F22)</f>
        <v>5203.6884699999991</v>
      </c>
      <c r="G18" s="68">
        <f t="shared" si="0"/>
        <v>99.153351366121726</v>
      </c>
      <c r="H18" s="276">
        <f t="shared" si="1"/>
        <v>0.70342651678513735</v>
      </c>
      <c r="I18" s="276">
        <f t="shared" si="2"/>
        <v>68.948796961269494</v>
      </c>
    </row>
    <row r="19" spans="1:9" s="10" customFormat="1" ht="12.75" hidden="1" x14ac:dyDescent="0.2">
      <c r="A19" s="17" t="s">
        <v>180</v>
      </c>
      <c r="B19" s="16" t="s">
        <v>6</v>
      </c>
      <c r="C19" s="15" t="s">
        <v>24</v>
      </c>
      <c r="D19" s="69"/>
      <c r="E19" s="323"/>
      <c r="F19" s="324"/>
      <c r="G19" s="68" t="e">
        <f t="shared" si="0"/>
        <v>#DIV/0!</v>
      </c>
      <c r="H19" s="277">
        <f t="shared" si="1"/>
        <v>0</v>
      </c>
      <c r="I19" s="277" t="e">
        <f t="shared" si="2"/>
        <v>#DIV/0!</v>
      </c>
    </row>
    <row r="20" spans="1:9" s="10" customFormat="1" ht="38.25" customHeight="1" x14ac:dyDescent="0.2">
      <c r="A20" s="17" t="s">
        <v>179</v>
      </c>
      <c r="B20" s="16" t="s">
        <v>6</v>
      </c>
      <c r="C20" s="15" t="s">
        <v>60</v>
      </c>
      <c r="D20" s="69">
        <v>6641.5036200000004</v>
      </c>
      <c r="E20" s="322">
        <f>'прил 16 вед стр 20г'!G609</f>
        <v>5185.1491800000003</v>
      </c>
      <c r="F20" s="69">
        <f>'прил 16 вед стр 20г'!H609</f>
        <v>5150.7460199999996</v>
      </c>
      <c r="G20" s="69">
        <f t="shared" si="0"/>
        <v>99.336505878505875</v>
      </c>
      <c r="H20" s="277">
        <f t="shared" si="1"/>
        <v>0.69626983870798653</v>
      </c>
      <c r="I20" s="277">
        <f t="shared" si="2"/>
        <v>77.553914214383866</v>
      </c>
    </row>
    <row r="21" spans="1:9" s="55" customFormat="1" ht="12.75" hidden="1" x14ac:dyDescent="0.2">
      <c r="A21" s="46" t="s">
        <v>363</v>
      </c>
      <c r="B21" s="53" t="s">
        <v>6</v>
      </c>
      <c r="C21" s="54" t="s">
        <v>48</v>
      </c>
      <c r="D21" s="69">
        <v>880.67443000000003</v>
      </c>
      <c r="E21" s="325">
        <f>'прил 16 вед стр 20г'!G610</f>
        <v>0</v>
      </c>
      <c r="F21" s="325">
        <f>'прил 16 вед стр 20г'!H610</f>
        <v>0</v>
      </c>
      <c r="G21" s="69" t="e">
        <f t="shared" si="0"/>
        <v>#DIV/0!</v>
      </c>
      <c r="H21" s="277">
        <f t="shared" si="1"/>
        <v>0</v>
      </c>
      <c r="I21" s="277">
        <f t="shared" si="2"/>
        <v>0</v>
      </c>
    </row>
    <row r="22" spans="1:9" s="10" customFormat="1" ht="26.25" customHeight="1" x14ac:dyDescent="0.2">
      <c r="A22" s="17" t="s">
        <v>103</v>
      </c>
      <c r="B22" s="16" t="s">
        <v>6</v>
      </c>
      <c r="C22" s="15" t="s">
        <v>7</v>
      </c>
      <c r="D22" s="69">
        <v>25</v>
      </c>
      <c r="E22" s="322">
        <f>'прил 16 вед стр 20г'!G611</f>
        <v>62.972439999999999</v>
      </c>
      <c r="F22" s="69">
        <f>'прил 16 вед стр 20г'!H611</f>
        <v>52.942450000000001</v>
      </c>
      <c r="G22" s="69">
        <f t="shared" si="0"/>
        <v>84.072413265231589</v>
      </c>
      <c r="H22" s="277">
        <f t="shared" si="1"/>
        <v>7.1566780771507828E-3</v>
      </c>
      <c r="I22" s="277">
        <f t="shared" si="2"/>
        <v>211.76979999999998</v>
      </c>
    </row>
    <row r="23" spans="1:9" s="12" customFormat="1" ht="12.75" x14ac:dyDescent="0.2">
      <c r="A23" s="14" t="s">
        <v>99</v>
      </c>
      <c r="B23" s="387" t="s">
        <v>178</v>
      </c>
      <c r="C23" s="389"/>
      <c r="D23" s="68">
        <f>SUM(D25:D28)</f>
        <v>37413.92931</v>
      </c>
      <c r="E23" s="320">
        <f>SUM(E25:E28)</f>
        <v>48332.014599999995</v>
      </c>
      <c r="F23" s="68">
        <f>SUM(F25:F28)</f>
        <v>42560.695000000007</v>
      </c>
      <c r="G23" s="68">
        <f t="shared" si="0"/>
        <v>88.059012959083262</v>
      </c>
      <c r="H23" s="276">
        <f t="shared" si="1"/>
        <v>5.753288577593235</v>
      </c>
      <c r="I23" s="276">
        <f t="shared" si="2"/>
        <v>113.75628217863868</v>
      </c>
    </row>
    <row r="24" spans="1:9" s="10" customFormat="1" ht="12.75" hidden="1" x14ac:dyDescent="0.2">
      <c r="A24" s="17" t="s">
        <v>177</v>
      </c>
      <c r="B24" s="16" t="s">
        <v>53</v>
      </c>
      <c r="C24" s="15" t="s">
        <v>13</v>
      </c>
      <c r="D24" s="69"/>
      <c r="E24" s="323"/>
      <c r="F24" s="324"/>
      <c r="G24" s="68" t="e">
        <f t="shared" si="0"/>
        <v>#DIV/0!</v>
      </c>
      <c r="H24" s="277">
        <f t="shared" si="1"/>
        <v>0</v>
      </c>
      <c r="I24" s="277" t="e">
        <f t="shared" si="2"/>
        <v>#DIV/0!</v>
      </c>
    </row>
    <row r="25" spans="1:9" s="10" customFormat="1" ht="15.75" customHeight="1" x14ac:dyDescent="0.2">
      <c r="A25" s="17" t="s">
        <v>98</v>
      </c>
      <c r="B25" s="16" t="s">
        <v>53</v>
      </c>
      <c r="C25" s="15" t="s">
        <v>31</v>
      </c>
      <c r="D25" s="69">
        <v>1041.71</v>
      </c>
      <c r="E25" s="322">
        <f>'прил 16 вед стр 20г'!G614</f>
        <v>1033.9646600000001</v>
      </c>
      <c r="F25" s="69">
        <f>'прил 16 вед стр 20г'!H614</f>
        <v>659.2</v>
      </c>
      <c r="G25" s="69">
        <f t="shared" si="0"/>
        <v>63.754596796374067</v>
      </c>
      <c r="H25" s="277">
        <f t="shared" si="1"/>
        <v>8.910963108918829E-2</v>
      </c>
      <c r="I25" s="277">
        <f t="shared" si="2"/>
        <v>63.280567528390819</v>
      </c>
    </row>
    <row r="26" spans="1:9" s="10" customFormat="1" ht="15.75" customHeight="1" x14ac:dyDescent="0.2">
      <c r="A26" s="3" t="s">
        <v>384</v>
      </c>
      <c r="B26" s="16" t="s">
        <v>53</v>
      </c>
      <c r="C26" s="15" t="s">
        <v>47</v>
      </c>
      <c r="D26" s="69">
        <v>11165.16914</v>
      </c>
      <c r="E26" s="322">
        <f>'прил 16 вед стр 20г'!G615</f>
        <v>2801.45</v>
      </c>
      <c r="F26" s="322">
        <f>'прил 16 вед стр 20г'!H615</f>
        <v>200</v>
      </c>
      <c r="G26" s="69">
        <f t="shared" si="0"/>
        <v>7.1391600778168458</v>
      </c>
      <c r="H26" s="277">
        <f t="shared" si="1"/>
        <v>2.7035689044049842E-2</v>
      </c>
      <c r="I26" s="277">
        <f t="shared" si="2"/>
        <v>1.7912849997362423</v>
      </c>
    </row>
    <row r="27" spans="1:9" s="10" customFormat="1" ht="13.5" customHeight="1" x14ac:dyDescent="0.2">
      <c r="A27" s="17" t="s">
        <v>176</v>
      </c>
      <c r="B27" s="16" t="s">
        <v>53</v>
      </c>
      <c r="C27" s="15" t="s">
        <v>60</v>
      </c>
      <c r="D27" s="69"/>
      <c r="E27" s="322">
        <f>'прил 16 вед стр 20г'!G616</f>
        <v>17788.03616</v>
      </c>
      <c r="F27" s="69">
        <f>'прил 16 вед стр 20г'!H616</f>
        <v>16522.626370000002</v>
      </c>
      <c r="G27" s="69">
        <f t="shared" si="0"/>
        <v>92.886174850231484</v>
      </c>
      <c r="H27" s="277">
        <f t="shared" si="1"/>
        <v>2.2335029436516902</v>
      </c>
      <c r="I27" s="277"/>
    </row>
    <row r="28" spans="1:9" s="10" customFormat="1" ht="18" customHeight="1" x14ac:dyDescent="0.2">
      <c r="A28" s="17" t="s">
        <v>175</v>
      </c>
      <c r="B28" s="16" t="s">
        <v>53</v>
      </c>
      <c r="C28" s="15" t="s">
        <v>25</v>
      </c>
      <c r="D28" s="69">
        <v>25207.050169999999</v>
      </c>
      <c r="E28" s="322">
        <f>'прил 16 вед стр 20г'!G617</f>
        <v>26708.56378</v>
      </c>
      <c r="F28" s="69">
        <f>'прил 16 вед стр 20г'!H617</f>
        <v>25178.868630000001</v>
      </c>
      <c r="G28" s="69">
        <f t="shared" si="0"/>
        <v>94.272641679274898</v>
      </c>
      <c r="H28" s="277">
        <f t="shared" si="1"/>
        <v>3.4036403138083067</v>
      </c>
      <c r="I28" s="277">
        <f t="shared" si="2"/>
        <v>99.888199770262929</v>
      </c>
    </row>
    <row r="29" spans="1:9" s="12" customFormat="1" ht="16.5" customHeight="1" x14ac:dyDescent="0.2">
      <c r="A29" s="14" t="s">
        <v>174</v>
      </c>
      <c r="B29" s="385" t="s">
        <v>173</v>
      </c>
      <c r="C29" s="386"/>
      <c r="D29" s="68">
        <f>SUM(D30:D32)</f>
        <v>25393.470829999998</v>
      </c>
      <c r="E29" s="320">
        <f>SUM(E30:E32)</f>
        <v>23389.470530000002</v>
      </c>
      <c r="F29" s="68">
        <f>SUM(F30:F32)</f>
        <v>20677.822560000001</v>
      </c>
      <c r="G29" s="68">
        <f t="shared" si="0"/>
        <v>88.406544019361348</v>
      </c>
      <c r="H29" s="276">
        <f t="shared" si="1"/>
        <v>2.7951959042009933</v>
      </c>
      <c r="I29" s="276">
        <f t="shared" si="2"/>
        <v>81.429682056582422</v>
      </c>
    </row>
    <row r="30" spans="1:9" s="10" customFormat="1" ht="12.75" x14ac:dyDescent="0.2">
      <c r="A30" s="17" t="s">
        <v>87</v>
      </c>
      <c r="B30" s="16" t="s">
        <v>31</v>
      </c>
      <c r="C30" s="15" t="s">
        <v>13</v>
      </c>
      <c r="D30" s="69"/>
      <c r="E30" s="322">
        <f>'прил 16 вед стр 20г'!G619</f>
        <v>3000</v>
      </c>
      <c r="F30" s="69">
        <f>'прил 16 вед стр 20г'!H619</f>
        <v>3000</v>
      </c>
      <c r="G30" s="69">
        <f t="shared" si="0"/>
        <v>100</v>
      </c>
      <c r="H30" s="277">
        <f t="shared" si="1"/>
        <v>0.40553533566074762</v>
      </c>
      <c r="I30" s="277"/>
    </row>
    <row r="31" spans="1:9" s="10" customFormat="1" ht="12.75" x14ac:dyDescent="0.2">
      <c r="A31" s="17" t="s">
        <v>86</v>
      </c>
      <c r="B31" s="16" t="s">
        <v>31</v>
      </c>
      <c r="C31" s="15" t="s">
        <v>24</v>
      </c>
      <c r="D31" s="69">
        <v>24269.81583</v>
      </c>
      <c r="E31" s="322">
        <f>'прил 16 вед стр 20г'!G620</f>
        <v>19217.090340000002</v>
      </c>
      <c r="F31" s="69">
        <f>'прил 16 вед стр 20г'!H620</f>
        <v>16505.442370000001</v>
      </c>
      <c r="G31" s="69">
        <f t="shared" si="0"/>
        <v>85.889393648965893</v>
      </c>
      <c r="H31" s="277">
        <f t="shared" si="1"/>
        <v>2.2311800372490254</v>
      </c>
      <c r="I31" s="277">
        <f t="shared" si="2"/>
        <v>68.008107212736107</v>
      </c>
    </row>
    <row r="32" spans="1:9" s="10" customFormat="1" ht="12.75" x14ac:dyDescent="0.2">
      <c r="A32" s="17" t="s">
        <v>172</v>
      </c>
      <c r="B32" s="16" t="s">
        <v>31</v>
      </c>
      <c r="C32" s="15" t="s">
        <v>6</v>
      </c>
      <c r="D32" s="69">
        <v>1123.655</v>
      </c>
      <c r="E32" s="322">
        <f>'прил 16 вед стр 20г'!G621</f>
        <v>1172.3801899999999</v>
      </c>
      <c r="F32" s="69">
        <f>'прил 16 вед стр 20г'!H621</f>
        <v>1172.3801899999999</v>
      </c>
      <c r="G32" s="69">
        <f t="shared" si="0"/>
        <v>100</v>
      </c>
      <c r="H32" s="277">
        <f t="shared" si="1"/>
        <v>0.15848053129122033</v>
      </c>
      <c r="I32" s="277">
        <f t="shared" si="2"/>
        <v>104.33631230226359</v>
      </c>
    </row>
    <row r="33" spans="1:10" s="12" customFormat="1" ht="12.75" hidden="1" x14ac:dyDescent="0.2">
      <c r="A33" s="14" t="s">
        <v>171</v>
      </c>
      <c r="B33" s="385" t="s">
        <v>170</v>
      </c>
      <c r="C33" s="386"/>
      <c r="D33" s="69"/>
      <c r="E33" s="320">
        <f>'прил 16 вед стр 20г'!G622</f>
        <v>0</v>
      </c>
      <c r="F33" s="68">
        <f>'прил 16 вед стр 20г'!H622</f>
        <v>0</v>
      </c>
      <c r="G33" s="68" t="e">
        <f t="shared" si="0"/>
        <v>#DIV/0!</v>
      </c>
      <c r="H33" s="277">
        <f t="shared" si="1"/>
        <v>0</v>
      </c>
      <c r="I33" s="277" t="e">
        <f t="shared" si="2"/>
        <v>#DIV/0!</v>
      </c>
    </row>
    <row r="34" spans="1:10" s="10" customFormat="1" ht="25.5" hidden="1" x14ac:dyDescent="0.2">
      <c r="A34" s="19" t="s">
        <v>169</v>
      </c>
      <c r="B34" s="16" t="s">
        <v>47</v>
      </c>
      <c r="C34" s="15" t="s">
        <v>31</v>
      </c>
      <c r="D34" s="69"/>
      <c r="E34" s="322">
        <f>'прил 16 вед стр 20г'!G623</f>
        <v>0</v>
      </c>
      <c r="F34" s="69">
        <f>'прил 16 вед стр 20г'!H623</f>
        <v>0</v>
      </c>
      <c r="G34" s="68" t="e">
        <f t="shared" si="0"/>
        <v>#DIV/0!</v>
      </c>
      <c r="H34" s="277">
        <f t="shared" si="1"/>
        <v>0</v>
      </c>
      <c r="I34" s="277" t="e">
        <f t="shared" si="2"/>
        <v>#DIV/0!</v>
      </c>
    </row>
    <row r="35" spans="1:10" s="12" customFormat="1" ht="12.75" x14ac:dyDescent="0.2">
      <c r="A35" s="14" t="s">
        <v>168</v>
      </c>
      <c r="B35" s="385" t="s">
        <v>167</v>
      </c>
      <c r="C35" s="386"/>
      <c r="D35" s="68">
        <f>SUM(D36:D41)</f>
        <v>582867.55385000003</v>
      </c>
      <c r="E35" s="320">
        <f>SUM(E36:E41)</f>
        <v>563698.44597999996</v>
      </c>
      <c r="F35" s="68">
        <f>SUM(F36:F41)</f>
        <v>534081.07197999989</v>
      </c>
      <c r="G35" s="68">
        <f t="shared" si="0"/>
        <v>94.74588333332909</v>
      </c>
      <c r="H35" s="276">
        <f t="shared" si="1"/>
        <v>72.196248931820378</v>
      </c>
      <c r="I35" s="276">
        <f t="shared" si="2"/>
        <v>91.629919773754423</v>
      </c>
      <c r="J35" s="288">
        <f>H35+H42+H50+H56</f>
        <v>80.563726224423093</v>
      </c>
    </row>
    <row r="36" spans="1:10" s="10" customFormat="1" ht="12.75" x14ac:dyDescent="0.2">
      <c r="A36" s="17" t="s">
        <v>79</v>
      </c>
      <c r="B36" s="16" t="s">
        <v>70</v>
      </c>
      <c r="C36" s="15" t="s">
        <v>13</v>
      </c>
      <c r="D36" s="69">
        <v>216344.90552</v>
      </c>
      <c r="E36" s="69">
        <f>'прил 16 вед стр 20г'!G625</f>
        <v>128039.11476</v>
      </c>
      <c r="F36" s="69">
        <f>'прил 16 вед стр 20г'!H625</f>
        <v>127217.96676</v>
      </c>
      <c r="G36" s="69">
        <f t="shared" si="0"/>
        <v>99.358674103972689</v>
      </c>
      <c r="H36" s="277">
        <f t="shared" si="1"/>
        <v>17.197126950698145</v>
      </c>
      <c r="I36" s="277">
        <f t="shared" si="2"/>
        <v>58.803310599906567</v>
      </c>
      <c r="J36" s="289">
        <f t="shared" ref="J36:J41" si="3">F36/$F$35*100</f>
        <v>23.81997292814826</v>
      </c>
    </row>
    <row r="37" spans="1:10" s="10" customFormat="1" ht="12.75" x14ac:dyDescent="0.2">
      <c r="A37" s="17" t="s">
        <v>78</v>
      </c>
      <c r="B37" s="16" t="s">
        <v>70</v>
      </c>
      <c r="C37" s="15" t="s">
        <v>24</v>
      </c>
      <c r="D37" s="69">
        <v>312760.56955999997</v>
      </c>
      <c r="E37" s="69">
        <f>'прил 16 вед стр 20г'!G626</f>
        <v>379808.96277999994</v>
      </c>
      <c r="F37" s="69">
        <f>'прил 16 вед стр 20г'!H626</f>
        <v>351121.71008999995</v>
      </c>
      <c r="G37" s="69">
        <f t="shared" si="0"/>
        <v>92.446925822912519</v>
      </c>
      <c r="H37" s="277">
        <f t="shared" si="1"/>
        <v>47.46408685304128</v>
      </c>
      <c r="I37" s="277">
        <f t="shared" si="2"/>
        <v>112.26533785379897</v>
      </c>
      <c r="J37" s="289">
        <f t="shared" si="3"/>
        <v>65.743148093282116</v>
      </c>
    </row>
    <row r="38" spans="1:10" s="10" customFormat="1" ht="16.5" customHeight="1" x14ac:dyDescent="0.2">
      <c r="A38" s="3" t="s">
        <v>211</v>
      </c>
      <c r="B38" s="16" t="s">
        <v>70</v>
      </c>
      <c r="C38" s="15" t="s">
        <v>6</v>
      </c>
      <c r="D38" s="69">
        <v>35758.337240000001</v>
      </c>
      <c r="E38" s="322">
        <f>'прил 16 вед стр 20г'!G627</f>
        <v>37134.730100000001</v>
      </c>
      <c r="F38" s="69">
        <f>'прил 16 вед стр 20г'!H627</f>
        <v>37025.756789999999</v>
      </c>
      <c r="G38" s="69">
        <f t="shared" si="0"/>
        <v>99.706546110052372</v>
      </c>
      <c r="H38" s="277">
        <f t="shared" si="1"/>
        <v>5.0050842359752847</v>
      </c>
      <c r="I38" s="277">
        <f t="shared" si="2"/>
        <v>103.54440292201907</v>
      </c>
      <c r="J38" s="289">
        <f t="shared" si="3"/>
        <v>6.9326098101051086</v>
      </c>
    </row>
    <row r="39" spans="1:10" s="10" customFormat="1" ht="25.5" hidden="1" x14ac:dyDescent="0.2">
      <c r="A39" s="17" t="s">
        <v>166</v>
      </c>
      <c r="B39" s="16" t="s">
        <v>70</v>
      </c>
      <c r="C39" s="15" t="s">
        <v>31</v>
      </c>
      <c r="D39" s="69"/>
      <c r="E39" s="322">
        <f>'прил 16 вед стр 20г'!G628</f>
        <v>0</v>
      </c>
      <c r="F39" s="69">
        <f>'прил 16 вед стр 20г'!H628</f>
        <v>0</v>
      </c>
      <c r="G39" s="69" t="e">
        <f t="shared" si="0"/>
        <v>#DIV/0!</v>
      </c>
      <c r="H39" s="277">
        <f t="shared" si="1"/>
        <v>0</v>
      </c>
      <c r="I39" s="277" t="e">
        <f t="shared" si="2"/>
        <v>#DIV/0!</v>
      </c>
      <c r="J39" s="289">
        <f t="shared" si="3"/>
        <v>0</v>
      </c>
    </row>
    <row r="40" spans="1:10" s="10" customFormat="1" ht="18" customHeight="1" x14ac:dyDescent="0.2">
      <c r="A40" s="17" t="s">
        <v>74</v>
      </c>
      <c r="B40" s="16" t="s">
        <v>70</v>
      </c>
      <c r="C40" s="15" t="s">
        <v>70</v>
      </c>
      <c r="D40" s="69">
        <v>1545.0845400000001</v>
      </c>
      <c r="E40" s="322">
        <f>'прил 16 вед стр 20г'!G629</f>
        <v>80</v>
      </c>
      <c r="F40" s="69">
        <f>'прил 16 вед стр 20г'!H629</f>
        <v>80</v>
      </c>
      <c r="G40" s="69">
        <f t="shared" si="0"/>
        <v>100</v>
      </c>
      <c r="H40" s="277">
        <f t="shared" si="1"/>
        <v>1.0814275617619938E-2</v>
      </c>
      <c r="I40" s="277">
        <f t="shared" si="2"/>
        <v>5.1777102112483755</v>
      </c>
      <c r="J40" s="289">
        <f t="shared" si="3"/>
        <v>1.4978999293761869E-2</v>
      </c>
    </row>
    <row r="41" spans="1:10" s="10" customFormat="1" ht="16.5" customHeight="1" x14ac:dyDescent="0.2">
      <c r="A41" s="17" t="s">
        <v>73</v>
      </c>
      <c r="B41" s="16" t="s">
        <v>70</v>
      </c>
      <c r="C41" s="15" t="s">
        <v>60</v>
      </c>
      <c r="D41" s="69">
        <v>16458.656989999999</v>
      </c>
      <c r="E41" s="322">
        <f>'прил 16 вед стр 20г'!G630</f>
        <v>18635.638339999998</v>
      </c>
      <c r="F41" s="69">
        <f>'прил 16 вед стр 20г'!H630</f>
        <v>18635.638339999998</v>
      </c>
      <c r="G41" s="69">
        <f t="shared" si="0"/>
        <v>100</v>
      </c>
      <c r="H41" s="277">
        <f t="shared" si="1"/>
        <v>2.5191366164880655</v>
      </c>
      <c r="I41" s="277">
        <f t="shared" si="2"/>
        <v>113.2269683445174</v>
      </c>
      <c r="J41" s="289">
        <f t="shared" si="3"/>
        <v>3.4892901691707694</v>
      </c>
    </row>
    <row r="42" spans="1:10" s="12" customFormat="1" ht="12.75" x14ac:dyDescent="0.2">
      <c r="A42" s="14" t="s">
        <v>165</v>
      </c>
      <c r="B42" s="385" t="s">
        <v>164</v>
      </c>
      <c r="C42" s="386"/>
      <c r="D42" s="68">
        <f>SUM(D43:D44)</f>
        <v>61648.819499999998</v>
      </c>
      <c r="E42" s="320">
        <f>SUM(E43:E44)</f>
        <v>55253.900250000006</v>
      </c>
      <c r="F42" s="68">
        <f>SUM(F43:F44)</f>
        <v>55253.900250000006</v>
      </c>
      <c r="G42" s="68">
        <f t="shared" si="0"/>
        <v>100</v>
      </c>
      <c r="H42" s="276">
        <f t="shared" si="1"/>
        <v>7.4691363281497392</v>
      </c>
      <c r="I42" s="276">
        <f t="shared" si="2"/>
        <v>89.626858548361994</v>
      </c>
      <c r="J42" s="12">
        <f>F43/F42*100</f>
        <v>81.643949451333086</v>
      </c>
    </row>
    <row r="43" spans="1:10" s="10" customFormat="1" ht="12.75" x14ac:dyDescent="0.2">
      <c r="A43" s="17" t="s">
        <v>68</v>
      </c>
      <c r="B43" s="16" t="s">
        <v>64</v>
      </c>
      <c r="C43" s="15" t="s">
        <v>13</v>
      </c>
      <c r="D43" s="69">
        <v>52813.103949999997</v>
      </c>
      <c r="E43" s="322">
        <f>'прил 16 вед стр 20г'!G632</f>
        <v>45111.466390000009</v>
      </c>
      <c r="F43" s="69">
        <f>'прил 16 вед стр 20г'!H632</f>
        <v>45111.466390000009</v>
      </c>
      <c r="G43" s="69">
        <f t="shared" si="0"/>
        <v>100</v>
      </c>
      <c r="H43" s="277">
        <f t="shared" si="1"/>
        <v>6.0980978882057295</v>
      </c>
      <c r="I43" s="277">
        <f t="shared" si="2"/>
        <v>85.417184403152305</v>
      </c>
    </row>
    <row r="44" spans="1:10" s="10" customFormat="1" ht="15.75" customHeight="1" x14ac:dyDescent="0.2">
      <c r="A44" s="17" t="s">
        <v>163</v>
      </c>
      <c r="B44" s="16" t="s">
        <v>64</v>
      </c>
      <c r="C44" s="15" t="s">
        <v>53</v>
      </c>
      <c r="D44" s="69">
        <v>8835.7155500000008</v>
      </c>
      <c r="E44" s="322">
        <f>'прил 16 вед стр 20г'!G633</f>
        <v>10142.433859999999</v>
      </c>
      <c r="F44" s="69">
        <f>'прил 16 вед стр 20г'!H633</f>
        <v>10142.433860000001</v>
      </c>
      <c r="G44" s="69">
        <f t="shared" si="0"/>
        <v>100.00000000000003</v>
      </c>
      <c r="H44" s="277">
        <f t="shared" si="1"/>
        <v>1.3710384399440108</v>
      </c>
      <c r="I44" s="277">
        <f t="shared" si="2"/>
        <v>114.78904908838989</v>
      </c>
    </row>
    <row r="45" spans="1:10" s="12" customFormat="1" ht="12.75" hidden="1" x14ac:dyDescent="0.2">
      <c r="A45" s="14" t="s">
        <v>162</v>
      </c>
      <c r="B45" s="385" t="s">
        <v>161</v>
      </c>
      <c r="C45" s="386"/>
      <c r="D45" s="68">
        <f>D49+D46</f>
        <v>0</v>
      </c>
      <c r="E45" s="320">
        <f>E49+E46</f>
        <v>0</v>
      </c>
      <c r="F45" s="68">
        <f>F49+F46</f>
        <v>0</v>
      </c>
      <c r="G45" s="68" t="e">
        <f t="shared" si="0"/>
        <v>#DIV/0!</v>
      </c>
      <c r="H45" s="277">
        <f t="shared" si="1"/>
        <v>0</v>
      </c>
      <c r="I45" s="277" t="e">
        <f t="shared" si="2"/>
        <v>#DIV/0!</v>
      </c>
    </row>
    <row r="46" spans="1:10" s="10" customFormat="1" ht="12.75" hidden="1" x14ac:dyDescent="0.2">
      <c r="A46" s="17" t="s">
        <v>63</v>
      </c>
      <c r="B46" s="16" t="s">
        <v>60</v>
      </c>
      <c r="C46" s="15" t="s">
        <v>13</v>
      </c>
      <c r="D46" s="69"/>
      <c r="E46" s="323"/>
      <c r="F46" s="324"/>
      <c r="G46" s="68" t="e">
        <f t="shared" si="0"/>
        <v>#DIV/0!</v>
      </c>
      <c r="H46" s="277">
        <f t="shared" si="1"/>
        <v>0</v>
      </c>
      <c r="I46" s="277" t="e">
        <f t="shared" si="2"/>
        <v>#DIV/0!</v>
      </c>
    </row>
    <row r="47" spans="1:10" s="10" customFormat="1" ht="12.75" hidden="1" x14ac:dyDescent="0.2">
      <c r="A47" s="17" t="s">
        <v>160</v>
      </c>
      <c r="B47" s="16" t="s">
        <v>60</v>
      </c>
      <c r="C47" s="15" t="s">
        <v>24</v>
      </c>
      <c r="D47" s="69"/>
      <c r="E47" s="323"/>
      <c r="F47" s="324"/>
      <c r="G47" s="68" t="e">
        <f t="shared" si="0"/>
        <v>#DIV/0!</v>
      </c>
      <c r="H47" s="277">
        <f t="shared" si="1"/>
        <v>0</v>
      </c>
      <c r="I47" s="277" t="e">
        <f t="shared" si="2"/>
        <v>#DIV/0!</v>
      </c>
    </row>
    <row r="48" spans="1:10" s="10" customFormat="1" ht="12.75" hidden="1" x14ac:dyDescent="0.2">
      <c r="A48" s="17" t="s">
        <v>159</v>
      </c>
      <c r="B48" s="16" t="s">
        <v>60</v>
      </c>
      <c r="C48" s="15" t="s">
        <v>53</v>
      </c>
      <c r="D48" s="69"/>
      <c r="E48" s="323"/>
      <c r="F48" s="324"/>
      <c r="G48" s="68" t="e">
        <f t="shared" si="0"/>
        <v>#DIV/0!</v>
      </c>
      <c r="H48" s="277">
        <f t="shared" si="1"/>
        <v>0</v>
      </c>
      <c r="I48" s="277" t="e">
        <f t="shared" si="2"/>
        <v>#DIV/0!</v>
      </c>
    </row>
    <row r="49" spans="1:9" s="10" customFormat="1" ht="18" hidden="1" customHeight="1" x14ac:dyDescent="0.2">
      <c r="A49" s="17" t="s">
        <v>61</v>
      </c>
      <c r="B49" s="16" t="s">
        <v>60</v>
      </c>
      <c r="C49" s="15" t="s">
        <v>60</v>
      </c>
      <c r="D49" s="69"/>
      <c r="E49" s="322">
        <f>'прил 16 вед стр 20г'!G638</f>
        <v>0</v>
      </c>
      <c r="F49" s="69">
        <f>'прил 16 вед стр 20г'!H638</f>
        <v>0</v>
      </c>
      <c r="G49" s="68" t="e">
        <f t="shared" si="0"/>
        <v>#DIV/0!</v>
      </c>
      <c r="H49" s="277">
        <f t="shared" si="1"/>
        <v>0</v>
      </c>
      <c r="I49" s="277" t="e">
        <f t="shared" si="2"/>
        <v>#DIV/0!</v>
      </c>
    </row>
    <row r="50" spans="1:9" s="12" customFormat="1" ht="12.75" x14ac:dyDescent="0.2">
      <c r="A50" s="14" t="s">
        <v>59</v>
      </c>
      <c r="B50" s="385" t="s">
        <v>158</v>
      </c>
      <c r="C50" s="386"/>
      <c r="D50" s="68">
        <f>SUM(D51:D55)</f>
        <v>9552.7390799999994</v>
      </c>
      <c r="E50" s="320">
        <f>SUM(E51:E55)</f>
        <v>5815.5932599999996</v>
      </c>
      <c r="F50" s="68">
        <f>SUM(F51:F55)</f>
        <v>5815.5932599999996</v>
      </c>
      <c r="G50" s="68">
        <f t="shared" si="0"/>
        <v>100</v>
      </c>
      <c r="H50" s="276">
        <f t="shared" si="1"/>
        <v>0.78614285492016045</v>
      </c>
      <c r="I50" s="276">
        <f t="shared" si="2"/>
        <v>60.87880356929</v>
      </c>
    </row>
    <row r="51" spans="1:9" s="10" customFormat="1" ht="12.75" x14ac:dyDescent="0.2">
      <c r="A51" s="17" t="s">
        <v>58</v>
      </c>
      <c r="B51" s="16" t="s">
        <v>48</v>
      </c>
      <c r="C51" s="15" t="s">
        <v>13</v>
      </c>
      <c r="D51" s="69">
        <v>720.62963999999999</v>
      </c>
      <c r="E51" s="322">
        <f>'прил 16 вед стр 20г'!G640</f>
        <v>741.62963999999999</v>
      </c>
      <c r="F51" s="69">
        <f>'прил 16 вед стр 20г'!H640</f>
        <v>741.62963999999999</v>
      </c>
      <c r="G51" s="69">
        <f t="shared" si="0"/>
        <v>100</v>
      </c>
      <c r="H51" s="277">
        <f t="shared" si="1"/>
        <v>0.10025234166445313</v>
      </c>
      <c r="I51" s="277">
        <f t="shared" si="2"/>
        <v>102.91411827023936</v>
      </c>
    </row>
    <row r="52" spans="1:9" s="10" customFormat="1" ht="12.75" hidden="1" x14ac:dyDescent="0.2">
      <c r="A52" s="17" t="s">
        <v>157</v>
      </c>
      <c r="B52" s="16" t="s">
        <v>48</v>
      </c>
      <c r="C52" s="15" t="s">
        <v>24</v>
      </c>
      <c r="D52" s="69"/>
      <c r="E52" s="322">
        <f>'прил 16 вед стр 20г'!G641</f>
        <v>0</v>
      </c>
      <c r="F52" s="69">
        <f>'прил 16 вед стр 20г'!H641</f>
        <v>0</v>
      </c>
      <c r="G52" s="69" t="e">
        <f t="shared" si="0"/>
        <v>#DIV/0!</v>
      </c>
      <c r="H52" s="277">
        <f t="shared" si="1"/>
        <v>0</v>
      </c>
      <c r="I52" s="277" t="e">
        <f t="shared" si="2"/>
        <v>#DIV/0!</v>
      </c>
    </row>
    <row r="53" spans="1:9" s="10" customFormat="1" ht="12" customHeight="1" x14ac:dyDescent="0.2">
      <c r="A53" s="17" t="s">
        <v>156</v>
      </c>
      <c r="B53" s="16" t="s">
        <v>48</v>
      </c>
      <c r="C53" s="15" t="s">
        <v>6</v>
      </c>
      <c r="D53" s="69">
        <v>5953.7313599999998</v>
      </c>
      <c r="E53" s="322">
        <f>'прил 16 вед стр 20г'!G642</f>
        <v>3501.6636199999998</v>
      </c>
      <c r="F53" s="69">
        <f>'прил 16 вед стр 20г'!H642</f>
        <v>3501.6636199999998</v>
      </c>
      <c r="G53" s="69">
        <f t="shared" si="0"/>
        <v>100</v>
      </c>
      <c r="H53" s="277">
        <f t="shared" si="1"/>
        <v>0.47334944383590949</v>
      </c>
      <c r="I53" s="277">
        <f t="shared" si="2"/>
        <v>58.814605635817607</v>
      </c>
    </row>
    <row r="54" spans="1:9" s="10" customFormat="1" ht="12.75" x14ac:dyDescent="0.2">
      <c r="A54" s="17" t="s">
        <v>155</v>
      </c>
      <c r="B54" s="16" t="s">
        <v>48</v>
      </c>
      <c r="C54" s="15" t="s">
        <v>53</v>
      </c>
      <c r="D54" s="69">
        <v>2743.5780800000002</v>
      </c>
      <c r="E54" s="322">
        <f>'прил 16 вед стр 20г'!G643</f>
        <v>1492.3000000000002</v>
      </c>
      <c r="F54" s="69">
        <f>'прил 16 вед стр 20г'!H643</f>
        <v>1492.3000000000002</v>
      </c>
      <c r="G54" s="69">
        <f t="shared" si="0"/>
        <v>100</v>
      </c>
      <c r="H54" s="277">
        <f t="shared" si="1"/>
        <v>0.20172679380217792</v>
      </c>
      <c r="I54" s="277">
        <f t="shared" si="2"/>
        <v>54.392474224753975</v>
      </c>
    </row>
    <row r="55" spans="1:9" s="10" customFormat="1" ht="14.25" customHeight="1" x14ac:dyDescent="0.2">
      <c r="A55" s="17" t="s">
        <v>52</v>
      </c>
      <c r="B55" s="16" t="s">
        <v>48</v>
      </c>
      <c r="C55" s="15" t="s">
        <v>47</v>
      </c>
      <c r="D55" s="69">
        <v>134.80000000000001</v>
      </c>
      <c r="E55" s="322">
        <f>'прил 16 вед стр 20г'!G644</f>
        <v>80</v>
      </c>
      <c r="F55" s="69">
        <f>'прил 16 вед стр 20г'!H644</f>
        <v>80</v>
      </c>
      <c r="G55" s="69">
        <f t="shared" si="0"/>
        <v>100</v>
      </c>
      <c r="H55" s="277">
        <f t="shared" si="1"/>
        <v>1.0814275617619938E-2</v>
      </c>
      <c r="I55" s="277">
        <f t="shared" si="2"/>
        <v>59.347181008902069</v>
      </c>
    </row>
    <row r="56" spans="1:9" s="12" customFormat="1" ht="12.75" x14ac:dyDescent="0.2">
      <c r="A56" s="14" t="s">
        <v>44</v>
      </c>
      <c r="B56" s="385" t="s">
        <v>154</v>
      </c>
      <c r="C56" s="386"/>
      <c r="D56" s="68">
        <f>D57+D58</f>
        <v>1184</v>
      </c>
      <c r="E56" s="320">
        <f>E57+E58</f>
        <v>830</v>
      </c>
      <c r="F56" s="68">
        <f>F57+F58</f>
        <v>830</v>
      </c>
      <c r="G56" s="68">
        <f t="shared" si="0"/>
        <v>100</v>
      </c>
      <c r="H56" s="276">
        <f t="shared" si="1"/>
        <v>0.11219810953280683</v>
      </c>
      <c r="I56" s="276">
        <f t="shared" si="2"/>
        <v>70.101351351351354</v>
      </c>
    </row>
    <row r="57" spans="1:9" s="10" customFormat="1" ht="12.75" x14ac:dyDescent="0.2">
      <c r="A57" s="17" t="s">
        <v>153</v>
      </c>
      <c r="B57" s="16" t="s">
        <v>32</v>
      </c>
      <c r="C57" s="15" t="s">
        <v>13</v>
      </c>
      <c r="D57" s="69">
        <v>1184</v>
      </c>
      <c r="E57" s="322">
        <f>'прил 16 вед стр 20г'!G646</f>
        <v>830</v>
      </c>
      <c r="F57" s="69">
        <f>'прил 16 вед стр 20г'!H646</f>
        <v>830</v>
      </c>
      <c r="G57" s="69">
        <f t="shared" si="0"/>
        <v>100</v>
      </c>
      <c r="H57" s="277">
        <f t="shared" si="1"/>
        <v>0.11219810953280683</v>
      </c>
      <c r="I57" s="277">
        <f t="shared" si="2"/>
        <v>70.101351351351354</v>
      </c>
    </row>
    <row r="58" spans="1:9" s="10" customFormat="1" ht="25.5" hidden="1" x14ac:dyDescent="0.2">
      <c r="A58" s="17" t="s">
        <v>36</v>
      </c>
      <c r="B58" s="18" t="s">
        <v>32</v>
      </c>
      <c r="C58" s="16" t="s">
        <v>31</v>
      </c>
      <c r="D58" s="69"/>
      <c r="E58" s="322">
        <f>'прил 16 вед стр 20г'!G647</f>
        <v>0</v>
      </c>
      <c r="F58" s="69">
        <f>'прил 16 вед стр 20г'!H647</f>
        <v>0</v>
      </c>
      <c r="G58" s="68" t="e">
        <f t="shared" si="0"/>
        <v>#DIV/0!</v>
      </c>
      <c r="H58" s="277">
        <f t="shared" si="1"/>
        <v>0</v>
      </c>
      <c r="I58" s="277" t="e">
        <f t="shared" si="2"/>
        <v>#DIV/0!</v>
      </c>
    </row>
    <row r="59" spans="1:9" s="12" customFormat="1" ht="12" customHeight="1" x14ac:dyDescent="0.2">
      <c r="A59" s="14" t="s">
        <v>29</v>
      </c>
      <c r="B59" s="385" t="s">
        <v>152</v>
      </c>
      <c r="C59" s="386"/>
      <c r="D59" s="68">
        <f>D60</f>
        <v>1420.4059999999999</v>
      </c>
      <c r="E59" s="320">
        <f>E60</f>
        <v>1980.75</v>
      </c>
      <c r="F59" s="68">
        <f>F60</f>
        <v>1980.75</v>
      </c>
      <c r="G59" s="68">
        <f t="shared" si="0"/>
        <v>100</v>
      </c>
      <c r="H59" s="276">
        <f t="shared" si="1"/>
        <v>0.26775470537000862</v>
      </c>
      <c r="I59" s="276">
        <f t="shared" si="2"/>
        <v>139.44956582836176</v>
      </c>
    </row>
    <row r="60" spans="1:9" s="10" customFormat="1" ht="16.5" customHeight="1" x14ac:dyDescent="0.2">
      <c r="A60" s="17" t="s">
        <v>28</v>
      </c>
      <c r="B60" s="16" t="s">
        <v>25</v>
      </c>
      <c r="C60" s="15" t="s">
        <v>24</v>
      </c>
      <c r="D60" s="69">
        <v>1420.4059999999999</v>
      </c>
      <c r="E60" s="322">
        <f>'прил 16 вед стр 20г'!G649</f>
        <v>1980.75</v>
      </c>
      <c r="F60" s="69">
        <f>'прил 16 вед стр 20г'!H649</f>
        <v>1980.75</v>
      </c>
      <c r="G60" s="69">
        <f t="shared" si="0"/>
        <v>100</v>
      </c>
      <c r="H60" s="277">
        <f t="shared" si="1"/>
        <v>0.26775470537000862</v>
      </c>
      <c r="I60" s="277">
        <f t="shared" si="2"/>
        <v>139.44956582836176</v>
      </c>
    </row>
    <row r="61" spans="1:9" s="12" customFormat="1" ht="27" customHeight="1" x14ac:dyDescent="0.2">
      <c r="A61" s="14" t="s">
        <v>151</v>
      </c>
      <c r="B61" s="385" t="s">
        <v>150</v>
      </c>
      <c r="C61" s="386"/>
      <c r="D61" s="68">
        <f>SUM(D62)</f>
        <v>2.4052899999999999</v>
      </c>
      <c r="E61" s="320">
        <f>SUM(E62)</f>
        <v>2.2330000000000001</v>
      </c>
      <c r="F61" s="68">
        <f>SUM(F62)</f>
        <v>0.63300000000000001</v>
      </c>
      <c r="G61" s="68">
        <f t="shared" si="0"/>
        <v>28.347514554411106</v>
      </c>
      <c r="H61" s="276">
        <f t="shared" si="1"/>
        <v>8.5567955824417745E-5</v>
      </c>
      <c r="I61" s="276">
        <f t="shared" si="2"/>
        <v>26.316992961347697</v>
      </c>
    </row>
    <row r="62" spans="1:9" s="10" customFormat="1" ht="27.75" customHeight="1" x14ac:dyDescent="0.2">
      <c r="A62" s="17" t="s">
        <v>22</v>
      </c>
      <c r="B62" s="16" t="s">
        <v>21</v>
      </c>
      <c r="C62" s="15" t="s">
        <v>13</v>
      </c>
      <c r="D62" s="69">
        <v>2.4052899999999999</v>
      </c>
      <c r="E62" s="322">
        <f>'прил 16 вед стр 20г'!G651</f>
        <v>2.2330000000000001</v>
      </c>
      <c r="F62" s="69">
        <f>'прил 16 вед стр 20г'!H651</f>
        <v>0.63300000000000001</v>
      </c>
      <c r="G62" s="69">
        <f t="shared" si="0"/>
        <v>28.347514554411106</v>
      </c>
      <c r="H62" s="277">
        <f t="shared" si="1"/>
        <v>8.5567955824417745E-5</v>
      </c>
      <c r="I62" s="277">
        <f t="shared" si="2"/>
        <v>26.316992961347697</v>
      </c>
    </row>
    <row r="63" spans="1:9" s="12" customFormat="1" ht="26.25" customHeight="1" x14ac:dyDescent="0.2">
      <c r="A63" s="14" t="s">
        <v>149</v>
      </c>
      <c r="B63" s="385" t="s">
        <v>148</v>
      </c>
      <c r="C63" s="386"/>
      <c r="D63" s="68">
        <f>SUM(D64:D65)</f>
        <v>38312.800000000003</v>
      </c>
      <c r="E63" s="320">
        <f>SUM(E64:E65)</f>
        <v>42441.58498</v>
      </c>
      <c r="F63" s="68">
        <f>SUM(F64:F65)</f>
        <v>42441.58498</v>
      </c>
      <c r="G63" s="68">
        <f t="shared" si="0"/>
        <v>100</v>
      </c>
      <c r="H63" s="276">
        <f t="shared" si="1"/>
        <v>5.7371874702794816</v>
      </c>
      <c r="I63" s="276">
        <f t="shared" si="2"/>
        <v>110.77651589025078</v>
      </c>
    </row>
    <row r="64" spans="1:9" s="10" customFormat="1" ht="29.25" customHeight="1" x14ac:dyDescent="0.2">
      <c r="A64" s="17" t="s">
        <v>147</v>
      </c>
      <c r="B64" s="16" t="s">
        <v>7</v>
      </c>
      <c r="C64" s="15" t="s">
        <v>13</v>
      </c>
      <c r="D64" s="69">
        <v>25941.7</v>
      </c>
      <c r="E64" s="322">
        <f>'прил 16 вед стр 20г'!G653</f>
        <v>25931.599999999999</v>
      </c>
      <c r="F64" s="69">
        <f>'прил 16 вед стр 20г'!H653</f>
        <v>25931.599999999999</v>
      </c>
      <c r="G64" s="69">
        <f t="shared" si="0"/>
        <v>100</v>
      </c>
      <c r="H64" s="277">
        <f t="shared" si="1"/>
        <v>3.5053933700734139</v>
      </c>
      <c r="I64" s="277">
        <f t="shared" si="2"/>
        <v>99.961066545369022</v>
      </c>
    </row>
    <row r="65" spans="1:9" s="10" customFormat="1" ht="26.25" customHeight="1" x14ac:dyDescent="0.2">
      <c r="A65" s="17" t="s">
        <v>146</v>
      </c>
      <c r="B65" s="16" t="s">
        <v>7</v>
      </c>
      <c r="C65" s="15" t="s">
        <v>6</v>
      </c>
      <c r="D65" s="69">
        <v>12371.1</v>
      </c>
      <c r="E65" s="322">
        <f>'прил 16 вед стр 20г'!G654</f>
        <v>16509.984980000001</v>
      </c>
      <c r="F65" s="69">
        <f>'прил 16 вед стр 20г'!H654</f>
        <v>16509.984980000001</v>
      </c>
      <c r="G65" s="69">
        <f t="shared" si="0"/>
        <v>100</v>
      </c>
      <c r="H65" s="277">
        <f t="shared" si="1"/>
        <v>2.2317941002060673</v>
      </c>
      <c r="I65" s="277">
        <f t="shared" si="2"/>
        <v>133.4560789258837</v>
      </c>
    </row>
    <row r="66" spans="1:9" s="12" customFormat="1" ht="12.75" x14ac:dyDescent="0.2">
      <c r="A66" s="14" t="s">
        <v>145</v>
      </c>
      <c r="B66" s="39"/>
      <c r="C66" s="13"/>
      <c r="D66" s="68">
        <f>D7+D16+D18+D23+D29+D35+D42+D45+D50+D56+D59+D61+D63</f>
        <v>793690.04055999999</v>
      </c>
      <c r="E66" s="320">
        <f>E7+E16+E18+E23+E29+E35+E42+E45+E50+E56+E59+E61+E63+E33</f>
        <v>778258.70473999996</v>
      </c>
      <c r="F66" s="320">
        <f>F7+F16+F18+F23+F29+F35+F42+F45+F50+F56+F59+F61+F63+F33</f>
        <v>739762.90995999996</v>
      </c>
      <c r="G66" s="68">
        <f t="shared" si="0"/>
        <v>95.053599202226636</v>
      </c>
      <c r="H66" s="276">
        <f t="shared" si="1"/>
        <v>100</v>
      </c>
      <c r="I66" s="276">
        <f t="shared" si="2"/>
        <v>93.205517539069675</v>
      </c>
    </row>
    <row r="67" spans="1:9" s="10" customFormat="1" x14ac:dyDescent="0.25">
      <c r="A67" s="9"/>
      <c r="C67" s="11"/>
      <c r="D67" s="11"/>
      <c r="E67" s="40">
        <v>694656.24251000001</v>
      </c>
      <c r="F67" s="61">
        <v>83602.458620000005</v>
      </c>
      <c r="G67" s="275">
        <v>778258.70112999994</v>
      </c>
    </row>
    <row r="68" spans="1:9" s="10" customFormat="1" ht="12.75" x14ac:dyDescent="0.2">
      <c r="A68" s="9"/>
      <c r="C68" s="11"/>
      <c r="D68" s="11"/>
      <c r="E68" s="63">
        <f>E67-E66</f>
        <v>-83602.462229999946</v>
      </c>
      <c r="F68" s="63">
        <f>F67-F66</f>
        <v>-656160.45133999991</v>
      </c>
      <c r="G68" s="63">
        <f>G67-G66</f>
        <v>778163.64753079775</v>
      </c>
    </row>
    <row r="69" spans="1:9" s="10" customFormat="1" ht="12.75" x14ac:dyDescent="0.2">
      <c r="A69" s="9"/>
      <c r="C69" s="11"/>
      <c r="D69" s="11"/>
      <c r="E69" s="63"/>
      <c r="F69" s="63"/>
      <c r="G69" s="63"/>
    </row>
  </sheetData>
  <mergeCells count="23">
    <mergeCell ref="D5:D6"/>
    <mergeCell ref="E5:H5"/>
    <mergeCell ref="I5:I6"/>
    <mergeCell ref="A2:I2"/>
    <mergeCell ref="A3:I3"/>
    <mergeCell ref="A5:A6"/>
    <mergeCell ref="B5:C6"/>
    <mergeCell ref="G1:I1"/>
    <mergeCell ref="H4:I4"/>
    <mergeCell ref="B63:C63"/>
    <mergeCell ref="B42:C42"/>
    <mergeCell ref="B45:C45"/>
    <mergeCell ref="B50:C50"/>
    <mergeCell ref="B56:C56"/>
    <mergeCell ref="B59:C59"/>
    <mergeCell ref="B61:C61"/>
    <mergeCell ref="B35:C35"/>
    <mergeCell ref="B7:C7"/>
    <mergeCell ref="B16:C16"/>
    <mergeCell ref="B18:C18"/>
    <mergeCell ref="B23:C23"/>
    <mergeCell ref="B29:C29"/>
    <mergeCell ref="B33:C33"/>
  </mergeCells>
  <pageMargins left="0.78740157480314965" right="0" top="0" bottom="0" header="0" footer="0"/>
  <pageSetup paperSize="9" scale="5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92D050"/>
  </sheetPr>
  <dimension ref="A1:M712"/>
  <sheetViews>
    <sheetView view="pageBreakPreview" topLeftCell="A356" zoomScaleNormal="100" zoomScaleSheetLayoutView="100" workbookViewId="0">
      <selection activeCell="E369" sqref="E368:E369"/>
    </sheetView>
  </sheetViews>
  <sheetFormatPr defaultRowHeight="15" x14ac:dyDescent="0.25"/>
  <cols>
    <col min="1" max="1" width="48.85546875" style="22" customWidth="1"/>
    <col min="2" max="3" width="6.28515625" style="21" customWidth="1"/>
    <col min="4" max="4" width="8.140625" style="21" customWidth="1"/>
    <col min="5" max="5" width="13.7109375" style="21" customWidth="1"/>
    <col min="6" max="6" width="7.5703125" style="21" customWidth="1"/>
    <col min="7" max="7" width="17.5703125" style="73" customWidth="1"/>
    <col min="8" max="8" width="13.42578125" style="74" customWidth="1"/>
    <col min="9" max="9" width="15.85546875" style="74" customWidth="1"/>
    <col min="10" max="10" width="15.85546875" style="21" customWidth="1"/>
    <col min="11" max="11" width="13.140625" style="21" bestFit="1" customWidth="1"/>
    <col min="12" max="16384" width="9.140625" style="21"/>
  </cols>
  <sheetData>
    <row r="1" spans="1:11" ht="12.75" x14ac:dyDescent="0.2">
      <c r="B1" s="33"/>
      <c r="C1" s="33"/>
      <c r="D1" s="33"/>
      <c r="E1" s="34"/>
      <c r="F1" s="34"/>
      <c r="G1" s="475" t="s">
        <v>655</v>
      </c>
      <c r="H1" s="475"/>
      <c r="I1" s="475"/>
    </row>
    <row r="2" spans="1:11" s="33" customFormat="1" ht="60" customHeight="1" x14ac:dyDescent="0.2">
      <c r="A2" s="36"/>
      <c r="E2" s="35"/>
      <c r="F2" s="37"/>
      <c r="G2" s="479"/>
      <c r="H2" s="479"/>
      <c r="I2" s="479"/>
    </row>
    <row r="3" spans="1:11" s="33" customFormat="1" ht="27.75" customHeight="1" x14ac:dyDescent="0.2">
      <c r="A3" s="480" t="s">
        <v>688</v>
      </c>
      <c r="B3" s="480"/>
      <c r="C3" s="480"/>
      <c r="D3" s="480"/>
      <c r="E3" s="480"/>
      <c r="F3" s="480"/>
      <c r="G3" s="480"/>
      <c r="H3" s="480"/>
      <c r="I3" s="480"/>
    </row>
    <row r="4" spans="1:11" s="33" customFormat="1" ht="17.25" customHeight="1" x14ac:dyDescent="0.2">
      <c r="A4" s="78"/>
      <c r="B4" s="78"/>
      <c r="C4" s="78"/>
      <c r="D4" s="78"/>
      <c r="E4" s="78"/>
      <c r="F4" s="78"/>
      <c r="G4" s="82"/>
      <c r="H4" s="82"/>
      <c r="I4" s="75" t="s">
        <v>144</v>
      </c>
    </row>
    <row r="5" spans="1:11" s="29" customFormat="1" ht="12.75" customHeight="1" x14ac:dyDescent="0.2">
      <c r="A5" s="476" t="s">
        <v>202</v>
      </c>
      <c r="B5" s="483" t="s">
        <v>201</v>
      </c>
      <c r="C5" s="483"/>
      <c r="D5" s="483"/>
      <c r="E5" s="483"/>
      <c r="F5" s="483"/>
      <c r="G5" s="481" t="s">
        <v>275</v>
      </c>
      <c r="H5" s="481" t="s">
        <v>653</v>
      </c>
      <c r="I5" s="481" t="s">
        <v>654</v>
      </c>
    </row>
    <row r="6" spans="1:11" s="29" customFormat="1" ht="6.75" customHeight="1" x14ac:dyDescent="0.2">
      <c r="A6" s="476"/>
      <c r="B6" s="483"/>
      <c r="C6" s="483"/>
      <c r="D6" s="483"/>
      <c r="E6" s="483"/>
      <c r="F6" s="483"/>
      <c r="G6" s="482"/>
      <c r="H6" s="482"/>
      <c r="I6" s="482"/>
    </row>
    <row r="7" spans="1:11" s="29" customFormat="1" ht="29.25" customHeight="1" x14ac:dyDescent="0.2">
      <c r="A7" s="476"/>
      <c r="B7" s="79" t="s">
        <v>200</v>
      </c>
      <c r="C7" s="79" t="s">
        <v>143</v>
      </c>
      <c r="D7" s="79" t="s">
        <v>142</v>
      </c>
      <c r="E7" s="79" t="s">
        <v>141</v>
      </c>
      <c r="F7" s="79" t="s">
        <v>199</v>
      </c>
      <c r="G7" s="398"/>
      <c r="H7" s="398"/>
      <c r="I7" s="398"/>
    </row>
    <row r="8" spans="1:11" s="30" customFormat="1" ht="11.25" customHeight="1" x14ac:dyDescent="0.25">
      <c r="A8" s="32">
        <v>1</v>
      </c>
      <c r="B8" s="32">
        <v>2</v>
      </c>
      <c r="C8" s="32">
        <v>3</v>
      </c>
      <c r="D8" s="32">
        <v>4</v>
      </c>
      <c r="E8" s="32">
        <v>5</v>
      </c>
      <c r="F8" s="32">
        <v>6</v>
      </c>
      <c r="G8" s="31">
        <f>F8+1</f>
        <v>7</v>
      </c>
      <c r="H8" s="31">
        <f>G8+1</f>
        <v>8</v>
      </c>
      <c r="I8" s="31">
        <f>H8+1</f>
        <v>9</v>
      </c>
    </row>
    <row r="9" spans="1:11" s="29" customFormat="1" ht="24" x14ac:dyDescent="0.2">
      <c r="A9" s="38" t="s">
        <v>213</v>
      </c>
      <c r="B9" s="4" t="s">
        <v>197</v>
      </c>
      <c r="C9" s="2"/>
      <c r="D9" s="2"/>
      <c r="E9" s="2"/>
      <c r="F9" s="2"/>
      <c r="G9" s="70">
        <f>G10+G141</f>
        <v>516976.17543999996</v>
      </c>
      <c r="H9" s="70">
        <f>H10+H141</f>
        <v>487841.23855999991</v>
      </c>
      <c r="I9" s="70">
        <f>H9/G9*100</f>
        <v>94.364355986965307</v>
      </c>
      <c r="J9" s="48">
        <v>487841.23856000003</v>
      </c>
      <c r="K9" s="48">
        <f>H9-J9</f>
        <v>0</v>
      </c>
    </row>
    <row r="10" spans="1:11" ht="12.75" x14ac:dyDescent="0.2">
      <c r="A10" s="3" t="s">
        <v>80</v>
      </c>
      <c r="B10" s="2" t="s">
        <v>197</v>
      </c>
      <c r="C10" s="2" t="s">
        <v>70</v>
      </c>
      <c r="D10" s="2"/>
      <c r="E10" s="2"/>
      <c r="F10" s="2"/>
      <c r="G10" s="56">
        <f>G43+G116+G11+G91</f>
        <v>515483.87543999997</v>
      </c>
      <c r="H10" s="56">
        <f>H43+H116+H11+H91</f>
        <v>486348.93855999992</v>
      </c>
      <c r="I10" s="56">
        <f t="shared" ref="I10:I71" si="0">H10/G10*100</f>
        <v>94.348041079824</v>
      </c>
      <c r="J10" s="49"/>
      <c r="K10" s="48">
        <f t="shared" ref="K10:K23" si="1">I10-J10</f>
        <v>94.348041079824</v>
      </c>
    </row>
    <row r="11" spans="1:11" ht="12.75" x14ac:dyDescent="0.2">
      <c r="A11" s="3" t="s">
        <v>79</v>
      </c>
      <c r="B11" s="2" t="s">
        <v>197</v>
      </c>
      <c r="C11" s="2" t="s">
        <v>70</v>
      </c>
      <c r="D11" s="2" t="s">
        <v>13</v>
      </c>
      <c r="E11" s="2"/>
      <c r="F11" s="2"/>
      <c r="G11" s="56">
        <f>G12</f>
        <v>128039.11476</v>
      </c>
      <c r="H11" s="56">
        <f>H12</f>
        <v>127217.96676</v>
      </c>
      <c r="I11" s="56">
        <f t="shared" si="0"/>
        <v>99.358674103972689</v>
      </c>
      <c r="J11" s="49"/>
      <c r="K11" s="48">
        <f t="shared" si="1"/>
        <v>99.358674103972689</v>
      </c>
    </row>
    <row r="12" spans="1:11" ht="24" x14ac:dyDescent="0.2">
      <c r="A12" s="3" t="s">
        <v>427</v>
      </c>
      <c r="B12" s="2" t="s">
        <v>197</v>
      </c>
      <c r="C12" s="2" t="s">
        <v>70</v>
      </c>
      <c r="D12" s="2" t="s">
        <v>13</v>
      </c>
      <c r="E12" s="2" t="s">
        <v>348</v>
      </c>
      <c r="F12" s="2"/>
      <c r="G12" s="56">
        <f>G13</f>
        <v>128039.11476</v>
      </c>
      <c r="H12" s="56">
        <f>H13</f>
        <v>127217.96676</v>
      </c>
      <c r="I12" s="56">
        <f t="shared" si="0"/>
        <v>99.358674103972689</v>
      </c>
      <c r="J12" s="49"/>
      <c r="K12" s="48">
        <f t="shared" si="1"/>
        <v>99.358674103972689</v>
      </c>
    </row>
    <row r="13" spans="1:11" ht="36" x14ac:dyDescent="0.2">
      <c r="A13" s="3" t="s">
        <v>276</v>
      </c>
      <c r="B13" s="2" t="s">
        <v>197</v>
      </c>
      <c r="C13" s="2" t="s">
        <v>70</v>
      </c>
      <c r="D13" s="2" t="s">
        <v>13</v>
      </c>
      <c r="E13" s="2" t="s">
        <v>325</v>
      </c>
      <c r="F13" s="2"/>
      <c r="G13" s="56">
        <f>G14+G31+G34+G37+G40</f>
        <v>128039.11476</v>
      </c>
      <c r="H13" s="56">
        <f>H14+H31+H34+H37+H40</f>
        <v>127217.96676</v>
      </c>
      <c r="I13" s="56">
        <f t="shared" si="0"/>
        <v>99.358674103972689</v>
      </c>
      <c r="J13" s="49"/>
      <c r="K13" s="48">
        <f t="shared" si="1"/>
        <v>99.358674103972689</v>
      </c>
    </row>
    <row r="14" spans="1:11" ht="48" x14ac:dyDescent="0.2">
      <c r="A14" s="3" t="s">
        <v>277</v>
      </c>
      <c r="B14" s="2" t="s">
        <v>197</v>
      </c>
      <c r="C14" s="2" t="s">
        <v>70</v>
      </c>
      <c r="D14" s="2" t="s">
        <v>13</v>
      </c>
      <c r="E14" s="2" t="s">
        <v>324</v>
      </c>
      <c r="F14" s="2"/>
      <c r="G14" s="56">
        <f>G15+G23+G21+G19+G29+G27+G17+G25</f>
        <v>90361.947369999994</v>
      </c>
      <c r="H14" s="56">
        <f>H15+H23+H21+H19+H29+H27+H17+H25</f>
        <v>90361.947369999994</v>
      </c>
      <c r="I14" s="56">
        <f t="shared" si="0"/>
        <v>100</v>
      </c>
      <c r="J14" s="49"/>
      <c r="K14" s="48">
        <f t="shared" si="1"/>
        <v>100</v>
      </c>
    </row>
    <row r="15" spans="1:11" ht="36" x14ac:dyDescent="0.2">
      <c r="A15" s="3" t="s">
        <v>198</v>
      </c>
      <c r="B15" s="2" t="s">
        <v>197</v>
      </c>
      <c r="C15" s="2" t="s">
        <v>70</v>
      </c>
      <c r="D15" s="2" t="s">
        <v>13</v>
      </c>
      <c r="E15" s="2" t="s">
        <v>326</v>
      </c>
      <c r="F15" s="2"/>
      <c r="G15" s="56">
        <f>G16</f>
        <v>5293.91806</v>
      </c>
      <c r="H15" s="56">
        <f>H16</f>
        <v>5293.91806</v>
      </c>
      <c r="I15" s="56">
        <f t="shared" si="0"/>
        <v>100</v>
      </c>
      <c r="J15" s="49"/>
      <c r="K15" s="48">
        <f t="shared" si="1"/>
        <v>100</v>
      </c>
    </row>
    <row r="16" spans="1:11" ht="24" x14ac:dyDescent="0.2">
      <c r="A16" s="3" t="s">
        <v>26</v>
      </c>
      <c r="B16" s="2" t="s">
        <v>197</v>
      </c>
      <c r="C16" s="2" t="s">
        <v>70</v>
      </c>
      <c r="D16" s="2" t="s">
        <v>13</v>
      </c>
      <c r="E16" s="2" t="s">
        <v>326</v>
      </c>
      <c r="F16" s="2" t="s">
        <v>23</v>
      </c>
      <c r="G16" s="56">
        <v>5293.91806</v>
      </c>
      <c r="H16" s="56">
        <f>805.8+482.59+3937.52806+68</f>
        <v>5293.91806</v>
      </c>
      <c r="I16" s="56">
        <f t="shared" si="0"/>
        <v>100</v>
      </c>
      <c r="J16" s="49">
        <f>805.8+482.59+3937.52806+68</f>
        <v>5293.91806</v>
      </c>
      <c r="K16" s="48">
        <f>J16-I16</f>
        <v>5193.91806</v>
      </c>
    </row>
    <row r="17" spans="1:11" ht="36" x14ac:dyDescent="0.2">
      <c r="A17" s="3" t="s">
        <v>198</v>
      </c>
      <c r="B17" s="2" t="s">
        <v>197</v>
      </c>
      <c r="C17" s="2" t="s">
        <v>70</v>
      </c>
      <c r="D17" s="2" t="s">
        <v>13</v>
      </c>
      <c r="E17" s="2" t="s">
        <v>520</v>
      </c>
      <c r="F17" s="2"/>
      <c r="G17" s="56">
        <f>G18</f>
        <v>71.135999999999996</v>
      </c>
      <c r="H17" s="56">
        <f>H18</f>
        <v>71.135999999999996</v>
      </c>
      <c r="I17" s="56">
        <f t="shared" si="0"/>
        <v>100</v>
      </c>
      <c r="J17" s="49"/>
      <c r="K17" s="48"/>
    </row>
    <row r="18" spans="1:11" ht="24" x14ac:dyDescent="0.2">
      <c r="A18" s="3" t="s">
        <v>26</v>
      </c>
      <c r="B18" s="2" t="s">
        <v>197</v>
      </c>
      <c r="C18" s="2" t="s">
        <v>70</v>
      </c>
      <c r="D18" s="2" t="s">
        <v>13</v>
      </c>
      <c r="E18" s="2" t="s">
        <v>520</v>
      </c>
      <c r="F18" s="2" t="s">
        <v>23</v>
      </c>
      <c r="G18" s="56">
        <v>71.135999999999996</v>
      </c>
      <c r="H18" s="56">
        <v>71.135999999999996</v>
      </c>
      <c r="I18" s="56">
        <f t="shared" si="0"/>
        <v>100</v>
      </c>
      <c r="J18" s="49">
        <v>71.135999999999996</v>
      </c>
      <c r="K18" s="48">
        <f>J18-I18</f>
        <v>-28.864000000000004</v>
      </c>
    </row>
    <row r="19" spans="1:11" ht="36" x14ac:dyDescent="0.2">
      <c r="A19" s="3" t="s">
        <v>278</v>
      </c>
      <c r="B19" s="2" t="s">
        <v>197</v>
      </c>
      <c r="C19" s="2" t="s">
        <v>70</v>
      </c>
      <c r="D19" s="2" t="s">
        <v>13</v>
      </c>
      <c r="E19" s="2" t="s">
        <v>327</v>
      </c>
      <c r="F19" s="2"/>
      <c r="G19" s="56">
        <f>G20</f>
        <v>13994.670980000001</v>
      </c>
      <c r="H19" s="56">
        <f>H20</f>
        <v>13994.670979999999</v>
      </c>
      <c r="I19" s="56">
        <f t="shared" si="0"/>
        <v>99.999999999999986</v>
      </c>
      <c r="J19" s="49"/>
      <c r="K19" s="48">
        <f t="shared" si="1"/>
        <v>99.999999999999986</v>
      </c>
    </row>
    <row r="20" spans="1:11" ht="24" x14ac:dyDescent="0.2">
      <c r="A20" s="3" t="s">
        <v>26</v>
      </c>
      <c r="B20" s="2" t="s">
        <v>197</v>
      </c>
      <c r="C20" s="2" t="s">
        <v>70</v>
      </c>
      <c r="D20" s="2" t="s">
        <v>13</v>
      </c>
      <c r="E20" s="2" t="s">
        <v>327</v>
      </c>
      <c r="F20" s="2" t="s">
        <v>23</v>
      </c>
      <c r="G20" s="56">
        <v>13994.670980000001</v>
      </c>
      <c r="H20" s="56">
        <f>11060.59598+2934.075</f>
        <v>13994.670979999999</v>
      </c>
      <c r="I20" s="56">
        <f t="shared" si="0"/>
        <v>99.999999999999986</v>
      </c>
      <c r="J20" s="49">
        <f>11060.59598+2934.075</f>
        <v>13994.670979999999</v>
      </c>
      <c r="K20" s="48">
        <f>J20-I20</f>
        <v>13894.670979999999</v>
      </c>
    </row>
    <row r="21" spans="1:11" ht="36" x14ac:dyDescent="0.2">
      <c r="A21" s="6" t="s">
        <v>76</v>
      </c>
      <c r="B21" s="2" t="s">
        <v>197</v>
      </c>
      <c r="C21" s="2" t="s">
        <v>70</v>
      </c>
      <c r="D21" s="2" t="s">
        <v>13</v>
      </c>
      <c r="E21" s="2" t="s">
        <v>328</v>
      </c>
      <c r="F21" s="2"/>
      <c r="G21" s="56">
        <f>G22</f>
        <v>220</v>
      </c>
      <c r="H21" s="56">
        <f>H22</f>
        <v>220</v>
      </c>
      <c r="I21" s="56">
        <f t="shared" si="0"/>
        <v>100</v>
      </c>
      <c r="J21" s="49"/>
      <c r="K21" s="48">
        <f t="shared" si="1"/>
        <v>100</v>
      </c>
    </row>
    <row r="22" spans="1:11" ht="24" x14ac:dyDescent="0.2">
      <c r="A22" s="3" t="s">
        <v>26</v>
      </c>
      <c r="B22" s="2" t="s">
        <v>197</v>
      </c>
      <c r="C22" s="2" t="s">
        <v>70</v>
      </c>
      <c r="D22" s="2" t="s">
        <v>13</v>
      </c>
      <c r="E22" s="2" t="s">
        <v>328</v>
      </c>
      <c r="F22" s="2" t="s">
        <v>23</v>
      </c>
      <c r="G22" s="56">
        <v>220</v>
      </c>
      <c r="H22" s="56">
        <v>220</v>
      </c>
      <c r="I22" s="56">
        <f t="shared" si="0"/>
        <v>100</v>
      </c>
      <c r="J22" s="49">
        <f>180+40</f>
        <v>220</v>
      </c>
      <c r="K22" s="48">
        <f>J22-I22</f>
        <v>120</v>
      </c>
    </row>
    <row r="23" spans="1:11" ht="96" x14ac:dyDescent="0.2">
      <c r="A23" s="3" t="s">
        <v>265</v>
      </c>
      <c r="B23" s="2" t="s">
        <v>197</v>
      </c>
      <c r="C23" s="2" t="s">
        <v>70</v>
      </c>
      <c r="D23" s="2" t="s">
        <v>13</v>
      </c>
      <c r="E23" s="2" t="s">
        <v>330</v>
      </c>
      <c r="F23" s="2"/>
      <c r="G23" s="56">
        <f>G24</f>
        <v>56135.9</v>
      </c>
      <c r="H23" s="56">
        <f>H24</f>
        <v>56135.9</v>
      </c>
      <c r="I23" s="56">
        <f t="shared" si="0"/>
        <v>100</v>
      </c>
      <c r="J23" s="49"/>
      <c r="K23" s="48">
        <f t="shared" si="1"/>
        <v>100</v>
      </c>
    </row>
    <row r="24" spans="1:11" s="67" customFormat="1" ht="24" x14ac:dyDescent="0.2">
      <c r="A24" s="65" t="s">
        <v>26</v>
      </c>
      <c r="B24" s="66" t="s">
        <v>197</v>
      </c>
      <c r="C24" s="66" t="s">
        <v>70</v>
      </c>
      <c r="D24" s="66" t="s">
        <v>13</v>
      </c>
      <c r="E24" s="66" t="s">
        <v>330</v>
      </c>
      <c r="F24" s="66" t="s">
        <v>23</v>
      </c>
      <c r="G24" s="251">
        <v>56135.9</v>
      </c>
      <c r="H24" s="251">
        <f>37092.84418+19043.05582</f>
        <v>56135.9</v>
      </c>
      <c r="I24" s="56">
        <f t="shared" si="0"/>
        <v>100</v>
      </c>
      <c r="J24" s="77">
        <f>37092.84418+19043.05582</f>
        <v>56135.9</v>
      </c>
      <c r="K24" s="48">
        <f>J24-I24</f>
        <v>56035.9</v>
      </c>
    </row>
    <row r="25" spans="1:11" s="67" customFormat="1" ht="36" x14ac:dyDescent="0.2">
      <c r="A25" s="3" t="s">
        <v>208</v>
      </c>
      <c r="B25" s="2" t="s">
        <v>197</v>
      </c>
      <c r="C25" s="2" t="s">
        <v>70</v>
      </c>
      <c r="D25" s="2" t="s">
        <v>13</v>
      </c>
      <c r="E25" s="2" t="s">
        <v>331</v>
      </c>
      <c r="F25" s="2"/>
      <c r="G25" s="244">
        <f>G26</f>
        <v>16.912849999999999</v>
      </c>
      <c r="H25" s="244">
        <f>H26</f>
        <v>16.912849999999999</v>
      </c>
      <c r="I25" s="56">
        <f t="shared" si="0"/>
        <v>100</v>
      </c>
      <c r="J25" s="77"/>
      <c r="K25" s="48"/>
    </row>
    <row r="26" spans="1:11" s="67" customFormat="1" ht="24" x14ac:dyDescent="0.2">
      <c r="A26" s="65" t="s">
        <v>26</v>
      </c>
      <c r="B26" s="2" t="s">
        <v>197</v>
      </c>
      <c r="C26" s="2" t="s">
        <v>70</v>
      </c>
      <c r="D26" s="2" t="s">
        <v>13</v>
      </c>
      <c r="E26" s="2" t="s">
        <v>331</v>
      </c>
      <c r="F26" s="2" t="s">
        <v>23</v>
      </c>
      <c r="G26" s="244">
        <v>16.912849999999999</v>
      </c>
      <c r="H26" s="244">
        <v>16.912849999999999</v>
      </c>
      <c r="I26" s="56">
        <f t="shared" si="0"/>
        <v>100</v>
      </c>
      <c r="J26" s="77">
        <v>16.912849999999999</v>
      </c>
      <c r="K26" s="48"/>
    </row>
    <row r="27" spans="1:11" ht="36" x14ac:dyDescent="0.2">
      <c r="A27" s="3" t="s">
        <v>508</v>
      </c>
      <c r="B27" s="2" t="s">
        <v>197</v>
      </c>
      <c r="C27" s="2" t="s">
        <v>70</v>
      </c>
      <c r="D27" s="2" t="s">
        <v>13</v>
      </c>
      <c r="E27" s="2" t="s">
        <v>509</v>
      </c>
      <c r="F27" s="2"/>
      <c r="G27" s="244">
        <f>G28</f>
        <v>1734.69388</v>
      </c>
      <c r="H27" s="244">
        <f>H28</f>
        <v>1734.6938799999998</v>
      </c>
      <c r="I27" s="56">
        <f t="shared" si="0"/>
        <v>99.999999999999986</v>
      </c>
      <c r="J27" s="49"/>
      <c r="K27" s="48"/>
    </row>
    <row r="28" spans="1:11" ht="24" x14ac:dyDescent="0.2">
      <c r="A28" s="3" t="s">
        <v>26</v>
      </c>
      <c r="B28" s="2" t="s">
        <v>197</v>
      </c>
      <c r="C28" s="2" t="s">
        <v>70</v>
      </c>
      <c r="D28" s="2" t="s">
        <v>13</v>
      </c>
      <c r="E28" s="2" t="s">
        <v>509</v>
      </c>
      <c r="F28" s="2" t="s">
        <v>23</v>
      </c>
      <c r="G28" s="244">
        <v>1734.69388</v>
      </c>
      <c r="H28" s="244">
        <f>612.2449+1122.44898</f>
        <v>1734.6938799999998</v>
      </c>
      <c r="I28" s="56">
        <f t="shared" si="0"/>
        <v>99.999999999999986</v>
      </c>
      <c r="J28" s="49">
        <f>612.2449+1122.44898</f>
        <v>1734.6938799999998</v>
      </c>
      <c r="K28" s="48">
        <f>J28-I28</f>
        <v>1634.6938799999998</v>
      </c>
    </row>
    <row r="29" spans="1:11" ht="12.75" x14ac:dyDescent="0.2">
      <c r="A29" s="3" t="s">
        <v>389</v>
      </c>
      <c r="B29" s="2" t="s">
        <v>197</v>
      </c>
      <c r="C29" s="2" t="s">
        <v>70</v>
      </c>
      <c r="D29" s="2" t="s">
        <v>13</v>
      </c>
      <c r="E29" s="2" t="s">
        <v>390</v>
      </c>
      <c r="F29" s="2"/>
      <c r="G29" s="56">
        <f>G30</f>
        <v>12894.7156</v>
      </c>
      <c r="H29" s="56">
        <f>H30</f>
        <v>12894.7156</v>
      </c>
      <c r="I29" s="56">
        <f t="shared" si="0"/>
        <v>100</v>
      </c>
      <c r="J29" s="49"/>
      <c r="K29" s="48">
        <f>I29-J29</f>
        <v>100</v>
      </c>
    </row>
    <row r="30" spans="1:11" ht="24" x14ac:dyDescent="0.2">
      <c r="A30" s="3" t="s">
        <v>26</v>
      </c>
      <c r="B30" s="2" t="s">
        <v>197</v>
      </c>
      <c r="C30" s="2" t="s">
        <v>70</v>
      </c>
      <c r="D30" s="2" t="s">
        <v>13</v>
      </c>
      <c r="E30" s="2" t="s">
        <v>390</v>
      </c>
      <c r="F30" s="2" t="s">
        <v>23</v>
      </c>
      <c r="G30" s="56">
        <v>12894.7156</v>
      </c>
      <c r="H30" s="56">
        <f>9686.4756+3208.24</f>
        <v>12894.7156</v>
      </c>
      <c r="I30" s="56">
        <f t="shared" si="0"/>
        <v>100</v>
      </c>
      <c r="J30" s="49">
        <f>9686.4756+3208.24</f>
        <v>12894.7156</v>
      </c>
      <c r="K30" s="48">
        <f>J30-I30</f>
        <v>12794.7156</v>
      </c>
    </row>
    <row r="31" spans="1:11" ht="24" x14ac:dyDescent="0.2">
      <c r="A31" s="6" t="s">
        <v>451</v>
      </c>
      <c r="B31" s="2" t="s">
        <v>197</v>
      </c>
      <c r="C31" s="2" t="s">
        <v>70</v>
      </c>
      <c r="D31" s="2" t="s">
        <v>13</v>
      </c>
      <c r="E31" s="2" t="s">
        <v>452</v>
      </c>
      <c r="F31" s="2"/>
      <c r="G31" s="56">
        <f>G32</f>
        <v>1563.2280000000001</v>
      </c>
      <c r="H31" s="56">
        <f>H32</f>
        <v>742.07999999999993</v>
      </c>
      <c r="I31" s="56">
        <f t="shared" si="0"/>
        <v>47.471002310603438</v>
      </c>
      <c r="J31" s="49"/>
      <c r="K31" s="48">
        <f>I31-J31</f>
        <v>47.471002310603438</v>
      </c>
    </row>
    <row r="32" spans="1:11" ht="36" x14ac:dyDescent="0.2">
      <c r="A32" s="6" t="s">
        <v>453</v>
      </c>
      <c r="B32" s="2" t="s">
        <v>197</v>
      </c>
      <c r="C32" s="2" t="s">
        <v>70</v>
      </c>
      <c r="D32" s="2" t="s">
        <v>13</v>
      </c>
      <c r="E32" s="2" t="s">
        <v>454</v>
      </c>
      <c r="F32" s="2"/>
      <c r="G32" s="243">
        <f>G33</f>
        <v>1563.2280000000001</v>
      </c>
      <c r="H32" s="243">
        <f>H33</f>
        <v>742.07999999999993</v>
      </c>
      <c r="I32" s="56">
        <f t="shared" si="0"/>
        <v>47.471002310603438</v>
      </c>
      <c r="J32" s="49"/>
      <c r="K32" s="48">
        <f>I32-J32</f>
        <v>47.471002310603438</v>
      </c>
    </row>
    <row r="33" spans="1:11" ht="24" x14ac:dyDescent="0.2">
      <c r="A33" s="3" t="s">
        <v>26</v>
      </c>
      <c r="B33" s="2" t="s">
        <v>197</v>
      </c>
      <c r="C33" s="2" t="s">
        <v>70</v>
      </c>
      <c r="D33" s="2" t="s">
        <v>13</v>
      </c>
      <c r="E33" s="2" t="s">
        <v>454</v>
      </c>
      <c r="F33" s="2" t="s">
        <v>23</v>
      </c>
      <c r="G33" s="56">
        <v>1563.2280000000001</v>
      </c>
      <c r="H33" s="243">
        <f>419.962+322.118</f>
        <v>742.07999999999993</v>
      </c>
      <c r="I33" s="56">
        <f t="shared" si="0"/>
        <v>47.471002310603438</v>
      </c>
      <c r="J33" s="49">
        <f>1241.11+322.118</f>
        <v>1563.2279999999998</v>
      </c>
      <c r="K33" s="48">
        <f>J33-I33</f>
        <v>1515.7569976893965</v>
      </c>
    </row>
    <row r="34" spans="1:11" ht="36" x14ac:dyDescent="0.2">
      <c r="A34" s="3" t="s">
        <v>504</v>
      </c>
      <c r="B34" s="2" t="s">
        <v>197</v>
      </c>
      <c r="C34" s="2" t="s">
        <v>70</v>
      </c>
      <c r="D34" s="2" t="s">
        <v>13</v>
      </c>
      <c r="E34" s="2" t="s">
        <v>505</v>
      </c>
      <c r="F34" s="2"/>
      <c r="G34" s="56">
        <f>G35</f>
        <v>280</v>
      </c>
      <c r="H34" s="56">
        <f>H35</f>
        <v>280</v>
      </c>
      <c r="I34" s="56">
        <f t="shared" si="0"/>
        <v>100</v>
      </c>
      <c r="J34" s="49"/>
      <c r="K34" s="48">
        <f>I34-J34</f>
        <v>100</v>
      </c>
    </row>
    <row r="35" spans="1:11" ht="24" x14ac:dyDescent="0.2">
      <c r="A35" s="6" t="s">
        <v>507</v>
      </c>
      <c r="B35" s="2" t="s">
        <v>197</v>
      </c>
      <c r="C35" s="2" t="s">
        <v>70</v>
      </c>
      <c r="D35" s="2" t="s">
        <v>13</v>
      </c>
      <c r="E35" s="2" t="s">
        <v>506</v>
      </c>
      <c r="F35" s="2"/>
      <c r="G35" s="56">
        <f>G36</f>
        <v>280</v>
      </c>
      <c r="H35" s="56">
        <f>H36</f>
        <v>280</v>
      </c>
      <c r="I35" s="56">
        <f t="shared" si="0"/>
        <v>100</v>
      </c>
      <c r="J35" s="49"/>
      <c r="K35" s="48">
        <f>I35-J35</f>
        <v>100</v>
      </c>
    </row>
    <row r="36" spans="1:11" ht="24" x14ac:dyDescent="0.2">
      <c r="A36" s="3" t="s">
        <v>26</v>
      </c>
      <c r="B36" s="2" t="s">
        <v>197</v>
      </c>
      <c r="C36" s="2" t="s">
        <v>70</v>
      </c>
      <c r="D36" s="2" t="s">
        <v>13</v>
      </c>
      <c r="E36" s="2" t="s">
        <v>506</v>
      </c>
      <c r="F36" s="2" t="s">
        <v>23</v>
      </c>
      <c r="G36" s="56">
        <v>280</v>
      </c>
      <c r="H36" s="243">
        <v>280</v>
      </c>
      <c r="I36" s="56">
        <f t="shared" si="0"/>
        <v>100</v>
      </c>
      <c r="J36" s="49">
        <v>280</v>
      </c>
      <c r="K36" s="48">
        <f>J36-I36</f>
        <v>180</v>
      </c>
    </row>
    <row r="37" spans="1:11" ht="36" x14ac:dyDescent="0.2">
      <c r="A37" s="6" t="s">
        <v>535</v>
      </c>
      <c r="B37" s="2" t="s">
        <v>197</v>
      </c>
      <c r="C37" s="2" t="s">
        <v>70</v>
      </c>
      <c r="D37" s="2" t="s">
        <v>13</v>
      </c>
      <c r="E37" s="2" t="s">
        <v>518</v>
      </c>
      <c r="F37" s="2"/>
      <c r="G37" s="56">
        <f>G38</f>
        <v>30303.030299999999</v>
      </c>
      <c r="H37" s="56">
        <f>H38</f>
        <v>30303.030299999999</v>
      </c>
      <c r="I37" s="56">
        <f t="shared" si="0"/>
        <v>100</v>
      </c>
      <c r="J37" s="49"/>
      <c r="K37" s="48"/>
    </row>
    <row r="38" spans="1:11" ht="12.75" x14ac:dyDescent="0.2">
      <c r="A38" s="3" t="s">
        <v>519</v>
      </c>
      <c r="B38" s="2" t="s">
        <v>197</v>
      </c>
      <c r="C38" s="2" t="s">
        <v>70</v>
      </c>
      <c r="D38" s="2" t="s">
        <v>13</v>
      </c>
      <c r="E38" s="2" t="s">
        <v>539</v>
      </c>
      <c r="F38" s="2"/>
      <c r="G38" s="56">
        <f>G39</f>
        <v>30303.030299999999</v>
      </c>
      <c r="H38" s="56">
        <f>H39</f>
        <v>30303.030299999999</v>
      </c>
      <c r="I38" s="56">
        <f t="shared" si="0"/>
        <v>100</v>
      </c>
      <c r="J38" s="49"/>
      <c r="K38" s="48">
        <f t="shared" ref="K38:K44" si="2">J38-I38</f>
        <v>-100</v>
      </c>
    </row>
    <row r="39" spans="1:11" ht="24" x14ac:dyDescent="0.2">
      <c r="A39" s="6" t="s">
        <v>62</v>
      </c>
      <c r="B39" s="2" t="s">
        <v>197</v>
      </c>
      <c r="C39" s="2" t="s">
        <v>70</v>
      </c>
      <c r="D39" s="2" t="s">
        <v>13</v>
      </c>
      <c r="E39" s="2" t="s">
        <v>539</v>
      </c>
      <c r="F39" s="2" t="s">
        <v>421</v>
      </c>
      <c r="G39" s="56">
        <v>30303.030299999999</v>
      </c>
      <c r="H39" s="243">
        <v>30303.030299999999</v>
      </c>
      <c r="I39" s="56">
        <f t="shared" si="0"/>
        <v>100</v>
      </c>
      <c r="J39" s="49">
        <v>30303.030299999999</v>
      </c>
      <c r="K39" s="48">
        <f t="shared" si="2"/>
        <v>30203.030299999999</v>
      </c>
    </row>
    <row r="40" spans="1:11" ht="36" x14ac:dyDescent="0.2">
      <c r="A40" s="6" t="s">
        <v>535</v>
      </c>
      <c r="B40" s="2" t="s">
        <v>197</v>
      </c>
      <c r="C40" s="2" t="s">
        <v>70</v>
      </c>
      <c r="D40" s="2" t="s">
        <v>13</v>
      </c>
      <c r="E40" s="2" t="s">
        <v>536</v>
      </c>
      <c r="F40" s="2"/>
      <c r="G40" s="56">
        <f>G41</f>
        <v>5530.9090900000001</v>
      </c>
      <c r="H40" s="56">
        <f>H41</f>
        <v>5530.9090900000001</v>
      </c>
      <c r="I40" s="56">
        <f t="shared" si="0"/>
        <v>100</v>
      </c>
      <c r="J40" s="49"/>
      <c r="K40" s="48">
        <f t="shared" si="2"/>
        <v>-100</v>
      </c>
    </row>
    <row r="41" spans="1:11" ht="27" customHeight="1" x14ac:dyDescent="0.2">
      <c r="A41" s="6" t="s">
        <v>537</v>
      </c>
      <c r="B41" s="2" t="s">
        <v>197</v>
      </c>
      <c r="C41" s="2" t="s">
        <v>70</v>
      </c>
      <c r="D41" s="2" t="s">
        <v>13</v>
      </c>
      <c r="E41" s="2" t="s">
        <v>538</v>
      </c>
      <c r="F41" s="2"/>
      <c r="G41" s="56">
        <f>G42</f>
        <v>5530.9090900000001</v>
      </c>
      <c r="H41" s="56">
        <f>H42</f>
        <v>5530.9090900000001</v>
      </c>
      <c r="I41" s="56">
        <f t="shared" si="0"/>
        <v>100</v>
      </c>
      <c r="J41" s="49"/>
      <c r="K41" s="48">
        <f t="shared" si="2"/>
        <v>-100</v>
      </c>
    </row>
    <row r="42" spans="1:11" ht="27" customHeight="1" x14ac:dyDescent="0.2">
      <c r="A42" s="3" t="s">
        <v>26</v>
      </c>
      <c r="B42" s="2" t="s">
        <v>197</v>
      </c>
      <c r="C42" s="2" t="s">
        <v>70</v>
      </c>
      <c r="D42" s="2" t="s">
        <v>13</v>
      </c>
      <c r="E42" s="2" t="s">
        <v>538</v>
      </c>
      <c r="F42" s="2" t="s">
        <v>23</v>
      </c>
      <c r="G42" s="56">
        <v>5530.9090900000001</v>
      </c>
      <c r="H42" s="243">
        <v>5530.9090900000001</v>
      </c>
      <c r="I42" s="56">
        <f t="shared" si="0"/>
        <v>100</v>
      </c>
      <c r="J42" s="49">
        <v>5530.9090900000001</v>
      </c>
      <c r="K42" s="48">
        <f t="shared" si="2"/>
        <v>5430.9090900000001</v>
      </c>
    </row>
    <row r="43" spans="1:11" ht="12.75" x14ac:dyDescent="0.2">
      <c r="A43" s="3" t="s">
        <v>78</v>
      </c>
      <c r="B43" s="2" t="s">
        <v>197</v>
      </c>
      <c r="C43" s="2" t="s">
        <v>70</v>
      </c>
      <c r="D43" s="2" t="s">
        <v>24</v>
      </c>
      <c r="E43" s="2"/>
      <c r="F43" s="2"/>
      <c r="G43" s="56">
        <f>G44+G49+G86</f>
        <v>341007.00377999997</v>
      </c>
      <c r="H43" s="56">
        <f>H44+H49+H86</f>
        <v>312802.18820999993</v>
      </c>
      <c r="I43" s="56">
        <f t="shared" si="0"/>
        <v>91.728962966345321</v>
      </c>
      <c r="J43" s="49"/>
      <c r="K43" s="48">
        <f t="shared" si="2"/>
        <v>-91.728962966345321</v>
      </c>
    </row>
    <row r="44" spans="1:11" ht="24" x14ac:dyDescent="0.2">
      <c r="A44" s="3" t="s">
        <v>428</v>
      </c>
      <c r="B44" s="2" t="s">
        <v>197</v>
      </c>
      <c r="C44" s="2" t="s">
        <v>70</v>
      </c>
      <c r="D44" s="2" t="s">
        <v>24</v>
      </c>
      <c r="E44" s="2" t="s">
        <v>3</v>
      </c>
      <c r="F44" s="2"/>
      <c r="G44" s="56">
        <f t="shared" ref="G44:H47" si="3">G45</f>
        <v>1407.9591800000001</v>
      </c>
      <c r="H44" s="56">
        <f t="shared" si="3"/>
        <v>1407.9591800000001</v>
      </c>
      <c r="I44" s="56">
        <f t="shared" si="0"/>
        <v>100</v>
      </c>
      <c r="J44" s="49"/>
      <c r="K44" s="48">
        <f t="shared" si="2"/>
        <v>-100</v>
      </c>
    </row>
    <row r="45" spans="1:11" ht="36" x14ac:dyDescent="0.2">
      <c r="A45" s="3" t="s">
        <v>248</v>
      </c>
      <c r="B45" s="2" t="s">
        <v>197</v>
      </c>
      <c r="C45" s="2" t="s">
        <v>70</v>
      </c>
      <c r="D45" s="2" t="s">
        <v>24</v>
      </c>
      <c r="E45" s="2" t="s">
        <v>51</v>
      </c>
      <c r="F45" s="2"/>
      <c r="G45" s="56">
        <f t="shared" si="3"/>
        <v>1407.9591800000001</v>
      </c>
      <c r="H45" s="56">
        <f t="shared" si="3"/>
        <v>1407.9591800000001</v>
      </c>
      <c r="I45" s="56">
        <f t="shared" si="0"/>
        <v>100</v>
      </c>
      <c r="J45" s="49"/>
      <c r="K45" s="48">
        <f>I45-J45</f>
        <v>100</v>
      </c>
    </row>
    <row r="46" spans="1:11" ht="24" x14ac:dyDescent="0.2">
      <c r="A46" s="3" t="s">
        <v>377</v>
      </c>
      <c r="B46" s="2" t="s">
        <v>197</v>
      </c>
      <c r="C46" s="2" t="s">
        <v>70</v>
      </c>
      <c r="D46" s="2" t="s">
        <v>24</v>
      </c>
      <c r="E46" s="2" t="s">
        <v>378</v>
      </c>
      <c r="F46" s="2"/>
      <c r="G46" s="56">
        <f t="shared" si="3"/>
        <v>1407.9591800000001</v>
      </c>
      <c r="H46" s="56">
        <f t="shared" si="3"/>
        <v>1407.9591800000001</v>
      </c>
      <c r="I46" s="56">
        <f t="shared" si="0"/>
        <v>100</v>
      </c>
      <c r="J46" s="49"/>
      <c r="K46" s="48">
        <f>I46-J46</f>
        <v>100</v>
      </c>
    </row>
    <row r="47" spans="1:11" ht="24" x14ac:dyDescent="0.2">
      <c r="A47" s="3" t="s">
        <v>441</v>
      </c>
      <c r="B47" s="2" t="s">
        <v>197</v>
      </c>
      <c r="C47" s="2" t="s">
        <v>70</v>
      </c>
      <c r="D47" s="2" t="s">
        <v>24</v>
      </c>
      <c r="E47" s="2" t="s">
        <v>379</v>
      </c>
      <c r="F47" s="2"/>
      <c r="G47" s="56">
        <f t="shared" si="3"/>
        <v>1407.9591800000001</v>
      </c>
      <c r="H47" s="56">
        <f t="shared" si="3"/>
        <v>1407.9591800000001</v>
      </c>
      <c r="I47" s="56">
        <f t="shared" si="0"/>
        <v>100</v>
      </c>
      <c r="J47" s="49"/>
      <c r="K47" s="48">
        <f>I47-J47</f>
        <v>100</v>
      </c>
    </row>
    <row r="48" spans="1:11" ht="27.75" customHeight="1" x14ac:dyDescent="0.2">
      <c r="A48" s="3" t="s">
        <v>26</v>
      </c>
      <c r="B48" s="2" t="s">
        <v>197</v>
      </c>
      <c r="C48" s="2" t="s">
        <v>70</v>
      </c>
      <c r="D48" s="2" t="s">
        <v>24</v>
      </c>
      <c r="E48" s="2" t="s">
        <v>379</v>
      </c>
      <c r="F48" s="2" t="s">
        <v>23</v>
      </c>
      <c r="G48" s="56">
        <v>1407.9591800000001</v>
      </c>
      <c r="H48" s="56">
        <v>1407.9591800000001</v>
      </c>
      <c r="I48" s="56">
        <f t="shared" si="0"/>
        <v>100</v>
      </c>
      <c r="J48" s="49">
        <v>1407.9591800000001</v>
      </c>
      <c r="K48" s="48">
        <f>J48-I48</f>
        <v>1307.9591800000001</v>
      </c>
    </row>
    <row r="49" spans="1:12" ht="24" x14ac:dyDescent="0.2">
      <c r="A49" s="3" t="s">
        <v>427</v>
      </c>
      <c r="B49" s="2" t="s">
        <v>197</v>
      </c>
      <c r="C49" s="2" t="s">
        <v>70</v>
      </c>
      <c r="D49" s="2" t="s">
        <v>24</v>
      </c>
      <c r="E49" s="2" t="s">
        <v>348</v>
      </c>
      <c r="F49" s="2"/>
      <c r="G49" s="56">
        <f>G50</f>
        <v>338973.57359999995</v>
      </c>
      <c r="H49" s="56">
        <f>H50</f>
        <v>310768.75802999991</v>
      </c>
      <c r="I49" s="56">
        <f t="shared" si="0"/>
        <v>91.679346779025721</v>
      </c>
      <c r="J49" s="49"/>
      <c r="K49" s="48">
        <f>I49-J49</f>
        <v>91.679346779025721</v>
      </c>
    </row>
    <row r="50" spans="1:12" ht="36" x14ac:dyDescent="0.2">
      <c r="A50" s="3" t="s">
        <v>276</v>
      </c>
      <c r="B50" s="2" t="s">
        <v>197</v>
      </c>
      <c r="C50" s="2" t="s">
        <v>70</v>
      </c>
      <c r="D50" s="2" t="s">
        <v>24</v>
      </c>
      <c r="E50" s="2" t="s">
        <v>325</v>
      </c>
      <c r="F50" s="2"/>
      <c r="G50" s="56">
        <f>G51+G76+G81</f>
        <v>338973.57359999995</v>
      </c>
      <c r="H50" s="56">
        <f>H51+H76+H81</f>
        <v>310768.75802999991</v>
      </c>
      <c r="I50" s="56">
        <f t="shared" si="0"/>
        <v>91.679346779025721</v>
      </c>
      <c r="J50" s="49"/>
      <c r="K50" s="48">
        <f>I50-J50</f>
        <v>91.679346779025721</v>
      </c>
    </row>
    <row r="51" spans="1:12" ht="48" x14ac:dyDescent="0.2">
      <c r="A51" s="3" t="s">
        <v>277</v>
      </c>
      <c r="B51" s="2" t="s">
        <v>197</v>
      </c>
      <c r="C51" s="2" t="s">
        <v>70</v>
      </c>
      <c r="D51" s="2" t="s">
        <v>24</v>
      </c>
      <c r="E51" s="2" t="s">
        <v>324</v>
      </c>
      <c r="F51" s="2"/>
      <c r="G51" s="56">
        <f>G52+G64+G66+G58+G56+G62+G70+G60+G74+G68+G72+G54</f>
        <v>323104.20411999995</v>
      </c>
      <c r="H51" s="56">
        <f>H52+H64+H66+H58+H56+H62+H70+H60+H74+H68+H72+H54</f>
        <v>294899.38854999992</v>
      </c>
      <c r="I51" s="56">
        <f t="shared" si="0"/>
        <v>91.270675153603122</v>
      </c>
      <c r="J51" s="49"/>
      <c r="K51" s="48">
        <f>I51-J51</f>
        <v>91.270675153603122</v>
      </c>
    </row>
    <row r="52" spans="1:12" ht="36" x14ac:dyDescent="0.2">
      <c r="A52" s="3" t="s">
        <v>198</v>
      </c>
      <c r="B52" s="2" t="s">
        <v>197</v>
      </c>
      <c r="C52" s="2" t="s">
        <v>70</v>
      </c>
      <c r="D52" s="2" t="s">
        <v>24</v>
      </c>
      <c r="E52" s="2" t="s">
        <v>326</v>
      </c>
      <c r="F52" s="2"/>
      <c r="G52" s="56">
        <f t="shared" ref="G52:H54" si="4">G53</f>
        <v>51235.952960000002</v>
      </c>
      <c r="H52" s="56">
        <f t="shared" si="4"/>
        <v>50656.538679999998</v>
      </c>
      <c r="I52" s="56">
        <f t="shared" si="0"/>
        <v>98.869125591452629</v>
      </c>
      <c r="J52" s="49"/>
      <c r="K52" s="48">
        <f>I52-J52</f>
        <v>98.869125591452629</v>
      </c>
    </row>
    <row r="53" spans="1:12" ht="24" x14ac:dyDescent="0.2">
      <c r="A53" s="3" t="s">
        <v>26</v>
      </c>
      <c r="B53" s="2" t="s">
        <v>197</v>
      </c>
      <c r="C53" s="2" t="s">
        <v>70</v>
      </c>
      <c r="D53" s="2" t="s">
        <v>24</v>
      </c>
      <c r="E53" s="2" t="s">
        <v>326</v>
      </c>
      <c r="F53" s="2" t="s">
        <v>23</v>
      </c>
      <c r="G53" s="56">
        <v>51235.952960000002</v>
      </c>
      <c r="H53" s="56">
        <f>45137.49481+5519.04387</f>
        <v>50656.538679999998</v>
      </c>
      <c r="I53" s="56">
        <f t="shared" si="0"/>
        <v>98.869125591452629</v>
      </c>
      <c r="J53" s="49">
        <f>45671.90909+5564.04387</f>
        <v>51235.952960000002</v>
      </c>
      <c r="K53" s="48">
        <f>J53-I53</f>
        <v>51137.08383440855</v>
      </c>
    </row>
    <row r="54" spans="1:12" ht="24" x14ac:dyDescent="0.2">
      <c r="A54" s="3" t="s">
        <v>512</v>
      </c>
      <c r="B54" s="2" t="s">
        <v>197</v>
      </c>
      <c r="C54" s="2" t="s">
        <v>70</v>
      </c>
      <c r="D54" s="2" t="s">
        <v>24</v>
      </c>
      <c r="E54" s="2" t="s">
        <v>520</v>
      </c>
      <c r="F54" s="2"/>
      <c r="G54" s="56">
        <f t="shared" si="4"/>
        <v>310</v>
      </c>
      <c r="H54" s="56">
        <f t="shared" si="4"/>
        <v>310</v>
      </c>
      <c r="I54" s="56">
        <f t="shared" si="0"/>
        <v>100</v>
      </c>
      <c r="J54" s="49"/>
      <c r="K54" s="48"/>
    </row>
    <row r="55" spans="1:12" ht="24" x14ac:dyDescent="0.2">
      <c r="A55" s="3" t="s">
        <v>26</v>
      </c>
      <c r="B55" s="2" t="s">
        <v>197</v>
      </c>
      <c r="C55" s="2" t="s">
        <v>70</v>
      </c>
      <c r="D55" s="2" t="s">
        <v>24</v>
      </c>
      <c r="E55" s="2" t="s">
        <v>520</v>
      </c>
      <c r="F55" s="2" t="s">
        <v>23</v>
      </c>
      <c r="G55" s="56">
        <v>310</v>
      </c>
      <c r="H55" s="56">
        <v>310</v>
      </c>
      <c r="I55" s="56">
        <f t="shared" si="0"/>
        <v>100</v>
      </c>
      <c r="J55" s="49">
        <v>310</v>
      </c>
      <c r="K55" s="48"/>
    </row>
    <row r="56" spans="1:12" ht="36" x14ac:dyDescent="0.2">
      <c r="A56" s="3" t="s">
        <v>278</v>
      </c>
      <c r="B56" s="2" t="s">
        <v>197</v>
      </c>
      <c r="C56" s="2" t="s">
        <v>70</v>
      </c>
      <c r="D56" s="2" t="s">
        <v>24</v>
      </c>
      <c r="E56" s="2" t="s">
        <v>327</v>
      </c>
      <c r="F56" s="2"/>
      <c r="G56" s="56">
        <f>G57</f>
        <v>23625.644779999999</v>
      </c>
      <c r="H56" s="56">
        <f>H57</f>
        <v>23625.644779999999</v>
      </c>
      <c r="I56" s="56">
        <f t="shared" si="0"/>
        <v>100</v>
      </c>
      <c r="J56" s="49"/>
      <c r="K56" s="48">
        <f>I56-J56</f>
        <v>100</v>
      </c>
    </row>
    <row r="57" spans="1:12" ht="24" x14ac:dyDescent="0.2">
      <c r="A57" s="3" t="s">
        <v>26</v>
      </c>
      <c r="B57" s="2" t="s">
        <v>197</v>
      </c>
      <c r="C57" s="2" t="s">
        <v>70</v>
      </c>
      <c r="D57" s="2" t="s">
        <v>24</v>
      </c>
      <c r="E57" s="2" t="s">
        <v>327</v>
      </c>
      <c r="F57" s="2" t="s">
        <v>23</v>
      </c>
      <c r="G57" s="56">
        <v>23625.644779999999</v>
      </c>
      <c r="H57" s="56">
        <f>23625.64478</f>
        <v>23625.644779999999</v>
      </c>
      <c r="I57" s="56">
        <f t="shared" si="0"/>
        <v>100</v>
      </c>
      <c r="J57" s="49">
        <f>23625.64478</f>
        <v>23625.644779999999</v>
      </c>
      <c r="K57" s="48">
        <f>J57-I57</f>
        <v>23525.644779999999</v>
      </c>
      <c r="L57" s="49">
        <f>I57+I20</f>
        <v>200</v>
      </c>
    </row>
    <row r="58" spans="1:12" ht="36" x14ac:dyDescent="0.2">
      <c r="A58" s="6" t="s">
        <v>76</v>
      </c>
      <c r="B58" s="2" t="s">
        <v>197</v>
      </c>
      <c r="C58" s="2" t="s">
        <v>70</v>
      </c>
      <c r="D58" s="2" t="s">
        <v>24</v>
      </c>
      <c r="E58" s="2" t="s">
        <v>328</v>
      </c>
      <c r="F58" s="2"/>
      <c r="G58" s="56">
        <f>G59</f>
        <v>3009.31</v>
      </c>
      <c r="H58" s="56">
        <f>H59</f>
        <v>3009.31</v>
      </c>
      <c r="I58" s="56">
        <f t="shared" si="0"/>
        <v>100</v>
      </c>
      <c r="J58" s="49"/>
      <c r="K58" s="48">
        <f>I58-J58</f>
        <v>100</v>
      </c>
    </row>
    <row r="59" spans="1:12" ht="24" x14ac:dyDescent="0.2">
      <c r="A59" s="3" t="s">
        <v>26</v>
      </c>
      <c r="B59" s="2" t="s">
        <v>197</v>
      </c>
      <c r="C59" s="2" t="s">
        <v>70</v>
      </c>
      <c r="D59" s="2" t="s">
        <v>24</v>
      </c>
      <c r="E59" s="2" t="s">
        <v>328</v>
      </c>
      <c r="F59" s="2" t="s">
        <v>23</v>
      </c>
      <c r="G59" s="56">
        <v>3009.31</v>
      </c>
      <c r="H59" s="56">
        <f>3009.31</f>
        <v>3009.31</v>
      </c>
      <c r="I59" s="56">
        <f t="shared" si="0"/>
        <v>100</v>
      </c>
      <c r="J59" s="49">
        <v>3009.31</v>
      </c>
      <c r="K59" s="48">
        <f>J59-I59</f>
        <v>2909.31</v>
      </c>
      <c r="L59" s="49">
        <f>I59+I22</f>
        <v>200</v>
      </c>
    </row>
    <row r="60" spans="1:12" ht="36" x14ac:dyDescent="0.2">
      <c r="A60" s="3" t="s">
        <v>510</v>
      </c>
      <c r="B60" s="2" t="s">
        <v>197</v>
      </c>
      <c r="C60" s="2" t="s">
        <v>70</v>
      </c>
      <c r="D60" s="2" t="s">
        <v>24</v>
      </c>
      <c r="E60" s="2" t="s">
        <v>511</v>
      </c>
      <c r="F60" s="2"/>
      <c r="G60" s="244">
        <f>G61</f>
        <v>6671.6326499999996</v>
      </c>
      <c r="H60" s="244">
        <f>H61</f>
        <v>6671.6326499999996</v>
      </c>
      <c r="I60" s="56">
        <f t="shared" si="0"/>
        <v>100</v>
      </c>
      <c r="J60" s="49"/>
      <c r="K60" s="48"/>
      <c r="L60" s="49"/>
    </row>
    <row r="61" spans="1:12" ht="24" x14ac:dyDescent="0.2">
      <c r="A61" s="3" t="s">
        <v>26</v>
      </c>
      <c r="B61" s="2" t="s">
        <v>197</v>
      </c>
      <c r="C61" s="2" t="s">
        <v>70</v>
      </c>
      <c r="D61" s="2" t="s">
        <v>24</v>
      </c>
      <c r="E61" s="2" t="s">
        <v>511</v>
      </c>
      <c r="F61" s="2" t="s">
        <v>23</v>
      </c>
      <c r="G61" s="244">
        <v>6671.6326499999996</v>
      </c>
      <c r="H61" s="244">
        <f>6671.63265</f>
        <v>6671.6326499999996</v>
      </c>
      <c r="I61" s="56">
        <f t="shared" si="0"/>
        <v>100</v>
      </c>
      <c r="J61" s="49">
        <v>6671.6326499999996</v>
      </c>
      <c r="K61" s="48">
        <f>J61-I61</f>
        <v>6571.6326499999996</v>
      </c>
      <c r="L61" s="49"/>
    </row>
    <row r="62" spans="1:12" ht="48" x14ac:dyDescent="0.2">
      <c r="A62" s="3" t="s">
        <v>279</v>
      </c>
      <c r="B62" s="2" t="s">
        <v>197</v>
      </c>
      <c r="C62" s="2" t="s">
        <v>70</v>
      </c>
      <c r="D62" s="2" t="s">
        <v>24</v>
      </c>
      <c r="E62" s="2" t="s">
        <v>329</v>
      </c>
      <c r="F62" s="2"/>
      <c r="G62" s="56">
        <f>G63</f>
        <v>1622.82617</v>
      </c>
      <c r="H62" s="56">
        <f>H63</f>
        <v>1622.82617</v>
      </c>
      <c r="I62" s="56">
        <f t="shared" si="0"/>
        <v>100</v>
      </c>
      <c r="J62" s="49"/>
      <c r="K62" s="48">
        <f>I62-J62</f>
        <v>100</v>
      </c>
    </row>
    <row r="63" spans="1:12" ht="24" x14ac:dyDescent="0.2">
      <c r="A63" s="3" t="s">
        <v>26</v>
      </c>
      <c r="B63" s="2" t="s">
        <v>197</v>
      </c>
      <c r="C63" s="2" t="s">
        <v>70</v>
      </c>
      <c r="D63" s="2" t="s">
        <v>24</v>
      </c>
      <c r="E63" s="2" t="s">
        <v>329</v>
      </c>
      <c r="F63" s="2" t="s">
        <v>23</v>
      </c>
      <c r="G63" s="56">
        <v>1622.82617</v>
      </c>
      <c r="H63" s="56">
        <f>1622.82617</f>
        <v>1622.82617</v>
      </c>
      <c r="I63" s="56">
        <f t="shared" si="0"/>
        <v>100</v>
      </c>
      <c r="J63" s="49">
        <v>1622.82617</v>
      </c>
      <c r="K63" s="48">
        <f>J63-I63</f>
        <v>1522.82617</v>
      </c>
    </row>
    <row r="64" spans="1:12" ht="96" x14ac:dyDescent="0.2">
      <c r="A64" s="3" t="s">
        <v>265</v>
      </c>
      <c r="B64" s="2" t="s">
        <v>197</v>
      </c>
      <c r="C64" s="2" t="s">
        <v>70</v>
      </c>
      <c r="D64" s="2" t="s">
        <v>24</v>
      </c>
      <c r="E64" s="2" t="s">
        <v>330</v>
      </c>
      <c r="F64" s="2"/>
      <c r="G64" s="56">
        <f>G65</f>
        <v>156511.44</v>
      </c>
      <c r="H64" s="56">
        <f>H65</f>
        <v>156511.44</v>
      </c>
      <c r="I64" s="56">
        <f t="shared" si="0"/>
        <v>100</v>
      </c>
      <c r="J64" s="49"/>
      <c r="K64" s="48">
        <f>I64-J64</f>
        <v>100</v>
      </c>
    </row>
    <row r="65" spans="1:11" ht="24" x14ac:dyDescent="0.2">
      <c r="A65" s="3" t="s">
        <v>26</v>
      </c>
      <c r="B65" s="2" t="s">
        <v>197</v>
      </c>
      <c r="C65" s="2" t="s">
        <v>70</v>
      </c>
      <c r="D65" s="2" t="s">
        <v>24</v>
      </c>
      <c r="E65" s="2" t="s">
        <v>330</v>
      </c>
      <c r="F65" s="2" t="s">
        <v>23</v>
      </c>
      <c r="G65" s="56">
        <v>156511.44</v>
      </c>
      <c r="H65" s="56">
        <f>156511.44</f>
        <v>156511.44</v>
      </c>
      <c r="I65" s="56">
        <f t="shared" si="0"/>
        <v>100</v>
      </c>
      <c r="J65" s="49">
        <f>156511.44</f>
        <v>156511.44</v>
      </c>
      <c r="K65" s="48">
        <f>J65-I65</f>
        <v>156411.44</v>
      </c>
    </row>
    <row r="66" spans="1:11" ht="36" x14ac:dyDescent="0.2">
      <c r="A66" s="3" t="s">
        <v>208</v>
      </c>
      <c r="B66" s="2" t="s">
        <v>197</v>
      </c>
      <c r="C66" s="2" t="s">
        <v>70</v>
      </c>
      <c r="D66" s="2" t="s">
        <v>24</v>
      </c>
      <c r="E66" s="2" t="s">
        <v>331</v>
      </c>
      <c r="F66" s="2"/>
      <c r="G66" s="56">
        <f>G67</f>
        <v>1207.9211499999999</v>
      </c>
      <c r="H66" s="56">
        <f>H67</f>
        <v>1207.9211499999999</v>
      </c>
      <c r="I66" s="56">
        <f t="shared" si="0"/>
        <v>100</v>
      </c>
      <c r="J66" s="49"/>
      <c r="K66" s="48">
        <f>I66-J66</f>
        <v>100</v>
      </c>
    </row>
    <row r="67" spans="1:11" ht="24" x14ac:dyDescent="0.2">
      <c r="A67" s="3" t="s">
        <v>26</v>
      </c>
      <c r="B67" s="2" t="s">
        <v>197</v>
      </c>
      <c r="C67" s="2" t="s">
        <v>70</v>
      </c>
      <c r="D67" s="2" t="s">
        <v>24</v>
      </c>
      <c r="E67" s="2" t="s">
        <v>331</v>
      </c>
      <c r="F67" s="2" t="s">
        <v>23</v>
      </c>
      <c r="G67" s="56">
        <v>1207.9211499999999</v>
      </c>
      <c r="H67" s="56">
        <v>1207.9211499999999</v>
      </c>
      <c r="I67" s="56">
        <f t="shared" si="0"/>
        <v>100</v>
      </c>
      <c r="J67" s="49">
        <v>1207.9211499999999</v>
      </c>
      <c r="K67" s="48">
        <f>J67-I67</f>
        <v>1107.9211499999999</v>
      </c>
    </row>
    <row r="68" spans="1:11" ht="48" x14ac:dyDescent="0.2">
      <c r="A68" s="6" t="s">
        <v>524</v>
      </c>
      <c r="B68" s="2" t="s">
        <v>197</v>
      </c>
      <c r="C68" s="2" t="s">
        <v>70</v>
      </c>
      <c r="D68" s="2" t="s">
        <v>24</v>
      </c>
      <c r="E68" s="2" t="s">
        <v>523</v>
      </c>
      <c r="F68" s="2"/>
      <c r="G68" s="56">
        <f>G69</f>
        <v>1133.48298</v>
      </c>
      <c r="H68" s="56">
        <f>H69</f>
        <v>1133.48298</v>
      </c>
      <c r="I68" s="56">
        <f t="shared" si="0"/>
        <v>100</v>
      </c>
      <c r="J68" s="49"/>
      <c r="K68" s="48"/>
    </row>
    <row r="69" spans="1:11" ht="24" x14ac:dyDescent="0.2">
      <c r="A69" s="3" t="s">
        <v>26</v>
      </c>
      <c r="B69" s="2" t="s">
        <v>197</v>
      </c>
      <c r="C69" s="2" t="s">
        <v>70</v>
      </c>
      <c r="D69" s="2" t="s">
        <v>24</v>
      </c>
      <c r="E69" s="2" t="s">
        <v>523</v>
      </c>
      <c r="F69" s="2" t="s">
        <v>23</v>
      </c>
      <c r="G69" s="56">
        <v>1133.48298</v>
      </c>
      <c r="H69" s="56">
        <v>1133.48298</v>
      </c>
      <c r="I69" s="56">
        <f t="shared" si="0"/>
        <v>100</v>
      </c>
      <c r="J69" s="49">
        <v>1133.48298</v>
      </c>
      <c r="K69" s="48">
        <f>J69-I69</f>
        <v>1033.48298</v>
      </c>
    </row>
    <row r="70" spans="1:11" ht="12.75" x14ac:dyDescent="0.2">
      <c r="A70" s="3" t="s">
        <v>389</v>
      </c>
      <c r="B70" s="2" t="s">
        <v>197</v>
      </c>
      <c r="C70" s="2" t="s">
        <v>70</v>
      </c>
      <c r="D70" s="2" t="s">
        <v>24</v>
      </c>
      <c r="E70" s="2" t="s">
        <v>390</v>
      </c>
      <c r="F70" s="2"/>
      <c r="G70" s="56">
        <f t="shared" ref="G70:H74" si="5">G71</f>
        <v>65532.804689999997</v>
      </c>
      <c r="H70" s="56">
        <f t="shared" si="5"/>
        <v>38928.228219999997</v>
      </c>
      <c r="I70" s="56">
        <f t="shared" si="0"/>
        <v>59.402658567946609</v>
      </c>
      <c r="J70" s="49"/>
      <c r="K70" s="48">
        <f>I70-J70</f>
        <v>59.402658567946609</v>
      </c>
    </row>
    <row r="71" spans="1:11" ht="24" x14ac:dyDescent="0.2">
      <c r="A71" s="3" t="s">
        <v>26</v>
      </c>
      <c r="B71" s="2" t="s">
        <v>197</v>
      </c>
      <c r="C71" s="2" t="s">
        <v>70</v>
      </c>
      <c r="D71" s="2" t="s">
        <v>24</v>
      </c>
      <c r="E71" s="2" t="s">
        <v>390</v>
      </c>
      <c r="F71" s="2" t="s">
        <v>23</v>
      </c>
      <c r="G71" s="56">
        <v>65532.804689999997</v>
      </c>
      <c r="H71" s="56">
        <v>38928.228219999997</v>
      </c>
      <c r="I71" s="56">
        <f t="shared" si="0"/>
        <v>59.402658567946609</v>
      </c>
      <c r="J71" s="49">
        <v>65532.804689999997</v>
      </c>
      <c r="K71" s="48">
        <f>J71-I71</f>
        <v>65473.402031432051</v>
      </c>
    </row>
    <row r="72" spans="1:11" ht="49.5" customHeight="1" x14ac:dyDescent="0.2">
      <c r="A72" s="3" t="s">
        <v>540</v>
      </c>
      <c r="B72" s="2" t="s">
        <v>197</v>
      </c>
      <c r="C72" s="2" t="s">
        <v>70</v>
      </c>
      <c r="D72" s="2" t="s">
        <v>24</v>
      </c>
      <c r="E72" s="2" t="s">
        <v>541</v>
      </c>
      <c r="F72" s="2"/>
      <c r="G72" s="56">
        <f t="shared" si="5"/>
        <v>6438</v>
      </c>
      <c r="H72" s="56">
        <f t="shared" si="5"/>
        <v>6438</v>
      </c>
      <c r="I72" s="56">
        <f t="shared" ref="I72:I125" si="6">H72/G72*100</f>
        <v>100</v>
      </c>
      <c r="J72" s="49"/>
      <c r="K72" s="48"/>
    </row>
    <row r="73" spans="1:11" ht="24" x14ac:dyDescent="0.2">
      <c r="A73" s="3" t="s">
        <v>26</v>
      </c>
      <c r="B73" s="2" t="s">
        <v>197</v>
      </c>
      <c r="C73" s="2" t="s">
        <v>70</v>
      </c>
      <c r="D73" s="2" t="s">
        <v>24</v>
      </c>
      <c r="E73" s="2" t="s">
        <v>541</v>
      </c>
      <c r="F73" s="2" t="s">
        <v>23</v>
      </c>
      <c r="G73" s="56">
        <v>6438</v>
      </c>
      <c r="H73" s="56">
        <f>6438</f>
        <v>6438</v>
      </c>
      <c r="I73" s="56">
        <f t="shared" si="6"/>
        <v>100</v>
      </c>
      <c r="J73" s="49">
        <v>6438</v>
      </c>
      <c r="K73" s="48"/>
    </row>
    <row r="74" spans="1:11" ht="36" x14ac:dyDescent="0.2">
      <c r="A74" s="6" t="s">
        <v>522</v>
      </c>
      <c r="B74" s="2" t="s">
        <v>197</v>
      </c>
      <c r="C74" s="2" t="s">
        <v>70</v>
      </c>
      <c r="D74" s="2" t="s">
        <v>24</v>
      </c>
      <c r="E74" s="2" t="s">
        <v>521</v>
      </c>
      <c r="F74" s="2"/>
      <c r="G74" s="56">
        <f t="shared" si="5"/>
        <v>5805.1887399999996</v>
      </c>
      <c r="H74" s="56">
        <f t="shared" si="5"/>
        <v>4784.3639199999998</v>
      </c>
      <c r="I74" s="56">
        <f t="shared" si="6"/>
        <v>82.415303520346868</v>
      </c>
      <c r="J74" s="49"/>
      <c r="K74" s="48"/>
    </row>
    <row r="75" spans="1:11" ht="24" x14ac:dyDescent="0.2">
      <c r="A75" s="3" t="s">
        <v>26</v>
      </c>
      <c r="B75" s="2" t="s">
        <v>197</v>
      </c>
      <c r="C75" s="2" t="s">
        <v>70</v>
      </c>
      <c r="D75" s="2" t="s">
        <v>24</v>
      </c>
      <c r="E75" s="2" t="s">
        <v>521</v>
      </c>
      <c r="F75" s="2" t="s">
        <v>23</v>
      </c>
      <c r="G75" s="56">
        <v>5805.1887399999996</v>
      </c>
      <c r="H75" s="56">
        <f>4784.36392</f>
        <v>4784.3639199999998</v>
      </c>
      <c r="I75" s="56">
        <f t="shared" si="6"/>
        <v>82.415303520346868</v>
      </c>
      <c r="J75" s="49">
        <v>5805.1887399999996</v>
      </c>
      <c r="K75" s="48">
        <f>J75-I75</f>
        <v>5722.7734364796524</v>
      </c>
    </row>
    <row r="76" spans="1:11" ht="24" x14ac:dyDescent="0.2">
      <c r="A76" s="3" t="s">
        <v>371</v>
      </c>
      <c r="B76" s="2" t="s">
        <v>197</v>
      </c>
      <c r="C76" s="2" t="s">
        <v>70</v>
      </c>
      <c r="D76" s="2" t="s">
        <v>24</v>
      </c>
      <c r="E76" s="2" t="s">
        <v>372</v>
      </c>
      <c r="F76" s="2"/>
      <c r="G76" s="56">
        <f>G77+G79</f>
        <v>3761.3354799999997</v>
      </c>
      <c r="H76" s="56">
        <f>H77+H79</f>
        <v>3761.3354799999997</v>
      </c>
      <c r="I76" s="56">
        <f t="shared" si="6"/>
        <v>100</v>
      </c>
      <c r="J76" s="49"/>
      <c r="K76" s="48">
        <f>I76-J76</f>
        <v>100</v>
      </c>
    </row>
    <row r="77" spans="1:11" ht="36" x14ac:dyDescent="0.2">
      <c r="A77" s="3" t="s">
        <v>373</v>
      </c>
      <c r="B77" s="2" t="s">
        <v>197</v>
      </c>
      <c r="C77" s="2" t="s">
        <v>70</v>
      </c>
      <c r="D77" s="2" t="s">
        <v>24</v>
      </c>
      <c r="E77" s="2" t="s">
        <v>374</v>
      </c>
      <c r="F77" s="2"/>
      <c r="G77" s="56">
        <f t="shared" ref="G77:H79" si="7">G78</f>
        <v>3539.4054799999999</v>
      </c>
      <c r="H77" s="56">
        <f t="shared" si="7"/>
        <v>3539.4054799999999</v>
      </c>
      <c r="I77" s="56">
        <f t="shared" si="6"/>
        <v>100</v>
      </c>
      <c r="J77" s="49"/>
      <c r="K77" s="48">
        <f>I77-J77</f>
        <v>100</v>
      </c>
    </row>
    <row r="78" spans="1:11" ht="24" x14ac:dyDescent="0.2">
      <c r="A78" s="3" t="s">
        <v>26</v>
      </c>
      <c r="B78" s="2" t="s">
        <v>197</v>
      </c>
      <c r="C78" s="2" t="s">
        <v>70</v>
      </c>
      <c r="D78" s="2" t="s">
        <v>24</v>
      </c>
      <c r="E78" s="2" t="s">
        <v>374</v>
      </c>
      <c r="F78" s="2" t="s">
        <v>23</v>
      </c>
      <c r="G78" s="56">
        <v>3539.4054799999999</v>
      </c>
      <c r="H78" s="56">
        <v>3539.4054799999999</v>
      </c>
      <c r="I78" s="56">
        <f t="shared" si="6"/>
        <v>100</v>
      </c>
      <c r="J78" s="49">
        <v>3539.4054799999999</v>
      </c>
      <c r="K78" s="48">
        <f>J78-I78</f>
        <v>3439.4054799999999</v>
      </c>
    </row>
    <row r="79" spans="1:11" ht="12.75" x14ac:dyDescent="0.2">
      <c r="A79" s="3" t="s">
        <v>526</v>
      </c>
      <c r="B79" s="2" t="s">
        <v>197</v>
      </c>
      <c r="C79" s="2" t="s">
        <v>70</v>
      </c>
      <c r="D79" s="2" t="s">
        <v>24</v>
      </c>
      <c r="E79" s="2" t="s">
        <v>525</v>
      </c>
      <c r="F79" s="2"/>
      <c r="G79" s="56">
        <f t="shared" si="7"/>
        <v>221.93</v>
      </c>
      <c r="H79" s="56">
        <f t="shared" si="7"/>
        <v>221.93</v>
      </c>
      <c r="I79" s="56">
        <f t="shared" si="6"/>
        <v>100</v>
      </c>
      <c r="J79" s="49"/>
      <c r="K79" s="48"/>
    </row>
    <row r="80" spans="1:11" ht="24" x14ac:dyDescent="0.2">
      <c r="A80" s="3" t="s">
        <v>26</v>
      </c>
      <c r="B80" s="2" t="s">
        <v>197</v>
      </c>
      <c r="C80" s="2" t="s">
        <v>70</v>
      </c>
      <c r="D80" s="2" t="s">
        <v>24</v>
      </c>
      <c r="E80" s="2" t="s">
        <v>525</v>
      </c>
      <c r="F80" s="2" t="s">
        <v>23</v>
      </c>
      <c r="G80" s="56">
        <v>221.93</v>
      </c>
      <c r="H80" s="56">
        <v>221.93</v>
      </c>
      <c r="I80" s="56">
        <f t="shared" si="6"/>
        <v>100</v>
      </c>
      <c r="J80" s="49">
        <v>221.93</v>
      </c>
      <c r="K80" s="48">
        <f>J80-I80</f>
        <v>121.93</v>
      </c>
    </row>
    <row r="81" spans="1:12" ht="24" x14ac:dyDescent="0.2">
      <c r="A81" s="6" t="s">
        <v>451</v>
      </c>
      <c r="B81" s="2" t="s">
        <v>197</v>
      </c>
      <c r="C81" s="2" t="s">
        <v>70</v>
      </c>
      <c r="D81" s="2" t="s">
        <v>24</v>
      </c>
      <c r="E81" s="2" t="s">
        <v>452</v>
      </c>
      <c r="F81" s="2"/>
      <c r="G81" s="56">
        <f>G82+G84</f>
        <v>12108.034</v>
      </c>
      <c r="H81" s="56">
        <f>H82+H84</f>
        <v>12108.034</v>
      </c>
      <c r="I81" s="56">
        <f t="shared" si="6"/>
        <v>100</v>
      </c>
      <c r="J81" s="49"/>
      <c r="K81" s="48">
        <f>I81-J81</f>
        <v>100</v>
      </c>
    </row>
    <row r="82" spans="1:12" ht="36" x14ac:dyDescent="0.2">
      <c r="A82" s="6" t="s">
        <v>453</v>
      </c>
      <c r="B82" s="2" t="s">
        <v>197</v>
      </c>
      <c r="C82" s="2" t="s">
        <v>70</v>
      </c>
      <c r="D82" s="2" t="s">
        <v>24</v>
      </c>
      <c r="E82" s="2" t="s">
        <v>454</v>
      </c>
      <c r="F82" s="2"/>
      <c r="G82" s="243">
        <f>G83</f>
        <v>3805.9</v>
      </c>
      <c r="H82" s="243">
        <f>H83</f>
        <v>3805.9</v>
      </c>
      <c r="I82" s="56">
        <f t="shared" si="6"/>
        <v>100</v>
      </c>
      <c r="J82" s="49"/>
      <c r="K82" s="48">
        <f>I82-J82</f>
        <v>100</v>
      </c>
    </row>
    <row r="83" spans="1:12" ht="24" x14ac:dyDescent="0.2">
      <c r="A83" s="3" t="s">
        <v>62</v>
      </c>
      <c r="B83" s="2" t="s">
        <v>197</v>
      </c>
      <c r="C83" s="2" t="s">
        <v>70</v>
      </c>
      <c r="D83" s="2" t="s">
        <v>24</v>
      </c>
      <c r="E83" s="2" t="s">
        <v>454</v>
      </c>
      <c r="F83" s="2" t="s">
        <v>421</v>
      </c>
      <c r="G83" s="56">
        <v>3805.9</v>
      </c>
      <c r="H83" s="243">
        <v>3805.9</v>
      </c>
      <c r="I83" s="56">
        <f t="shared" si="6"/>
        <v>100</v>
      </c>
      <c r="J83" s="49">
        <f>3805.9</f>
        <v>3805.9</v>
      </c>
      <c r="K83" s="48">
        <f>J83-I83</f>
        <v>3705.9</v>
      </c>
    </row>
    <row r="84" spans="1:12" ht="22.5" customHeight="1" x14ac:dyDescent="0.2">
      <c r="A84" s="3" t="s">
        <v>542</v>
      </c>
      <c r="B84" s="2" t="s">
        <v>197</v>
      </c>
      <c r="C84" s="2" t="s">
        <v>70</v>
      </c>
      <c r="D84" s="2" t="s">
        <v>24</v>
      </c>
      <c r="E84" s="2" t="s">
        <v>543</v>
      </c>
      <c r="F84" s="2"/>
      <c r="G84" s="243">
        <f>G85</f>
        <v>8302.134</v>
      </c>
      <c r="H84" s="243">
        <f>H85</f>
        <v>8302.134</v>
      </c>
      <c r="I84" s="56">
        <f t="shared" si="6"/>
        <v>100</v>
      </c>
      <c r="J84" s="49"/>
      <c r="K84" s="48"/>
    </row>
    <row r="85" spans="1:12" ht="24" x14ac:dyDescent="0.2">
      <c r="A85" s="3" t="s">
        <v>62</v>
      </c>
      <c r="B85" s="2" t="s">
        <v>197</v>
      </c>
      <c r="C85" s="2" t="s">
        <v>70</v>
      </c>
      <c r="D85" s="2" t="s">
        <v>24</v>
      </c>
      <c r="E85" s="2" t="s">
        <v>543</v>
      </c>
      <c r="F85" s="2" t="s">
        <v>421</v>
      </c>
      <c r="G85" s="56">
        <v>8302.134</v>
      </c>
      <c r="H85" s="243">
        <v>8302.134</v>
      </c>
      <c r="I85" s="56">
        <f t="shared" si="6"/>
        <v>100</v>
      </c>
      <c r="J85" s="49">
        <v>8302.134</v>
      </c>
      <c r="K85" s="48"/>
    </row>
    <row r="86" spans="1:12" ht="12.75" x14ac:dyDescent="0.2">
      <c r="A86" s="3" t="s">
        <v>491</v>
      </c>
      <c r="B86" s="2" t="s">
        <v>197</v>
      </c>
      <c r="C86" s="2" t="s">
        <v>70</v>
      </c>
      <c r="D86" s="2" t="s">
        <v>24</v>
      </c>
      <c r="E86" s="2" t="s">
        <v>0</v>
      </c>
      <c r="F86" s="2"/>
      <c r="G86" s="252">
        <f>G87+G89</f>
        <v>625.471</v>
      </c>
      <c r="H86" s="252">
        <f>H87+H89</f>
        <v>625.471</v>
      </c>
      <c r="I86" s="56">
        <f t="shared" si="6"/>
        <v>100</v>
      </c>
      <c r="J86" s="49"/>
      <c r="K86" s="48"/>
    </row>
    <row r="87" spans="1:12" ht="12.75" x14ac:dyDescent="0.2">
      <c r="A87" s="3" t="s">
        <v>40</v>
      </c>
      <c r="B87" s="2" t="s">
        <v>197</v>
      </c>
      <c r="C87" s="2" t="s">
        <v>70</v>
      </c>
      <c r="D87" s="2" t="s">
        <v>24</v>
      </c>
      <c r="E87" s="2" t="s">
        <v>38</v>
      </c>
      <c r="F87" s="2"/>
      <c r="G87" s="252">
        <f>G88</f>
        <v>488.971</v>
      </c>
      <c r="H87" s="252">
        <f>H88</f>
        <v>488.971</v>
      </c>
      <c r="I87" s="56">
        <f t="shared" si="6"/>
        <v>100</v>
      </c>
      <c r="J87" s="49"/>
      <c r="K87" s="48"/>
    </row>
    <row r="88" spans="1:12" ht="24" x14ac:dyDescent="0.2">
      <c r="A88" s="3" t="s">
        <v>26</v>
      </c>
      <c r="B88" s="2" t="s">
        <v>197</v>
      </c>
      <c r="C88" s="2" t="s">
        <v>70</v>
      </c>
      <c r="D88" s="2" t="s">
        <v>24</v>
      </c>
      <c r="E88" s="2" t="s">
        <v>38</v>
      </c>
      <c r="F88" s="2" t="s">
        <v>23</v>
      </c>
      <c r="G88" s="252">
        <v>488.971</v>
      </c>
      <c r="H88" s="252">
        <v>488.971</v>
      </c>
      <c r="I88" s="56">
        <f t="shared" si="6"/>
        <v>100</v>
      </c>
      <c r="J88" s="76">
        <v>488.971</v>
      </c>
      <c r="K88" s="76"/>
      <c r="L88" s="1">
        <f>J88+K88</f>
        <v>488.971</v>
      </c>
    </row>
    <row r="89" spans="1:12" ht="24" x14ac:dyDescent="0.2">
      <c r="A89" s="3" t="s">
        <v>512</v>
      </c>
      <c r="B89" s="2" t="s">
        <v>197</v>
      </c>
      <c r="C89" s="2" t="s">
        <v>70</v>
      </c>
      <c r="D89" s="2" t="s">
        <v>24</v>
      </c>
      <c r="E89" s="2" t="s">
        <v>513</v>
      </c>
      <c r="F89" s="2"/>
      <c r="G89" s="244">
        <f>G90</f>
        <v>136.5</v>
      </c>
      <c r="H89" s="244">
        <f>H90</f>
        <v>136.5</v>
      </c>
      <c r="I89" s="56">
        <f t="shared" si="6"/>
        <v>100</v>
      </c>
      <c r="J89" s="76"/>
      <c r="K89" s="76">
        <v>-19.170000000000002</v>
      </c>
      <c r="L89" s="1">
        <f>J89+K89</f>
        <v>-19.170000000000002</v>
      </c>
    </row>
    <row r="90" spans="1:12" ht="24" x14ac:dyDescent="0.2">
      <c r="A90" s="3" t="s">
        <v>26</v>
      </c>
      <c r="B90" s="2" t="s">
        <v>197</v>
      </c>
      <c r="C90" s="2" t="s">
        <v>70</v>
      </c>
      <c r="D90" s="2" t="s">
        <v>24</v>
      </c>
      <c r="E90" s="2" t="s">
        <v>513</v>
      </c>
      <c r="F90" s="2" t="s">
        <v>23</v>
      </c>
      <c r="G90" s="244">
        <v>136.5</v>
      </c>
      <c r="H90" s="244">
        <v>136.5</v>
      </c>
      <c r="I90" s="56">
        <f t="shared" si="6"/>
        <v>100</v>
      </c>
      <c r="J90" s="1">
        <v>136.5</v>
      </c>
      <c r="K90" s="59">
        <f>20+62.1</f>
        <v>82.1</v>
      </c>
      <c r="L90" s="1">
        <f>J90+K90</f>
        <v>218.6</v>
      </c>
    </row>
    <row r="91" spans="1:12" ht="12.75" x14ac:dyDescent="0.2">
      <c r="A91" s="3" t="s">
        <v>211</v>
      </c>
      <c r="B91" s="2" t="s">
        <v>197</v>
      </c>
      <c r="C91" s="2" t="s">
        <v>70</v>
      </c>
      <c r="D91" s="2" t="s">
        <v>6</v>
      </c>
      <c r="E91" s="2"/>
      <c r="F91" s="2"/>
      <c r="G91" s="56">
        <f>G92</f>
        <v>27802.118559999995</v>
      </c>
      <c r="H91" s="56">
        <f>H92</f>
        <v>27693.145249999998</v>
      </c>
      <c r="I91" s="56">
        <f t="shared" si="6"/>
        <v>99.60803954646542</v>
      </c>
      <c r="J91" s="49"/>
      <c r="K91" s="48">
        <f>I91-J91</f>
        <v>99.60803954646542</v>
      </c>
    </row>
    <row r="92" spans="1:12" ht="24" x14ac:dyDescent="0.2">
      <c r="A92" s="3" t="s">
        <v>427</v>
      </c>
      <c r="B92" s="2" t="s">
        <v>197</v>
      </c>
      <c r="C92" s="2" t="s">
        <v>70</v>
      </c>
      <c r="D92" s="2" t="s">
        <v>6</v>
      </c>
      <c r="E92" s="2" t="s">
        <v>348</v>
      </c>
      <c r="F92" s="2"/>
      <c r="G92" s="56">
        <f>G93</f>
        <v>27802.118559999995</v>
      </c>
      <c r="H92" s="56">
        <f>H93</f>
        <v>27693.145249999998</v>
      </c>
      <c r="I92" s="56">
        <f t="shared" si="6"/>
        <v>99.60803954646542</v>
      </c>
      <c r="J92" s="49"/>
      <c r="K92" s="48">
        <f>I92-J92</f>
        <v>99.60803954646542</v>
      </c>
    </row>
    <row r="93" spans="1:12" ht="48" x14ac:dyDescent="0.2">
      <c r="A93" s="3" t="s">
        <v>280</v>
      </c>
      <c r="B93" s="2" t="s">
        <v>197</v>
      </c>
      <c r="C93" s="2" t="s">
        <v>70</v>
      </c>
      <c r="D93" s="2" t="s">
        <v>6</v>
      </c>
      <c r="E93" s="2" t="s">
        <v>332</v>
      </c>
      <c r="F93" s="2"/>
      <c r="G93" s="56">
        <f>G94+G109</f>
        <v>27802.118559999995</v>
      </c>
      <c r="H93" s="56">
        <f>H94+H109</f>
        <v>27693.145249999998</v>
      </c>
      <c r="I93" s="56">
        <f t="shared" si="6"/>
        <v>99.60803954646542</v>
      </c>
      <c r="J93" s="49"/>
      <c r="K93" s="48">
        <f>I93-J93</f>
        <v>99.60803954646542</v>
      </c>
    </row>
    <row r="94" spans="1:12" ht="12.75" x14ac:dyDescent="0.2">
      <c r="A94" s="3" t="s">
        <v>75</v>
      </c>
      <c r="B94" s="2" t="s">
        <v>197</v>
      </c>
      <c r="C94" s="2" t="s">
        <v>70</v>
      </c>
      <c r="D94" s="2" t="s">
        <v>6</v>
      </c>
      <c r="E94" s="2" t="s">
        <v>333</v>
      </c>
      <c r="F94" s="2"/>
      <c r="G94" s="56">
        <f>G95+G99+G107+G97+G103+G105</f>
        <v>18380.918559999998</v>
      </c>
      <c r="H94" s="56">
        <f>H95+H99+H107+H97+H103+H105</f>
        <v>18380.918559999998</v>
      </c>
      <c r="I94" s="56">
        <f t="shared" si="6"/>
        <v>100</v>
      </c>
      <c r="J94" s="49"/>
      <c r="K94" s="48">
        <f>I94-J94</f>
        <v>100</v>
      </c>
    </row>
    <row r="95" spans="1:12" ht="24" x14ac:dyDescent="0.2">
      <c r="A95" s="3" t="s">
        <v>281</v>
      </c>
      <c r="B95" s="2" t="s">
        <v>197</v>
      </c>
      <c r="C95" s="2" t="s">
        <v>70</v>
      </c>
      <c r="D95" s="2" t="s">
        <v>6</v>
      </c>
      <c r="E95" s="2" t="s">
        <v>334</v>
      </c>
      <c r="F95" s="2"/>
      <c r="G95" s="56">
        <f>G96</f>
        <v>10418.929</v>
      </c>
      <c r="H95" s="56">
        <f>H96</f>
        <v>10418.929</v>
      </c>
      <c r="I95" s="56">
        <f t="shared" si="6"/>
        <v>100</v>
      </c>
      <c r="J95" s="49"/>
      <c r="K95" s="48">
        <f>I95-J95</f>
        <v>100</v>
      </c>
    </row>
    <row r="96" spans="1:12" ht="24" x14ac:dyDescent="0.2">
      <c r="A96" s="3" t="s">
        <v>26</v>
      </c>
      <c r="B96" s="2" t="s">
        <v>197</v>
      </c>
      <c r="C96" s="2" t="s">
        <v>70</v>
      </c>
      <c r="D96" s="2" t="s">
        <v>6</v>
      </c>
      <c r="E96" s="2" t="s">
        <v>334</v>
      </c>
      <c r="F96" s="2" t="s">
        <v>23</v>
      </c>
      <c r="G96" s="56">
        <f>9578.23+840.699</f>
        <v>10418.929</v>
      </c>
      <c r="H96" s="56">
        <f>9578.23+840.699</f>
        <v>10418.929</v>
      </c>
      <c r="I96" s="56">
        <f t="shared" si="6"/>
        <v>100</v>
      </c>
      <c r="J96" s="49">
        <f>9578.23+840.699</f>
        <v>10418.929</v>
      </c>
      <c r="K96" s="48">
        <f>J96-I96</f>
        <v>10318.929</v>
      </c>
    </row>
    <row r="97" spans="1:11" ht="23.25" customHeight="1" x14ac:dyDescent="0.2">
      <c r="A97" s="6" t="s">
        <v>512</v>
      </c>
      <c r="B97" s="2" t="s">
        <v>197</v>
      </c>
      <c r="C97" s="2" t="s">
        <v>70</v>
      </c>
      <c r="D97" s="2" t="s">
        <v>6</v>
      </c>
      <c r="E97" s="2" t="s">
        <v>527</v>
      </c>
      <c r="F97" s="2"/>
      <c r="G97" s="56">
        <f>G98</f>
        <v>40.128</v>
      </c>
      <c r="H97" s="56">
        <f>H98</f>
        <v>40.128</v>
      </c>
      <c r="I97" s="56">
        <f t="shared" si="6"/>
        <v>100</v>
      </c>
      <c r="J97" s="49"/>
      <c r="K97" s="48"/>
    </row>
    <row r="98" spans="1:11" ht="24" x14ac:dyDescent="0.2">
      <c r="A98" s="3" t="s">
        <v>26</v>
      </c>
      <c r="B98" s="2" t="s">
        <v>197</v>
      </c>
      <c r="C98" s="2" t="s">
        <v>70</v>
      </c>
      <c r="D98" s="2" t="s">
        <v>6</v>
      </c>
      <c r="E98" s="2" t="s">
        <v>527</v>
      </c>
      <c r="F98" s="2" t="s">
        <v>23</v>
      </c>
      <c r="G98" s="56">
        <v>40.128</v>
      </c>
      <c r="H98" s="56">
        <v>40.128</v>
      </c>
      <c r="I98" s="56">
        <f t="shared" si="6"/>
        <v>100</v>
      </c>
      <c r="J98" s="49">
        <v>40.128</v>
      </c>
      <c r="K98" s="48">
        <f>J98-I98</f>
        <v>-59.872</v>
      </c>
    </row>
    <row r="99" spans="1:11" ht="24" x14ac:dyDescent="0.2">
      <c r="A99" s="3" t="s">
        <v>282</v>
      </c>
      <c r="B99" s="2" t="s">
        <v>197</v>
      </c>
      <c r="C99" s="2" t="s">
        <v>70</v>
      </c>
      <c r="D99" s="2" t="s">
        <v>6</v>
      </c>
      <c r="E99" s="2" t="s">
        <v>358</v>
      </c>
      <c r="F99" s="2"/>
      <c r="G99" s="56">
        <f>G100+G101</f>
        <v>4191.8765800000001</v>
      </c>
      <c r="H99" s="56">
        <f>H100+H101</f>
        <v>4191.8765800000001</v>
      </c>
      <c r="I99" s="56">
        <f t="shared" si="6"/>
        <v>100</v>
      </c>
      <c r="J99" s="49"/>
      <c r="K99" s="48">
        <f>I99-J99</f>
        <v>100</v>
      </c>
    </row>
    <row r="100" spans="1:11" ht="24" x14ac:dyDescent="0.2">
      <c r="A100" s="3" t="s">
        <v>26</v>
      </c>
      <c r="B100" s="2" t="s">
        <v>197</v>
      </c>
      <c r="C100" s="2" t="s">
        <v>70</v>
      </c>
      <c r="D100" s="2" t="s">
        <v>6</v>
      </c>
      <c r="E100" s="2" t="s">
        <v>358</v>
      </c>
      <c r="F100" s="2" t="s">
        <v>23</v>
      </c>
      <c r="G100" s="56">
        <f>4152.75658+30</f>
        <v>4182.7565800000002</v>
      </c>
      <c r="H100" s="56">
        <f>4152.75658+30</f>
        <v>4182.7565800000002</v>
      </c>
      <c r="I100" s="56">
        <f t="shared" si="6"/>
        <v>100</v>
      </c>
      <c r="J100" s="49">
        <f>4152.75658+30</f>
        <v>4182.7565800000002</v>
      </c>
      <c r="K100" s="48">
        <f>J100-I100</f>
        <v>4082.7565800000002</v>
      </c>
    </row>
    <row r="101" spans="1:11" ht="24" x14ac:dyDescent="0.2">
      <c r="A101" s="6" t="s">
        <v>512</v>
      </c>
      <c r="B101" s="2" t="s">
        <v>197</v>
      </c>
      <c r="C101" s="2" t="s">
        <v>70</v>
      </c>
      <c r="D101" s="2" t="s">
        <v>6</v>
      </c>
      <c r="E101" s="2" t="s">
        <v>528</v>
      </c>
      <c r="F101" s="2"/>
      <c r="G101" s="56">
        <f t="shared" ref="G101:H103" si="8">G102</f>
        <v>9.1199999999999992</v>
      </c>
      <c r="H101" s="56">
        <f t="shared" si="8"/>
        <v>9.1199999999999992</v>
      </c>
      <c r="I101" s="56">
        <f t="shared" si="6"/>
        <v>100</v>
      </c>
      <c r="J101" s="49"/>
      <c r="K101" s="48"/>
    </row>
    <row r="102" spans="1:11" ht="24" x14ac:dyDescent="0.2">
      <c r="A102" s="3" t="s">
        <v>26</v>
      </c>
      <c r="B102" s="2" t="s">
        <v>197</v>
      </c>
      <c r="C102" s="2" t="s">
        <v>70</v>
      </c>
      <c r="D102" s="2" t="s">
        <v>6</v>
      </c>
      <c r="E102" s="2" t="s">
        <v>528</v>
      </c>
      <c r="F102" s="2" t="s">
        <v>23</v>
      </c>
      <c r="G102" s="56">
        <v>9.1199999999999992</v>
      </c>
      <c r="H102" s="56">
        <v>9.1199999999999992</v>
      </c>
      <c r="I102" s="56">
        <f t="shared" si="6"/>
        <v>100</v>
      </c>
      <c r="J102" s="49">
        <v>9.1199999999999992</v>
      </c>
      <c r="K102" s="48">
        <f>J102-I102</f>
        <v>-90.88</v>
      </c>
    </row>
    <row r="103" spans="1:11" ht="24" x14ac:dyDescent="0.2">
      <c r="A103" s="6" t="s">
        <v>544</v>
      </c>
      <c r="B103" s="2" t="s">
        <v>197</v>
      </c>
      <c r="C103" s="2" t="s">
        <v>70</v>
      </c>
      <c r="D103" s="2" t="s">
        <v>6</v>
      </c>
      <c r="E103" s="2" t="s">
        <v>545</v>
      </c>
      <c r="F103" s="2"/>
      <c r="G103" s="56">
        <f t="shared" si="8"/>
        <v>13.469390000000001</v>
      </c>
      <c r="H103" s="56">
        <f t="shared" si="8"/>
        <v>13.469390000000001</v>
      </c>
      <c r="I103" s="56">
        <f t="shared" si="6"/>
        <v>100</v>
      </c>
      <c r="J103" s="49"/>
      <c r="K103" s="48"/>
    </row>
    <row r="104" spans="1:11" ht="24" x14ac:dyDescent="0.2">
      <c r="A104" s="3" t="s">
        <v>26</v>
      </c>
      <c r="B104" s="2" t="s">
        <v>197</v>
      </c>
      <c r="C104" s="2" t="s">
        <v>70</v>
      </c>
      <c r="D104" s="2" t="s">
        <v>6</v>
      </c>
      <c r="E104" s="2" t="s">
        <v>545</v>
      </c>
      <c r="F104" s="2" t="s">
        <v>23</v>
      </c>
      <c r="G104" s="56">
        <v>13.469390000000001</v>
      </c>
      <c r="H104" s="56">
        <v>13.469390000000001</v>
      </c>
      <c r="I104" s="56">
        <f t="shared" si="6"/>
        <v>100</v>
      </c>
      <c r="J104" s="49">
        <f>13.46939</f>
        <v>13.469390000000001</v>
      </c>
      <c r="K104" s="48"/>
    </row>
    <row r="105" spans="1:11" ht="23.25" customHeight="1" x14ac:dyDescent="0.2">
      <c r="A105" s="3" t="s">
        <v>555</v>
      </c>
      <c r="B105" s="2" t="s">
        <v>197</v>
      </c>
      <c r="C105" s="2" t="s">
        <v>70</v>
      </c>
      <c r="D105" s="2" t="s">
        <v>6</v>
      </c>
      <c r="E105" s="2" t="s">
        <v>554</v>
      </c>
      <c r="F105" s="2"/>
      <c r="G105" s="56">
        <f t="shared" ref="G105:H107" si="9">G106</f>
        <v>1050.01559</v>
      </c>
      <c r="H105" s="56">
        <f t="shared" si="9"/>
        <v>1050.01559</v>
      </c>
      <c r="I105" s="56">
        <f t="shared" si="6"/>
        <v>100</v>
      </c>
      <c r="J105" s="49"/>
      <c r="K105" s="48"/>
    </row>
    <row r="106" spans="1:11" ht="24" x14ac:dyDescent="0.2">
      <c r="A106" s="3" t="s">
        <v>26</v>
      </c>
      <c r="B106" s="2" t="s">
        <v>197</v>
      </c>
      <c r="C106" s="2" t="s">
        <v>70</v>
      </c>
      <c r="D106" s="2" t="s">
        <v>6</v>
      </c>
      <c r="E106" s="2" t="s">
        <v>554</v>
      </c>
      <c r="F106" s="2" t="s">
        <v>23</v>
      </c>
      <c r="G106" s="56">
        <v>1050.01559</v>
      </c>
      <c r="H106" s="56">
        <f>236.4882+813.52739</f>
        <v>1050.01559</v>
      </c>
      <c r="I106" s="56">
        <f t="shared" si="6"/>
        <v>100</v>
      </c>
      <c r="J106" s="49">
        <f>236.4882+813.52739</f>
        <v>1050.01559</v>
      </c>
      <c r="K106" s="48"/>
    </row>
    <row r="107" spans="1:11" ht="12.75" x14ac:dyDescent="0.2">
      <c r="A107" s="3" t="s">
        <v>389</v>
      </c>
      <c r="B107" s="2" t="s">
        <v>197</v>
      </c>
      <c r="C107" s="2" t="s">
        <v>70</v>
      </c>
      <c r="D107" s="2" t="s">
        <v>6</v>
      </c>
      <c r="E107" s="2" t="s">
        <v>392</v>
      </c>
      <c r="F107" s="2"/>
      <c r="G107" s="56">
        <f t="shared" si="9"/>
        <v>2666.5</v>
      </c>
      <c r="H107" s="56">
        <f t="shared" si="9"/>
        <v>2666.5</v>
      </c>
      <c r="I107" s="56">
        <f t="shared" si="6"/>
        <v>100</v>
      </c>
      <c r="J107" s="49"/>
      <c r="K107" s="48">
        <f>I107-J107</f>
        <v>100</v>
      </c>
    </row>
    <row r="108" spans="1:11" ht="24" x14ac:dyDescent="0.2">
      <c r="A108" s="3" t="s">
        <v>26</v>
      </c>
      <c r="B108" s="2" t="s">
        <v>197</v>
      </c>
      <c r="C108" s="2" t="s">
        <v>70</v>
      </c>
      <c r="D108" s="2" t="s">
        <v>6</v>
      </c>
      <c r="E108" s="2" t="s">
        <v>392</v>
      </c>
      <c r="F108" s="2" t="s">
        <v>23</v>
      </c>
      <c r="G108" s="56">
        <v>2666.5</v>
      </c>
      <c r="H108" s="56">
        <f>390.8+2275.7</f>
        <v>2666.5</v>
      </c>
      <c r="I108" s="56">
        <f t="shared" si="6"/>
        <v>100</v>
      </c>
      <c r="J108" s="49">
        <f>390.8+2275.7</f>
        <v>2666.5</v>
      </c>
      <c r="K108" s="48">
        <f>J108-I108</f>
        <v>2566.5</v>
      </c>
    </row>
    <row r="109" spans="1:11" ht="33" customHeight="1" x14ac:dyDescent="0.2">
      <c r="A109" s="3" t="s">
        <v>433</v>
      </c>
      <c r="B109" s="2" t="s">
        <v>197</v>
      </c>
      <c r="C109" s="2" t="s">
        <v>70</v>
      </c>
      <c r="D109" s="2" t="s">
        <v>6</v>
      </c>
      <c r="E109" s="2" t="s">
        <v>434</v>
      </c>
      <c r="F109" s="2"/>
      <c r="G109" s="56">
        <f>G110+G112+G114</f>
        <v>9421.1999999999989</v>
      </c>
      <c r="H109" s="56">
        <f>H110+H112+H114</f>
        <v>9312.2266899999995</v>
      </c>
      <c r="I109" s="56">
        <f t="shared" si="6"/>
        <v>98.843318154799817</v>
      </c>
      <c r="K109" s="48">
        <f t="shared" ref="K109:K160" si="10">I109-J109</f>
        <v>98.843318154799817</v>
      </c>
    </row>
    <row r="110" spans="1:11" ht="33" customHeight="1" x14ac:dyDescent="0.2">
      <c r="A110" s="3" t="s">
        <v>435</v>
      </c>
      <c r="B110" s="2" t="s">
        <v>197</v>
      </c>
      <c r="C110" s="2" t="s">
        <v>70</v>
      </c>
      <c r="D110" s="2" t="s">
        <v>6</v>
      </c>
      <c r="E110" s="2" t="s">
        <v>436</v>
      </c>
      <c r="F110" s="2"/>
      <c r="G110" s="56">
        <f>G111</f>
        <v>6318</v>
      </c>
      <c r="H110" s="56">
        <f>H111</f>
        <v>6209.0266899999997</v>
      </c>
      <c r="I110" s="56">
        <f t="shared" si="6"/>
        <v>98.275192940804047</v>
      </c>
      <c r="K110" s="48">
        <f t="shared" si="10"/>
        <v>98.275192940804047</v>
      </c>
    </row>
    <row r="111" spans="1:11" ht="33" customHeight="1" x14ac:dyDescent="0.2">
      <c r="A111" s="3" t="s">
        <v>26</v>
      </c>
      <c r="B111" s="2" t="s">
        <v>197</v>
      </c>
      <c r="C111" s="2" t="s">
        <v>70</v>
      </c>
      <c r="D111" s="2" t="s">
        <v>6</v>
      </c>
      <c r="E111" s="2" t="s">
        <v>436</v>
      </c>
      <c r="F111" s="2" t="s">
        <v>23</v>
      </c>
      <c r="G111" s="56">
        <v>6318</v>
      </c>
      <c r="H111" s="252">
        <v>6209.0266899999997</v>
      </c>
      <c r="I111" s="56">
        <f t="shared" si="6"/>
        <v>98.275192940804047</v>
      </c>
      <c r="J111" s="21">
        <v>6318</v>
      </c>
      <c r="K111" s="48">
        <f>J111-I111</f>
        <v>6219.7248070591959</v>
      </c>
    </row>
    <row r="112" spans="1:11" ht="33" customHeight="1" x14ac:dyDescent="0.2">
      <c r="A112" s="3" t="s">
        <v>437</v>
      </c>
      <c r="B112" s="2" t="s">
        <v>197</v>
      </c>
      <c r="C112" s="2" t="s">
        <v>70</v>
      </c>
      <c r="D112" s="2" t="s">
        <v>6</v>
      </c>
      <c r="E112" s="2" t="s">
        <v>438</v>
      </c>
      <c r="F112" s="2"/>
      <c r="G112" s="56">
        <f>G113</f>
        <v>2908.8</v>
      </c>
      <c r="H112" s="56">
        <f>H113</f>
        <v>2908.8</v>
      </c>
      <c r="I112" s="56">
        <f t="shared" si="6"/>
        <v>100</v>
      </c>
      <c r="K112" s="48">
        <f t="shared" si="10"/>
        <v>100</v>
      </c>
    </row>
    <row r="113" spans="1:11" ht="33" customHeight="1" x14ac:dyDescent="0.2">
      <c r="A113" s="3" t="s">
        <v>26</v>
      </c>
      <c r="B113" s="2" t="s">
        <v>197</v>
      </c>
      <c r="C113" s="2" t="s">
        <v>70</v>
      </c>
      <c r="D113" s="2" t="s">
        <v>6</v>
      </c>
      <c r="E113" s="2" t="s">
        <v>438</v>
      </c>
      <c r="F113" s="2" t="s">
        <v>23</v>
      </c>
      <c r="G113" s="56">
        <v>2908.8</v>
      </c>
      <c r="H113" s="252">
        <v>2908.8</v>
      </c>
      <c r="I113" s="56">
        <f t="shared" si="6"/>
        <v>100</v>
      </c>
      <c r="J113" s="21">
        <v>2908.8</v>
      </c>
      <c r="K113" s="48">
        <f>J113-I113</f>
        <v>2808.8</v>
      </c>
    </row>
    <row r="114" spans="1:11" ht="33" customHeight="1" x14ac:dyDescent="0.2">
      <c r="A114" s="3" t="s">
        <v>439</v>
      </c>
      <c r="B114" s="2" t="s">
        <v>197</v>
      </c>
      <c r="C114" s="2" t="s">
        <v>70</v>
      </c>
      <c r="D114" s="2" t="s">
        <v>6</v>
      </c>
      <c r="E114" s="2" t="s">
        <v>440</v>
      </c>
      <c r="F114" s="2"/>
      <c r="G114" s="56">
        <f>G115</f>
        <v>194.4</v>
      </c>
      <c r="H114" s="56">
        <f>H115</f>
        <v>194.4</v>
      </c>
      <c r="I114" s="56">
        <f t="shared" si="6"/>
        <v>100</v>
      </c>
      <c r="J114" s="21">
        <v>194.4</v>
      </c>
      <c r="K114" s="48">
        <f t="shared" si="10"/>
        <v>-94.4</v>
      </c>
    </row>
    <row r="115" spans="1:11" ht="33" customHeight="1" x14ac:dyDescent="0.2">
      <c r="A115" s="3" t="s">
        <v>26</v>
      </c>
      <c r="B115" s="2" t="s">
        <v>197</v>
      </c>
      <c r="C115" s="2" t="s">
        <v>70</v>
      </c>
      <c r="D115" s="2" t="s">
        <v>6</v>
      </c>
      <c r="E115" s="2" t="s">
        <v>440</v>
      </c>
      <c r="F115" s="2" t="s">
        <v>23</v>
      </c>
      <c r="G115" s="56">
        <v>194.4</v>
      </c>
      <c r="H115" s="252">
        <v>194.4</v>
      </c>
      <c r="I115" s="56">
        <f t="shared" si="6"/>
        <v>100</v>
      </c>
      <c r="K115" s="48">
        <f>J115-I115</f>
        <v>-100</v>
      </c>
    </row>
    <row r="116" spans="1:11" ht="12.75" x14ac:dyDescent="0.2">
      <c r="A116" s="3" t="s">
        <v>73</v>
      </c>
      <c r="B116" s="2" t="s">
        <v>197</v>
      </c>
      <c r="C116" s="2" t="s">
        <v>70</v>
      </c>
      <c r="D116" s="2" t="s">
        <v>60</v>
      </c>
      <c r="E116" s="2"/>
      <c r="F116" s="2"/>
      <c r="G116" s="70">
        <f>G117</f>
        <v>18635.638339999998</v>
      </c>
      <c r="H116" s="70">
        <f>H117</f>
        <v>18635.638339999998</v>
      </c>
      <c r="I116" s="56">
        <f t="shared" si="6"/>
        <v>100</v>
      </c>
      <c r="J116" s="49"/>
      <c r="K116" s="48">
        <f t="shared" si="10"/>
        <v>100</v>
      </c>
    </row>
    <row r="117" spans="1:11" ht="24" x14ac:dyDescent="0.2">
      <c r="A117" s="3" t="s">
        <v>427</v>
      </c>
      <c r="B117" s="2" t="s">
        <v>197</v>
      </c>
      <c r="C117" s="2" t="s">
        <v>70</v>
      </c>
      <c r="D117" s="2" t="s">
        <v>60</v>
      </c>
      <c r="E117" s="2" t="s">
        <v>348</v>
      </c>
      <c r="F117" s="2"/>
      <c r="G117" s="56">
        <f>G118+G127</f>
        <v>18635.638339999998</v>
      </c>
      <c r="H117" s="56">
        <f>H118+H127</f>
        <v>18635.638339999998</v>
      </c>
      <c r="I117" s="56">
        <f t="shared" si="6"/>
        <v>100</v>
      </c>
      <c r="J117" s="49"/>
      <c r="K117" s="48">
        <f t="shared" si="10"/>
        <v>100</v>
      </c>
    </row>
    <row r="118" spans="1:11" ht="48" x14ac:dyDescent="0.2">
      <c r="A118" s="3" t="s">
        <v>462</v>
      </c>
      <c r="B118" s="2" t="s">
        <v>197</v>
      </c>
      <c r="C118" s="2" t="s">
        <v>70</v>
      </c>
      <c r="D118" s="2" t="s">
        <v>60</v>
      </c>
      <c r="E118" s="2" t="s">
        <v>335</v>
      </c>
      <c r="F118" s="2"/>
      <c r="G118" s="56">
        <f>G119+G125</f>
        <v>3479.3049499999997</v>
      </c>
      <c r="H118" s="56">
        <f>H119+H125</f>
        <v>3479.3049499999997</v>
      </c>
      <c r="I118" s="56">
        <f t="shared" si="6"/>
        <v>100</v>
      </c>
      <c r="J118" s="49"/>
      <c r="K118" s="48">
        <f t="shared" si="10"/>
        <v>100</v>
      </c>
    </row>
    <row r="119" spans="1:11" ht="24" x14ac:dyDescent="0.2">
      <c r="A119" s="3" t="s">
        <v>463</v>
      </c>
      <c r="B119" s="2" t="s">
        <v>197</v>
      </c>
      <c r="C119" s="2" t="s">
        <v>70</v>
      </c>
      <c r="D119" s="2" t="s">
        <v>60</v>
      </c>
      <c r="E119" s="2" t="s">
        <v>336</v>
      </c>
      <c r="F119" s="2"/>
      <c r="G119" s="56">
        <f>G120+G122</f>
        <v>2721.4449500000001</v>
      </c>
      <c r="H119" s="56">
        <f>H120+H122</f>
        <v>2721.4449500000001</v>
      </c>
      <c r="I119" s="56">
        <f t="shared" si="6"/>
        <v>100</v>
      </c>
      <c r="J119" s="49"/>
      <c r="K119" s="48">
        <f t="shared" si="10"/>
        <v>100</v>
      </c>
    </row>
    <row r="120" spans="1:11" ht="24" x14ac:dyDescent="0.2">
      <c r="A120" s="3" t="s">
        <v>72</v>
      </c>
      <c r="B120" s="2" t="s">
        <v>197</v>
      </c>
      <c r="C120" s="2" t="s">
        <v>70</v>
      </c>
      <c r="D120" s="2" t="s">
        <v>60</v>
      </c>
      <c r="E120" s="2" t="s">
        <v>337</v>
      </c>
      <c r="F120" s="2"/>
      <c r="G120" s="56">
        <f>G121</f>
        <v>2680.6570000000002</v>
      </c>
      <c r="H120" s="56">
        <f>H121</f>
        <v>2680.6570000000002</v>
      </c>
      <c r="I120" s="56">
        <f t="shared" si="6"/>
        <v>100</v>
      </c>
      <c r="J120" s="49"/>
      <c r="K120" s="48">
        <f t="shared" si="10"/>
        <v>100</v>
      </c>
    </row>
    <row r="121" spans="1:11" ht="48" x14ac:dyDescent="0.2">
      <c r="A121" s="3" t="s">
        <v>33</v>
      </c>
      <c r="B121" s="2" t="s">
        <v>197</v>
      </c>
      <c r="C121" s="2" t="s">
        <v>70</v>
      </c>
      <c r="D121" s="2" t="s">
        <v>60</v>
      </c>
      <c r="E121" s="2" t="s">
        <v>337</v>
      </c>
      <c r="F121" s="2" t="s">
        <v>30</v>
      </c>
      <c r="G121" s="56">
        <v>2680.6570000000002</v>
      </c>
      <c r="H121" s="56">
        <f>2058.86098+621.79602</f>
        <v>2680.6570000000002</v>
      </c>
      <c r="I121" s="56">
        <f t="shared" si="6"/>
        <v>100</v>
      </c>
      <c r="J121" s="49">
        <f>2058.86098+621.79602</f>
        <v>2680.6570000000002</v>
      </c>
      <c r="K121" s="48">
        <f>J121-I121</f>
        <v>2580.6570000000002</v>
      </c>
    </row>
    <row r="122" spans="1:11" ht="24" x14ac:dyDescent="0.2">
      <c r="A122" s="6" t="s">
        <v>487</v>
      </c>
      <c r="B122" s="2" t="s">
        <v>197</v>
      </c>
      <c r="C122" s="2" t="s">
        <v>70</v>
      </c>
      <c r="D122" s="2" t="s">
        <v>60</v>
      </c>
      <c r="E122" s="2" t="s">
        <v>488</v>
      </c>
      <c r="F122" s="2"/>
      <c r="G122" s="56">
        <f>G123+G124</f>
        <v>40.787949999999995</v>
      </c>
      <c r="H122" s="56">
        <f>H123+H124</f>
        <v>40.787949999999995</v>
      </c>
      <c r="I122" s="56">
        <f t="shared" si="6"/>
        <v>100</v>
      </c>
      <c r="J122" s="49"/>
      <c r="K122" s="48">
        <f t="shared" si="10"/>
        <v>100</v>
      </c>
    </row>
    <row r="123" spans="1:11" ht="24" x14ac:dyDescent="0.2">
      <c r="A123" s="3" t="s">
        <v>41</v>
      </c>
      <c r="B123" s="2" t="s">
        <v>197</v>
      </c>
      <c r="C123" s="2" t="s">
        <v>70</v>
      </c>
      <c r="D123" s="2" t="s">
        <v>60</v>
      </c>
      <c r="E123" s="2" t="s">
        <v>488</v>
      </c>
      <c r="F123" s="2" t="s">
        <v>45</v>
      </c>
      <c r="G123" s="56">
        <v>27.787949999999999</v>
      </c>
      <c r="H123" s="56">
        <v>27.787949999999999</v>
      </c>
      <c r="I123" s="56">
        <f t="shared" si="6"/>
        <v>100</v>
      </c>
      <c r="J123" s="49">
        <v>27.787949999999999</v>
      </c>
      <c r="K123" s="48">
        <f>J123-I123</f>
        <v>-72.212050000000005</v>
      </c>
    </row>
    <row r="124" spans="1:11" ht="24" x14ac:dyDescent="0.2">
      <c r="A124" s="6" t="s">
        <v>65</v>
      </c>
      <c r="B124" s="2" t="s">
        <v>197</v>
      </c>
      <c r="C124" s="2" t="s">
        <v>70</v>
      </c>
      <c r="D124" s="2" t="s">
        <v>60</v>
      </c>
      <c r="E124" s="2" t="s">
        <v>488</v>
      </c>
      <c r="F124" s="2" t="s">
        <v>71</v>
      </c>
      <c r="G124" s="56">
        <v>13</v>
      </c>
      <c r="H124" s="56">
        <v>13</v>
      </c>
      <c r="I124" s="56">
        <f t="shared" si="6"/>
        <v>100</v>
      </c>
      <c r="J124" s="49">
        <v>13</v>
      </c>
      <c r="K124" s="48">
        <f>J124-I124</f>
        <v>-87</v>
      </c>
    </row>
    <row r="125" spans="1:11" ht="12.75" x14ac:dyDescent="0.2">
      <c r="A125" s="3" t="s">
        <v>389</v>
      </c>
      <c r="B125" s="2" t="s">
        <v>197</v>
      </c>
      <c r="C125" s="2" t="s">
        <v>70</v>
      </c>
      <c r="D125" s="2" t="s">
        <v>60</v>
      </c>
      <c r="E125" s="2" t="s">
        <v>391</v>
      </c>
      <c r="F125" s="2"/>
      <c r="G125" s="56">
        <f>G126</f>
        <v>757.8599999999999</v>
      </c>
      <c r="H125" s="56">
        <f>H126</f>
        <v>757.8599999999999</v>
      </c>
      <c r="I125" s="56">
        <f t="shared" si="6"/>
        <v>100</v>
      </c>
      <c r="K125" s="48">
        <f t="shared" si="10"/>
        <v>100</v>
      </c>
    </row>
    <row r="126" spans="1:11" ht="48" x14ac:dyDescent="0.2">
      <c r="A126" s="3" t="s">
        <v>33</v>
      </c>
      <c r="B126" s="2" t="s">
        <v>197</v>
      </c>
      <c r="C126" s="2" t="s">
        <v>70</v>
      </c>
      <c r="D126" s="2" t="s">
        <v>60</v>
      </c>
      <c r="E126" s="2" t="s">
        <v>391</v>
      </c>
      <c r="F126" s="2" t="s">
        <v>30</v>
      </c>
      <c r="G126" s="56">
        <f>582.074+175.786</f>
        <v>757.8599999999999</v>
      </c>
      <c r="H126" s="56">
        <f>582.074+175.786</f>
        <v>757.8599999999999</v>
      </c>
      <c r="I126" s="56">
        <f t="shared" ref="I126:I181" si="11">H126/G126*100</f>
        <v>100</v>
      </c>
      <c r="J126" s="21">
        <f>582.074+175.786</f>
        <v>757.8599999999999</v>
      </c>
      <c r="K126" s="48">
        <f>J126-I126</f>
        <v>657.8599999999999</v>
      </c>
    </row>
    <row r="127" spans="1:11" ht="60" x14ac:dyDescent="0.2">
      <c r="A127" s="3" t="s">
        <v>697</v>
      </c>
      <c r="B127" s="2" t="s">
        <v>197</v>
      </c>
      <c r="C127" s="2" t="s">
        <v>70</v>
      </c>
      <c r="D127" s="2" t="s">
        <v>60</v>
      </c>
      <c r="E127" s="2" t="s">
        <v>338</v>
      </c>
      <c r="F127" s="2"/>
      <c r="G127" s="56">
        <f>G128+G137+G139+G135</f>
        <v>15156.33339</v>
      </c>
      <c r="H127" s="56">
        <f>H128+H137+H139+H135</f>
        <v>15156.33339</v>
      </c>
      <c r="I127" s="56">
        <f t="shared" si="11"/>
        <v>100</v>
      </c>
      <c r="J127" s="49"/>
      <c r="K127" s="48">
        <f t="shared" si="10"/>
        <v>100</v>
      </c>
    </row>
    <row r="128" spans="1:11" ht="36" x14ac:dyDescent="0.2">
      <c r="A128" s="3" t="s">
        <v>700</v>
      </c>
      <c r="B128" s="2" t="s">
        <v>197</v>
      </c>
      <c r="C128" s="2" t="s">
        <v>70</v>
      </c>
      <c r="D128" s="2" t="s">
        <v>60</v>
      </c>
      <c r="E128" s="2" t="s">
        <v>339</v>
      </c>
      <c r="F128" s="2"/>
      <c r="G128" s="56">
        <f>G129+G132</f>
        <v>7334.5429899999999</v>
      </c>
      <c r="H128" s="56">
        <f>H129+H132</f>
        <v>7334.5429900000008</v>
      </c>
      <c r="I128" s="56">
        <f t="shared" si="11"/>
        <v>100.00000000000003</v>
      </c>
      <c r="J128" s="49"/>
      <c r="K128" s="48">
        <f t="shared" si="10"/>
        <v>100.00000000000003</v>
      </c>
    </row>
    <row r="129" spans="1:11" ht="36" x14ac:dyDescent="0.2">
      <c r="A129" s="3" t="s">
        <v>699</v>
      </c>
      <c r="B129" s="2" t="s">
        <v>197</v>
      </c>
      <c r="C129" s="2" t="s">
        <v>70</v>
      </c>
      <c r="D129" s="2" t="s">
        <v>60</v>
      </c>
      <c r="E129" s="2" t="s">
        <v>340</v>
      </c>
      <c r="F129" s="2"/>
      <c r="G129" s="56">
        <f>G130+G131</f>
        <v>4803.76044</v>
      </c>
      <c r="H129" s="56">
        <f>H130+H131</f>
        <v>4803.7604400000009</v>
      </c>
      <c r="I129" s="56">
        <f t="shared" si="11"/>
        <v>100.00000000000003</v>
      </c>
      <c r="J129" s="49"/>
      <c r="K129" s="48">
        <f t="shared" si="10"/>
        <v>100.00000000000003</v>
      </c>
    </row>
    <row r="130" spans="1:11" ht="48" x14ac:dyDescent="0.2">
      <c r="A130" s="3" t="s">
        <v>33</v>
      </c>
      <c r="B130" s="2" t="s">
        <v>197</v>
      </c>
      <c r="C130" s="2" t="s">
        <v>70</v>
      </c>
      <c r="D130" s="2" t="s">
        <v>60</v>
      </c>
      <c r="E130" s="2" t="s">
        <v>340</v>
      </c>
      <c r="F130" s="2" t="s">
        <v>30</v>
      </c>
      <c r="G130" s="56">
        <v>4797.2207399999998</v>
      </c>
      <c r="H130" s="56">
        <f>3644.659+49.9+1102.66174</f>
        <v>4797.2207400000007</v>
      </c>
      <c r="I130" s="56">
        <f t="shared" si="11"/>
        <v>100.00000000000003</v>
      </c>
      <c r="J130" s="49">
        <f>3644.659+49.9+1102.66174</f>
        <v>4797.2207400000007</v>
      </c>
      <c r="K130" s="48">
        <f>J130-I130</f>
        <v>4697.2207400000007</v>
      </c>
    </row>
    <row r="131" spans="1:11" ht="12.75" x14ac:dyDescent="0.2">
      <c r="A131" s="6" t="s">
        <v>39</v>
      </c>
      <c r="B131" s="2" t="s">
        <v>197</v>
      </c>
      <c r="C131" s="2" t="s">
        <v>70</v>
      </c>
      <c r="D131" s="2" t="s">
        <v>60</v>
      </c>
      <c r="E131" s="2" t="s">
        <v>340</v>
      </c>
      <c r="F131" s="2" t="s">
        <v>37</v>
      </c>
      <c r="G131" s="244">
        <v>6.5396999999999998</v>
      </c>
      <c r="H131" s="244">
        <v>6.5396999999999998</v>
      </c>
      <c r="I131" s="56">
        <f t="shared" si="11"/>
        <v>100</v>
      </c>
      <c r="J131" s="49">
        <v>6.5396999999999998</v>
      </c>
      <c r="K131" s="48">
        <f>J131-I131</f>
        <v>-93.460300000000004</v>
      </c>
    </row>
    <row r="132" spans="1:11" ht="36" x14ac:dyDescent="0.2">
      <c r="A132" s="3" t="s">
        <v>698</v>
      </c>
      <c r="B132" s="2" t="s">
        <v>197</v>
      </c>
      <c r="C132" s="2" t="s">
        <v>70</v>
      </c>
      <c r="D132" s="2" t="s">
        <v>60</v>
      </c>
      <c r="E132" s="2" t="s">
        <v>341</v>
      </c>
      <c r="F132" s="2"/>
      <c r="G132" s="56">
        <f>G133+G134</f>
        <v>2530.7825499999999</v>
      </c>
      <c r="H132" s="56">
        <f>H133+H134</f>
        <v>2530.7825499999999</v>
      </c>
      <c r="I132" s="56">
        <f t="shared" si="11"/>
        <v>100</v>
      </c>
      <c r="J132" s="49"/>
      <c r="K132" s="48">
        <f t="shared" si="10"/>
        <v>100</v>
      </c>
    </row>
    <row r="133" spans="1:11" ht="24" x14ac:dyDescent="0.2">
      <c r="A133" s="3" t="s">
        <v>41</v>
      </c>
      <c r="B133" s="2" t="s">
        <v>197</v>
      </c>
      <c r="C133" s="2" t="s">
        <v>70</v>
      </c>
      <c r="D133" s="2" t="s">
        <v>60</v>
      </c>
      <c r="E133" s="2" t="s">
        <v>341</v>
      </c>
      <c r="F133" s="2" t="s">
        <v>45</v>
      </c>
      <c r="G133" s="56">
        <v>2513.7825499999999</v>
      </c>
      <c r="H133" s="56">
        <f>2513.78255</f>
        <v>2513.7825499999999</v>
      </c>
      <c r="I133" s="56">
        <f t="shared" si="11"/>
        <v>100</v>
      </c>
      <c r="J133" s="49">
        <f>2513.78255</f>
        <v>2513.7825499999999</v>
      </c>
      <c r="K133" s="48">
        <f>J133-I133</f>
        <v>2413.7825499999999</v>
      </c>
    </row>
    <row r="134" spans="1:11" ht="24" x14ac:dyDescent="0.2">
      <c r="A134" s="6" t="s">
        <v>65</v>
      </c>
      <c r="B134" s="2" t="s">
        <v>197</v>
      </c>
      <c r="C134" s="2" t="s">
        <v>70</v>
      </c>
      <c r="D134" s="2" t="s">
        <v>60</v>
      </c>
      <c r="E134" s="2" t="s">
        <v>341</v>
      </c>
      <c r="F134" s="2" t="s">
        <v>71</v>
      </c>
      <c r="G134" s="56">
        <v>17</v>
      </c>
      <c r="H134" s="56">
        <v>17</v>
      </c>
      <c r="I134" s="56">
        <f t="shared" si="11"/>
        <v>100</v>
      </c>
      <c r="J134" s="49">
        <v>17</v>
      </c>
      <c r="K134" s="48">
        <f>J134-I134</f>
        <v>-83</v>
      </c>
    </row>
    <row r="135" spans="1:11" ht="24" x14ac:dyDescent="0.2">
      <c r="A135" s="6" t="s">
        <v>512</v>
      </c>
      <c r="B135" s="2" t="s">
        <v>197</v>
      </c>
      <c r="C135" s="2" t="s">
        <v>70</v>
      </c>
      <c r="D135" s="2" t="s">
        <v>60</v>
      </c>
      <c r="E135" s="2" t="s">
        <v>529</v>
      </c>
      <c r="F135" s="2"/>
      <c r="G135" s="56">
        <f>G136</f>
        <v>44.716000000000001</v>
      </c>
      <c r="H135" s="56">
        <f>H136</f>
        <v>44.716000000000001</v>
      </c>
      <c r="I135" s="56">
        <f t="shared" si="11"/>
        <v>100</v>
      </c>
      <c r="J135" s="49"/>
      <c r="K135" s="48"/>
    </row>
    <row r="136" spans="1:11" ht="24" x14ac:dyDescent="0.2">
      <c r="A136" s="3" t="s">
        <v>41</v>
      </c>
      <c r="B136" s="2" t="s">
        <v>197</v>
      </c>
      <c r="C136" s="2" t="s">
        <v>70</v>
      </c>
      <c r="D136" s="2" t="s">
        <v>60</v>
      </c>
      <c r="E136" s="2" t="s">
        <v>529</v>
      </c>
      <c r="F136" s="2" t="s">
        <v>45</v>
      </c>
      <c r="G136" s="56">
        <v>44.716000000000001</v>
      </c>
      <c r="H136" s="56">
        <v>44.716000000000001</v>
      </c>
      <c r="I136" s="56">
        <f t="shared" si="11"/>
        <v>100</v>
      </c>
      <c r="J136" s="49">
        <v>44.716000000000001</v>
      </c>
      <c r="K136" s="48">
        <f>J136-I136</f>
        <v>-55.283999999999999</v>
      </c>
    </row>
    <row r="137" spans="1:11" ht="132" x14ac:dyDescent="0.2">
      <c r="A137" s="3" t="s">
        <v>701</v>
      </c>
      <c r="B137" s="2" t="s">
        <v>197</v>
      </c>
      <c r="C137" s="2" t="s">
        <v>70</v>
      </c>
      <c r="D137" s="2" t="s">
        <v>60</v>
      </c>
      <c r="E137" s="2" t="s">
        <v>342</v>
      </c>
      <c r="F137" s="2"/>
      <c r="G137" s="56">
        <f>G138</f>
        <v>5524.36</v>
      </c>
      <c r="H137" s="56">
        <f>H138</f>
        <v>5524.36</v>
      </c>
      <c r="I137" s="56">
        <f t="shared" si="11"/>
        <v>100</v>
      </c>
      <c r="J137" s="49"/>
      <c r="K137" s="48">
        <f t="shared" si="10"/>
        <v>100</v>
      </c>
    </row>
    <row r="138" spans="1:11" ht="48" x14ac:dyDescent="0.2">
      <c r="A138" s="3" t="s">
        <v>33</v>
      </c>
      <c r="B138" s="2" t="s">
        <v>197</v>
      </c>
      <c r="C138" s="2" t="s">
        <v>70</v>
      </c>
      <c r="D138" s="2" t="s">
        <v>60</v>
      </c>
      <c r="E138" s="2" t="s">
        <v>342</v>
      </c>
      <c r="F138" s="2" t="s">
        <v>30</v>
      </c>
      <c r="G138" s="56">
        <f>4242.98+1281.38</f>
        <v>5524.36</v>
      </c>
      <c r="H138" s="56">
        <f>4242.98+1281.38</f>
        <v>5524.36</v>
      </c>
      <c r="I138" s="56">
        <f t="shared" si="11"/>
        <v>100</v>
      </c>
      <c r="J138" s="49">
        <f>4242.98+1281.38</f>
        <v>5524.36</v>
      </c>
      <c r="K138" s="48">
        <f>J138-I138</f>
        <v>5424.36</v>
      </c>
    </row>
    <row r="139" spans="1:11" ht="12.75" x14ac:dyDescent="0.2">
      <c r="A139" s="3" t="s">
        <v>389</v>
      </c>
      <c r="B139" s="2" t="s">
        <v>197</v>
      </c>
      <c r="C139" s="2" t="s">
        <v>70</v>
      </c>
      <c r="D139" s="2" t="s">
        <v>60</v>
      </c>
      <c r="E139" s="2" t="s">
        <v>405</v>
      </c>
      <c r="F139" s="2"/>
      <c r="G139" s="56">
        <f>G140</f>
        <v>2252.7143999999998</v>
      </c>
      <c r="H139" s="56">
        <f>H140</f>
        <v>2252.7143999999998</v>
      </c>
      <c r="I139" s="56">
        <f t="shared" si="11"/>
        <v>100</v>
      </c>
      <c r="J139" s="49"/>
      <c r="K139" s="48">
        <f t="shared" si="10"/>
        <v>100</v>
      </c>
    </row>
    <row r="140" spans="1:11" ht="48" x14ac:dyDescent="0.2">
      <c r="A140" s="3" t="s">
        <v>33</v>
      </c>
      <c r="B140" s="2" t="s">
        <v>197</v>
      </c>
      <c r="C140" s="2" t="s">
        <v>70</v>
      </c>
      <c r="D140" s="2" t="s">
        <v>60</v>
      </c>
      <c r="E140" s="2" t="s">
        <v>405</v>
      </c>
      <c r="F140" s="2" t="s">
        <v>30</v>
      </c>
      <c r="G140" s="56">
        <v>2252.7143999999998</v>
      </c>
      <c r="H140" s="56">
        <f>1730.195+522.5194</f>
        <v>2252.7143999999998</v>
      </c>
      <c r="I140" s="56">
        <f t="shared" si="11"/>
        <v>100</v>
      </c>
      <c r="J140" s="49">
        <f>1730.195+522.5194</f>
        <v>2252.7143999999998</v>
      </c>
      <c r="K140" s="48">
        <f>J140-I140</f>
        <v>2152.7143999999998</v>
      </c>
    </row>
    <row r="141" spans="1:11" ht="12.75" x14ac:dyDescent="0.2">
      <c r="A141" s="3" t="s">
        <v>59</v>
      </c>
      <c r="B141" s="2" t="s">
        <v>197</v>
      </c>
      <c r="C141" s="2" t="s">
        <v>48</v>
      </c>
      <c r="D141" s="2"/>
      <c r="E141" s="2"/>
      <c r="F141" s="2"/>
      <c r="G141" s="56">
        <f t="shared" ref="G141:H145" si="12">G142</f>
        <v>1492.3000000000002</v>
      </c>
      <c r="H141" s="56">
        <f t="shared" si="12"/>
        <v>1492.3000000000002</v>
      </c>
      <c r="I141" s="56">
        <f t="shared" si="11"/>
        <v>100</v>
      </c>
      <c r="J141" s="49"/>
      <c r="K141" s="48">
        <f t="shared" si="10"/>
        <v>100</v>
      </c>
    </row>
    <row r="142" spans="1:11" ht="12.75" x14ac:dyDescent="0.2">
      <c r="A142" s="3" t="s">
        <v>55</v>
      </c>
      <c r="B142" s="2" t="s">
        <v>197</v>
      </c>
      <c r="C142" s="2" t="s">
        <v>48</v>
      </c>
      <c r="D142" s="2" t="s">
        <v>53</v>
      </c>
      <c r="E142" s="2"/>
      <c r="F142" s="2"/>
      <c r="G142" s="56">
        <f t="shared" si="12"/>
        <v>1492.3000000000002</v>
      </c>
      <c r="H142" s="56">
        <f t="shared" si="12"/>
        <v>1492.3000000000002</v>
      </c>
      <c r="I142" s="56">
        <f t="shared" si="11"/>
        <v>100</v>
      </c>
      <c r="J142" s="49"/>
      <c r="K142" s="48">
        <f t="shared" si="10"/>
        <v>100</v>
      </c>
    </row>
    <row r="143" spans="1:11" ht="24" x14ac:dyDescent="0.2">
      <c r="A143" s="3" t="s">
        <v>427</v>
      </c>
      <c r="B143" s="2" t="s">
        <v>197</v>
      </c>
      <c r="C143" s="2" t="s">
        <v>48</v>
      </c>
      <c r="D143" s="2" t="s">
        <v>53</v>
      </c>
      <c r="E143" s="2" t="s">
        <v>348</v>
      </c>
      <c r="F143" s="2"/>
      <c r="G143" s="56">
        <f t="shared" si="12"/>
        <v>1492.3000000000002</v>
      </c>
      <c r="H143" s="56">
        <f t="shared" si="12"/>
        <v>1492.3000000000002</v>
      </c>
      <c r="I143" s="56">
        <f t="shared" si="11"/>
        <v>100</v>
      </c>
      <c r="J143" s="49"/>
      <c r="K143" s="48">
        <f t="shared" si="10"/>
        <v>100</v>
      </c>
    </row>
    <row r="144" spans="1:11" ht="36" x14ac:dyDescent="0.2">
      <c r="A144" s="3" t="s">
        <v>276</v>
      </c>
      <c r="B144" s="2" t="s">
        <v>197</v>
      </c>
      <c r="C144" s="2" t="s">
        <v>48</v>
      </c>
      <c r="D144" s="2" t="s">
        <v>53</v>
      </c>
      <c r="E144" s="2" t="s">
        <v>325</v>
      </c>
      <c r="F144" s="2"/>
      <c r="G144" s="56">
        <f t="shared" si="12"/>
        <v>1492.3000000000002</v>
      </c>
      <c r="H144" s="56">
        <f t="shared" si="12"/>
        <v>1492.3000000000002</v>
      </c>
      <c r="I144" s="56">
        <f t="shared" si="11"/>
        <v>100</v>
      </c>
      <c r="J144" s="49"/>
      <c r="K144" s="48">
        <f t="shared" si="10"/>
        <v>100</v>
      </c>
    </row>
    <row r="145" spans="1:11" ht="48" x14ac:dyDescent="0.2">
      <c r="A145" s="3" t="s">
        <v>277</v>
      </c>
      <c r="B145" s="2" t="s">
        <v>197</v>
      </c>
      <c r="C145" s="2" t="s">
        <v>48</v>
      </c>
      <c r="D145" s="2" t="s">
        <v>53</v>
      </c>
      <c r="E145" s="2" t="s">
        <v>324</v>
      </c>
      <c r="F145" s="2"/>
      <c r="G145" s="56">
        <f t="shared" si="12"/>
        <v>1492.3000000000002</v>
      </c>
      <c r="H145" s="56">
        <f t="shared" si="12"/>
        <v>1492.3000000000002</v>
      </c>
      <c r="I145" s="56">
        <f t="shared" si="11"/>
        <v>100</v>
      </c>
      <c r="J145" s="49"/>
      <c r="K145" s="48">
        <f t="shared" si="10"/>
        <v>100</v>
      </c>
    </row>
    <row r="146" spans="1:11" ht="48" x14ac:dyDescent="0.2">
      <c r="A146" s="3" t="s">
        <v>266</v>
      </c>
      <c r="B146" s="2" t="s">
        <v>197</v>
      </c>
      <c r="C146" s="2" t="s">
        <v>48</v>
      </c>
      <c r="D146" s="2" t="s">
        <v>53</v>
      </c>
      <c r="E146" s="2" t="s">
        <v>343</v>
      </c>
      <c r="F146" s="2"/>
      <c r="G146" s="56">
        <f>G148+G147</f>
        <v>1492.3000000000002</v>
      </c>
      <c r="H146" s="56">
        <f>H148+H147</f>
        <v>1492.3000000000002</v>
      </c>
      <c r="I146" s="56">
        <f t="shared" si="11"/>
        <v>100</v>
      </c>
      <c r="J146" s="49"/>
      <c r="K146" s="48">
        <f t="shared" si="10"/>
        <v>100</v>
      </c>
    </row>
    <row r="147" spans="1:11" ht="24" x14ac:dyDescent="0.2">
      <c r="A147" s="3" t="s">
        <v>41</v>
      </c>
      <c r="B147" s="2" t="s">
        <v>197</v>
      </c>
      <c r="C147" s="2" t="s">
        <v>48</v>
      </c>
      <c r="D147" s="2" t="s">
        <v>53</v>
      </c>
      <c r="E147" s="2" t="s">
        <v>343</v>
      </c>
      <c r="F147" s="2" t="s">
        <v>45</v>
      </c>
      <c r="G147" s="56">
        <v>4.9693500000000004</v>
      </c>
      <c r="H147" s="56">
        <v>4.9693500000000004</v>
      </c>
      <c r="I147" s="56">
        <f t="shared" si="11"/>
        <v>100</v>
      </c>
      <c r="J147" s="49">
        <f>4.96935</f>
        <v>4.9693500000000004</v>
      </c>
      <c r="K147" s="48">
        <f>J147-I147</f>
        <v>-95.030649999999994</v>
      </c>
    </row>
    <row r="148" spans="1:11" ht="12.75" x14ac:dyDescent="0.2">
      <c r="A148" s="3" t="s">
        <v>39</v>
      </c>
      <c r="B148" s="2" t="s">
        <v>197</v>
      </c>
      <c r="C148" s="2" t="s">
        <v>48</v>
      </c>
      <c r="D148" s="2" t="s">
        <v>53</v>
      </c>
      <c r="E148" s="2" t="s">
        <v>343</v>
      </c>
      <c r="F148" s="2" t="s">
        <v>37</v>
      </c>
      <c r="G148" s="56">
        <v>1487.3306500000001</v>
      </c>
      <c r="H148" s="56">
        <v>1487.3306500000001</v>
      </c>
      <c r="I148" s="56">
        <f t="shared" si="11"/>
        <v>100</v>
      </c>
      <c r="J148" s="49">
        <v>1487.3306500000001</v>
      </c>
      <c r="K148" s="48">
        <f>J148-I148</f>
        <v>1387.3306500000001</v>
      </c>
    </row>
    <row r="149" spans="1:11" ht="24" x14ac:dyDescent="0.2">
      <c r="A149" s="38" t="s">
        <v>485</v>
      </c>
      <c r="B149" s="4" t="s">
        <v>195</v>
      </c>
      <c r="C149" s="4"/>
      <c r="D149" s="4"/>
      <c r="E149" s="4"/>
      <c r="F149" s="2"/>
      <c r="G149" s="70">
        <f>G150+G161+G168</f>
        <v>51624.69887</v>
      </c>
      <c r="H149" s="70">
        <f>H150+H161+H168</f>
        <v>51521.590579999996</v>
      </c>
      <c r="I149" s="70">
        <f t="shared" si="11"/>
        <v>99.800273333778378</v>
      </c>
      <c r="J149" s="49">
        <v>51521.590579999996</v>
      </c>
      <c r="K149" s="48">
        <f>H149-J149</f>
        <v>0</v>
      </c>
    </row>
    <row r="150" spans="1:11" ht="12.75" x14ac:dyDescent="0.2">
      <c r="A150" s="3" t="s">
        <v>196</v>
      </c>
      <c r="B150" s="2" t="s">
        <v>195</v>
      </c>
      <c r="C150" s="2" t="s">
        <v>13</v>
      </c>
      <c r="D150" s="2"/>
      <c r="E150" s="2"/>
      <c r="F150" s="2"/>
      <c r="G150" s="56">
        <f>G151+G160</f>
        <v>6223.3021000000008</v>
      </c>
      <c r="H150" s="56">
        <f>H151+H160</f>
        <v>6120.1938099999998</v>
      </c>
      <c r="I150" s="56">
        <f t="shared" si="11"/>
        <v>98.343190024472676</v>
      </c>
      <c r="J150" s="49"/>
      <c r="K150" s="48">
        <f t="shared" si="10"/>
        <v>98.343190024472676</v>
      </c>
    </row>
    <row r="151" spans="1:11" ht="24" x14ac:dyDescent="0.2">
      <c r="A151" s="3" t="s">
        <v>123</v>
      </c>
      <c r="B151" s="2" t="s">
        <v>195</v>
      </c>
      <c r="C151" s="2" t="s">
        <v>13</v>
      </c>
      <c r="D151" s="2" t="s">
        <v>47</v>
      </c>
      <c r="E151" s="2"/>
      <c r="F151" s="2"/>
      <c r="G151" s="56">
        <f t="shared" ref="G151:H153" si="13">G152</f>
        <v>6223.3021000000008</v>
      </c>
      <c r="H151" s="56">
        <f t="shared" si="13"/>
        <v>6120.1938099999998</v>
      </c>
      <c r="I151" s="56">
        <f t="shared" si="11"/>
        <v>98.343190024472676</v>
      </c>
      <c r="J151" s="49"/>
      <c r="K151" s="48">
        <f t="shared" si="10"/>
        <v>98.343190024472676</v>
      </c>
    </row>
    <row r="152" spans="1:11" ht="24" x14ac:dyDescent="0.2">
      <c r="A152" s="3" t="s">
        <v>456</v>
      </c>
      <c r="B152" s="2" t="s">
        <v>195</v>
      </c>
      <c r="C152" s="2" t="s">
        <v>13</v>
      </c>
      <c r="D152" s="2" t="s">
        <v>47</v>
      </c>
      <c r="E152" s="2" t="s">
        <v>2</v>
      </c>
      <c r="F152" s="2"/>
      <c r="G152" s="56">
        <f t="shared" si="13"/>
        <v>6223.3021000000008</v>
      </c>
      <c r="H152" s="56">
        <f t="shared" si="13"/>
        <v>6120.1938099999998</v>
      </c>
      <c r="I152" s="56">
        <f t="shared" si="11"/>
        <v>98.343190024472676</v>
      </c>
      <c r="J152" s="49"/>
      <c r="K152" s="48">
        <f t="shared" si="10"/>
        <v>98.343190024472676</v>
      </c>
    </row>
    <row r="153" spans="1:11" ht="48" x14ac:dyDescent="0.2">
      <c r="A153" s="3" t="s">
        <v>283</v>
      </c>
      <c r="B153" s="2" t="s">
        <v>195</v>
      </c>
      <c r="C153" s="2" t="s">
        <v>13</v>
      </c>
      <c r="D153" s="2" t="s">
        <v>47</v>
      </c>
      <c r="E153" s="2" t="s">
        <v>284</v>
      </c>
      <c r="F153" s="2"/>
      <c r="G153" s="56">
        <f t="shared" si="13"/>
        <v>6223.3021000000008</v>
      </c>
      <c r="H153" s="56">
        <f t="shared" si="13"/>
        <v>6120.1938099999998</v>
      </c>
      <c r="I153" s="56">
        <f t="shared" si="11"/>
        <v>98.343190024472676</v>
      </c>
      <c r="J153" s="49"/>
      <c r="K153" s="48">
        <f t="shared" si="10"/>
        <v>98.343190024472676</v>
      </c>
    </row>
    <row r="154" spans="1:11" ht="24" x14ac:dyDescent="0.2">
      <c r="A154" s="3" t="s">
        <v>465</v>
      </c>
      <c r="B154" s="2" t="s">
        <v>195</v>
      </c>
      <c r="C154" s="2" t="s">
        <v>13</v>
      </c>
      <c r="D154" s="2" t="s">
        <v>47</v>
      </c>
      <c r="E154" s="2" t="s">
        <v>216</v>
      </c>
      <c r="F154" s="2"/>
      <c r="G154" s="56">
        <f>G155+G157</f>
        <v>6223.3021000000008</v>
      </c>
      <c r="H154" s="56">
        <f>H155+H157</f>
        <v>6120.1938099999998</v>
      </c>
      <c r="I154" s="56">
        <f t="shared" si="11"/>
        <v>98.343190024472676</v>
      </c>
      <c r="J154" s="49"/>
      <c r="K154" s="48">
        <f t="shared" si="10"/>
        <v>98.343190024472676</v>
      </c>
    </row>
    <row r="155" spans="1:11" ht="24" x14ac:dyDescent="0.2">
      <c r="A155" s="3" t="s">
        <v>464</v>
      </c>
      <c r="B155" s="2" t="s">
        <v>195</v>
      </c>
      <c r="C155" s="2" t="s">
        <v>13</v>
      </c>
      <c r="D155" s="2" t="s">
        <v>47</v>
      </c>
      <c r="E155" s="2" t="s">
        <v>121</v>
      </c>
      <c r="F155" s="2"/>
      <c r="G155" s="56">
        <f>G156</f>
        <v>5609.6329800000003</v>
      </c>
      <c r="H155" s="56">
        <f>H156</f>
        <v>5507.5679099999998</v>
      </c>
      <c r="I155" s="56">
        <f t="shared" si="11"/>
        <v>98.180539255172434</v>
      </c>
      <c r="J155" s="49"/>
      <c r="K155" s="48">
        <f t="shared" si="10"/>
        <v>98.180539255172434</v>
      </c>
    </row>
    <row r="156" spans="1:11" ht="48" x14ac:dyDescent="0.2">
      <c r="A156" s="3" t="s">
        <v>33</v>
      </c>
      <c r="B156" s="2" t="s">
        <v>195</v>
      </c>
      <c r="C156" s="2" t="s">
        <v>13</v>
      </c>
      <c r="D156" s="2" t="s">
        <v>47</v>
      </c>
      <c r="E156" s="2" t="s">
        <v>121</v>
      </c>
      <c r="F156" s="2" t="s">
        <v>30</v>
      </c>
      <c r="G156" s="56">
        <v>5609.6329800000003</v>
      </c>
      <c r="H156" s="56">
        <f>4243.42731+1264.1406</f>
        <v>5507.5679099999998</v>
      </c>
      <c r="I156" s="56">
        <f t="shared" si="11"/>
        <v>98.180539255172434</v>
      </c>
      <c r="J156" s="49">
        <f>4445.69994+1170.63304</f>
        <v>5616.3329800000001</v>
      </c>
      <c r="K156" s="48">
        <f>J156-I156</f>
        <v>5518.1524407448278</v>
      </c>
    </row>
    <row r="157" spans="1:11" ht="24" x14ac:dyDescent="0.2">
      <c r="A157" s="3" t="s">
        <v>466</v>
      </c>
      <c r="B157" s="2" t="s">
        <v>195</v>
      </c>
      <c r="C157" s="2" t="s">
        <v>13</v>
      </c>
      <c r="D157" s="2" t="s">
        <v>47</v>
      </c>
      <c r="E157" s="2" t="s">
        <v>214</v>
      </c>
      <c r="F157" s="2"/>
      <c r="G157" s="56">
        <f>G158+G159</f>
        <v>613.66912000000002</v>
      </c>
      <c r="H157" s="56">
        <f>H158+H159</f>
        <v>612.6259</v>
      </c>
      <c r="I157" s="56">
        <f t="shared" si="11"/>
        <v>99.830002852351441</v>
      </c>
      <c r="J157" s="49"/>
      <c r="K157" s="48">
        <f t="shared" si="10"/>
        <v>99.830002852351441</v>
      </c>
    </row>
    <row r="158" spans="1:11" ht="24" x14ac:dyDescent="0.2">
      <c r="A158" s="3" t="s">
        <v>41</v>
      </c>
      <c r="B158" s="2" t="s">
        <v>195</v>
      </c>
      <c r="C158" s="2" t="s">
        <v>13</v>
      </c>
      <c r="D158" s="2" t="s">
        <v>47</v>
      </c>
      <c r="E158" s="2" t="s">
        <v>214</v>
      </c>
      <c r="F158" s="2" t="s">
        <v>45</v>
      </c>
      <c r="G158" s="56">
        <v>613.16912000000002</v>
      </c>
      <c r="H158" s="56">
        <v>612.6259</v>
      </c>
      <c r="I158" s="56">
        <f t="shared" si="11"/>
        <v>99.911407802141099</v>
      </c>
      <c r="J158" s="49">
        <f>606.46912</f>
        <v>606.46911999999998</v>
      </c>
      <c r="K158" s="48">
        <f>J158-I158</f>
        <v>506.5577121978589</v>
      </c>
    </row>
    <row r="159" spans="1:11" ht="15.75" customHeight="1" x14ac:dyDescent="0.2">
      <c r="A159" s="6" t="s">
        <v>65</v>
      </c>
      <c r="B159" s="2" t="s">
        <v>195</v>
      </c>
      <c r="C159" s="2" t="s">
        <v>13</v>
      </c>
      <c r="D159" s="2" t="s">
        <v>47</v>
      </c>
      <c r="E159" s="2" t="s">
        <v>214</v>
      </c>
      <c r="F159" s="2" t="s">
        <v>71</v>
      </c>
      <c r="G159" s="56">
        <v>0.5</v>
      </c>
      <c r="H159" s="56">
        <v>0</v>
      </c>
      <c r="I159" s="56">
        <f t="shared" si="11"/>
        <v>0</v>
      </c>
      <c r="J159" s="49">
        <v>0.5</v>
      </c>
      <c r="K159" s="48">
        <f>J159-I159</f>
        <v>0.5</v>
      </c>
    </row>
    <row r="160" spans="1:11" ht="12.75" x14ac:dyDescent="0.2">
      <c r="A160" s="3" t="s">
        <v>115</v>
      </c>
      <c r="B160" s="2" t="s">
        <v>195</v>
      </c>
      <c r="C160" s="2" t="s">
        <v>13</v>
      </c>
      <c r="D160" s="2" t="s">
        <v>32</v>
      </c>
      <c r="E160" s="2"/>
      <c r="F160" s="2"/>
      <c r="G160" s="56"/>
      <c r="H160" s="56"/>
      <c r="I160" s="56" t="e">
        <f t="shared" si="11"/>
        <v>#DIV/0!</v>
      </c>
      <c r="J160" s="49"/>
      <c r="K160" s="48" t="e">
        <f t="shared" si="10"/>
        <v>#DIV/0!</v>
      </c>
    </row>
    <row r="161" spans="1:11" ht="12.75" x14ac:dyDescent="0.2">
      <c r="A161" s="3" t="s">
        <v>151</v>
      </c>
      <c r="B161" s="2" t="s">
        <v>195</v>
      </c>
      <c r="C161" s="2" t="s">
        <v>21</v>
      </c>
      <c r="D161" s="2"/>
      <c r="E161" s="2"/>
      <c r="F161" s="2"/>
      <c r="G161" s="56">
        <f t="shared" ref="G161:H166" si="14">G162</f>
        <v>0.63300000000000001</v>
      </c>
      <c r="H161" s="56">
        <f t="shared" si="14"/>
        <v>0.63300000000000001</v>
      </c>
      <c r="I161" s="56">
        <f t="shared" si="11"/>
        <v>100</v>
      </c>
      <c r="J161" s="49"/>
      <c r="K161" s="48">
        <f t="shared" ref="K161:K251" si="15">I161-J161</f>
        <v>100</v>
      </c>
    </row>
    <row r="162" spans="1:11" ht="24" x14ac:dyDescent="0.2">
      <c r="A162" s="3" t="s">
        <v>22</v>
      </c>
      <c r="B162" s="2" t="s">
        <v>195</v>
      </c>
      <c r="C162" s="2" t="s">
        <v>21</v>
      </c>
      <c r="D162" s="2" t="s">
        <v>13</v>
      </c>
      <c r="E162" s="2"/>
      <c r="F162" s="2"/>
      <c r="G162" s="56">
        <f>G164</f>
        <v>0.63300000000000001</v>
      </c>
      <c r="H162" s="56">
        <f>H164</f>
        <v>0.63300000000000001</v>
      </c>
      <c r="I162" s="56">
        <f t="shared" si="11"/>
        <v>100</v>
      </c>
      <c r="J162" s="49"/>
      <c r="K162" s="48">
        <f t="shared" si="15"/>
        <v>100</v>
      </c>
    </row>
    <row r="163" spans="1:11" ht="24" x14ac:dyDescent="0.2">
      <c r="A163" s="3" t="s">
        <v>456</v>
      </c>
      <c r="B163" s="2" t="s">
        <v>195</v>
      </c>
      <c r="C163" s="2" t="s">
        <v>21</v>
      </c>
      <c r="D163" s="2" t="s">
        <v>13</v>
      </c>
      <c r="E163" s="2" t="s">
        <v>2</v>
      </c>
      <c r="F163" s="2"/>
      <c r="G163" s="56">
        <f>G164</f>
        <v>0.63300000000000001</v>
      </c>
      <c r="H163" s="56">
        <f>H164</f>
        <v>0.63300000000000001</v>
      </c>
      <c r="I163" s="56">
        <f t="shared" si="11"/>
        <v>100</v>
      </c>
      <c r="J163" s="49"/>
      <c r="K163" s="48">
        <f t="shared" si="15"/>
        <v>100</v>
      </c>
    </row>
    <row r="164" spans="1:11" ht="60" x14ac:dyDescent="0.2">
      <c r="A164" s="3" t="s">
        <v>286</v>
      </c>
      <c r="B164" s="2" t="s">
        <v>195</v>
      </c>
      <c r="C164" s="2">
        <v>13</v>
      </c>
      <c r="D164" s="2" t="s">
        <v>13</v>
      </c>
      <c r="E164" s="2" t="s">
        <v>11</v>
      </c>
      <c r="F164" s="2"/>
      <c r="G164" s="245">
        <f t="shared" si="14"/>
        <v>0.63300000000000001</v>
      </c>
      <c r="H164" s="245">
        <f t="shared" si="14"/>
        <v>0.63300000000000001</v>
      </c>
      <c r="I164" s="56">
        <f t="shared" si="11"/>
        <v>100</v>
      </c>
      <c r="J164" s="49"/>
      <c r="K164" s="48">
        <f t="shared" si="15"/>
        <v>100</v>
      </c>
    </row>
    <row r="165" spans="1:11" ht="36" x14ac:dyDescent="0.2">
      <c r="A165" s="3" t="s">
        <v>10</v>
      </c>
      <c r="B165" s="2" t="s">
        <v>195</v>
      </c>
      <c r="C165" s="2">
        <v>13</v>
      </c>
      <c r="D165" s="2" t="s">
        <v>13</v>
      </c>
      <c r="E165" s="2" t="s">
        <v>9</v>
      </c>
      <c r="F165" s="2"/>
      <c r="G165" s="245">
        <f t="shared" si="14"/>
        <v>0.63300000000000001</v>
      </c>
      <c r="H165" s="245">
        <f t="shared" si="14"/>
        <v>0.63300000000000001</v>
      </c>
      <c r="I165" s="56">
        <f t="shared" si="11"/>
        <v>100</v>
      </c>
      <c r="J165" s="49"/>
      <c r="K165" s="48">
        <f t="shared" si="15"/>
        <v>100</v>
      </c>
    </row>
    <row r="166" spans="1:11" ht="12.75" x14ac:dyDescent="0.2">
      <c r="A166" s="3" t="s">
        <v>287</v>
      </c>
      <c r="B166" s="2" t="s">
        <v>195</v>
      </c>
      <c r="C166" s="2">
        <v>13</v>
      </c>
      <c r="D166" s="2" t="s">
        <v>13</v>
      </c>
      <c r="E166" s="2" t="s">
        <v>20</v>
      </c>
      <c r="F166" s="2"/>
      <c r="G166" s="245">
        <f t="shared" si="14"/>
        <v>0.63300000000000001</v>
      </c>
      <c r="H166" s="245">
        <f t="shared" si="14"/>
        <v>0.63300000000000001</v>
      </c>
      <c r="I166" s="56">
        <f t="shared" si="11"/>
        <v>100</v>
      </c>
      <c r="J166" s="49"/>
      <c r="K166" s="48">
        <f t="shared" si="15"/>
        <v>100</v>
      </c>
    </row>
    <row r="167" spans="1:11" ht="12.75" x14ac:dyDescent="0.2">
      <c r="A167" s="3" t="s">
        <v>19</v>
      </c>
      <c r="B167" s="2" t="s">
        <v>195</v>
      </c>
      <c r="C167" s="2">
        <v>13</v>
      </c>
      <c r="D167" s="2" t="s">
        <v>13</v>
      </c>
      <c r="E167" s="2" t="s">
        <v>20</v>
      </c>
      <c r="F167" s="2" t="s">
        <v>18</v>
      </c>
      <c r="G167" s="245">
        <v>0.63300000000000001</v>
      </c>
      <c r="H167" s="245">
        <v>0.63300000000000001</v>
      </c>
      <c r="I167" s="56">
        <f t="shared" si="11"/>
        <v>100</v>
      </c>
      <c r="J167" s="49">
        <v>0.63300000000000001</v>
      </c>
      <c r="K167" s="48">
        <f>J167-I167</f>
        <v>-99.367000000000004</v>
      </c>
    </row>
    <row r="168" spans="1:11" ht="16.5" customHeight="1" x14ac:dyDescent="0.2">
      <c r="A168" s="3" t="s">
        <v>8</v>
      </c>
      <c r="B168" s="2" t="s">
        <v>195</v>
      </c>
      <c r="C168" s="2"/>
      <c r="D168" s="2"/>
      <c r="E168" s="2"/>
      <c r="F168" s="2"/>
      <c r="G168" s="56">
        <f>G210+G188+G181+G169+G203</f>
        <v>45400.763769999998</v>
      </c>
      <c r="H168" s="56">
        <f>H210+H188+H181+H169+H203</f>
        <v>45400.763769999998</v>
      </c>
      <c r="I168" s="56">
        <f t="shared" si="11"/>
        <v>100</v>
      </c>
      <c r="J168" s="49"/>
      <c r="K168" s="48">
        <f t="shared" si="15"/>
        <v>100</v>
      </c>
    </row>
    <row r="169" spans="1:11" ht="16.5" customHeight="1" x14ac:dyDescent="0.2">
      <c r="A169" s="3" t="s">
        <v>99</v>
      </c>
      <c r="B169" s="2" t="s">
        <v>195</v>
      </c>
      <c r="C169" s="2" t="s">
        <v>53</v>
      </c>
      <c r="D169" s="2"/>
      <c r="E169" s="2"/>
      <c r="F169" s="2"/>
      <c r="G169" s="56">
        <f>G170+G175</f>
        <v>745.10203999999999</v>
      </c>
      <c r="H169" s="56">
        <f>H170+H175</f>
        <v>745.10203999999999</v>
      </c>
      <c r="I169" s="56">
        <f t="shared" si="11"/>
        <v>100</v>
      </c>
      <c r="J169" s="49"/>
      <c r="K169" s="48">
        <f t="shared" si="15"/>
        <v>100</v>
      </c>
    </row>
    <row r="170" spans="1:11" ht="16.5" customHeight="1" x14ac:dyDescent="0.2">
      <c r="A170" s="6" t="s">
        <v>207</v>
      </c>
      <c r="B170" s="2" t="s">
        <v>195</v>
      </c>
      <c r="C170" s="2" t="s">
        <v>53</v>
      </c>
      <c r="D170" s="2" t="s">
        <v>60</v>
      </c>
      <c r="E170" s="2" t="s">
        <v>1</v>
      </c>
      <c r="F170" s="2"/>
      <c r="G170" s="242">
        <f t="shared" ref="G170:H173" si="16">G171</f>
        <v>505.10203999999999</v>
      </c>
      <c r="H170" s="242">
        <f t="shared" si="16"/>
        <v>505.10203999999999</v>
      </c>
      <c r="I170" s="56">
        <f t="shared" si="11"/>
        <v>100</v>
      </c>
      <c r="J170" s="49"/>
      <c r="K170" s="48">
        <f t="shared" si="15"/>
        <v>100</v>
      </c>
    </row>
    <row r="171" spans="1:11" ht="25.5" customHeight="1" x14ac:dyDescent="0.25">
      <c r="A171" s="3" t="s">
        <v>298</v>
      </c>
      <c r="B171" s="2" t="s">
        <v>195</v>
      </c>
      <c r="C171" s="2" t="s">
        <v>53</v>
      </c>
      <c r="D171" s="2" t="s">
        <v>60</v>
      </c>
      <c r="E171" s="2" t="s">
        <v>299</v>
      </c>
      <c r="F171" s="2"/>
      <c r="G171" s="247">
        <f t="shared" si="16"/>
        <v>505.10203999999999</v>
      </c>
      <c r="H171" s="247">
        <f t="shared" si="16"/>
        <v>505.10203999999999</v>
      </c>
      <c r="I171" s="56">
        <f t="shared" si="11"/>
        <v>100</v>
      </c>
      <c r="J171" s="49"/>
      <c r="K171" s="48">
        <f t="shared" si="15"/>
        <v>100</v>
      </c>
    </row>
    <row r="172" spans="1:11" ht="16.5" customHeight="1" x14ac:dyDescent="0.25">
      <c r="A172" s="3" t="s">
        <v>362</v>
      </c>
      <c r="B172" s="2" t="s">
        <v>195</v>
      </c>
      <c r="C172" s="2" t="s">
        <v>53</v>
      </c>
      <c r="D172" s="2" t="s">
        <v>60</v>
      </c>
      <c r="E172" s="2" t="s">
        <v>300</v>
      </c>
      <c r="F172" s="2"/>
      <c r="G172" s="247">
        <f t="shared" si="16"/>
        <v>505.10203999999999</v>
      </c>
      <c r="H172" s="247">
        <f t="shared" si="16"/>
        <v>505.10203999999999</v>
      </c>
      <c r="I172" s="56">
        <f t="shared" si="11"/>
        <v>100</v>
      </c>
      <c r="J172" s="49"/>
      <c r="K172" s="48">
        <f t="shared" si="15"/>
        <v>100</v>
      </c>
    </row>
    <row r="173" spans="1:11" ht="22.5" customHeight="1" x14ac:dyDescent="0.2">
      <c r="A173" s="3" t="s">
        <v>546</v>
      </c>
      <c r="B173" s="2" t="s">
        <v>195</v>
      </c>
      <c r="C173" s="2" t="s">
        <v>53</v>
      </c>
      <c r="D173" s="2" t="s">
        <v>60</v>
      </c>
      <c r="E173" s="2" t="s">
        <v>547</v>
      </c>
      <c r="F173" s="2"/>
      <c r="G173" s="56">
        <f t="shared" si="16"/>
        <v>505.10203999999999</v>
      </c>
      <c r="H173" s="56">
        <f t="shared" si="16"/>
        <v>505.10203999999999</v>
      </c>
      <c r="I173" s="56">
        <f t="shared" si="11"/>
        <v>100</v>
      </c>
      <c r="J173" s="49"/>
      <c r="K173" s="48">
        <f t="shared" si="15"/>
        <v>100</v>
      </c>
    </row>
    <row r="174" spans="1:11" ht="16.5" customHeight="1" x14ac:dyDescent="0.2">
      <c r="A174" s="3" t="s">
        <v>8</v>
      </c>
      <c r="B174" s="2" t="s">
        <v>195</v>
      </c>
      <c r="C174" s="2" t="s">
        <v>53</v>
      </c>
      <c r="D174" s="2" t="s">
        <v>60</v>
      </c>
      <c r="E174" s="2" t="s">
        <v>547</v>
      </c>
      <c r="F174" s="2" t="s">
        <v>5</v>
      </c>
      <c r="G174" s="56">
        <v>505.10203999999999</v>
      </c>
      <c r="H174" s="56">
        <v>505.10203999999999</v>
      </c>
      <c r="I174" s="56">
        <f t="shared" si="11"/>
        <v>100</v>
      </c>
      <c r="J174" s="49">
        <f>505.10204</f>
        <v>505.10203999999999</v>
      </c>
      <c r="K174" s="48">
        <f t="shared" si="15"/>
        <v>-405.10203999999999</v>
      </c>
    </row>
    <row r="175" spans="1:11" ht="16.5" customHeight="1" x14ac:dyDescent="0.2">
      <c r="A175" s="6" t="s">
        <v>92</v>
      </c>
      <c r="B175" s="2" t="s">
        <v>195</v>
      </c>
      <c r="C175" s="2" t="s">
        <v>53</v>
      </c>
      <c r="D175" s="2" t="s">
        <v>25</v>
      </c>
      <c r="E175" s="2"/>
      <c r="F175" s="2"/>
      <c r="G175" s="56">
        <f t="shared" ref="G175:H179" si="17">G176</f>
        <v>240</v>
      </c>
      <c r="H175" s="56">
        <f t="shared" si="17"/>
        <v>240</v>
      </c>
      <c r="I175" s="56">
        <f t="shared" si="11"/>
        <v>100</v>
      </c>
      <c r="J175" s="49"/>
      <c r="K175" s="48">
        <f t="shared" si="15"/>
        <v>100</v>
      </c>
    </row>
    <row r="176" spans="1:11" ht="36" x14ac:dyDescent="0.2">
      <c r="A176" s="3" t="s">
        <v>432</v>
      </c>
      <c r="B176" s="2" t="s">
        <v>195</v>
      </c>
      <c r="C176" s="2" t="s">
        <v>53</v>
      </c>
      <c r="D176" s="2" t="s">
        <v>25</v>
      </c>
      <c r="E176" s="2" t="s">
        <v>311</v>
      </c>
      <c r="F176" s="2"/>
      <c r="G176" s="56">
        <f t="shared" si="17"/>
        <v>240</v>
      </c>
      <c r="H176" s="56">
        <f t="shared" si="17"/>
        <v>240</v>
      </c>
      <c r="I176" s="56">
        <f t="shared" si="11"/>
        <v>100</v>
      </c>
      <c r="J176" s="49"/>
      <c r="K176" s="48">
        <f t="shared" si="15"/>
        <v>100</v>
      </c>
    </row>
    <row r="177" spans="1:11" ht="60" x14ac:dyDescent="0.2">
      <c r="A177" s="3" t="s">
        <v>458</v>
      </c>
      <c r="B177" s="2" t="s">
        <v>195</v>
      </c>
      <c r="C177" s="2" t="s">
        <v>53</v>
      </c>
      <c r="D177" s="2" t="s">
        <v>25</v>
      </c>
      <c r="E177" s="2" t="s">
        <v>306</v>
      </c>
      <c r="F177" s="2"/>
      <c r="G177" s="56">
        <f t="shared" si="17"/>
        <v>240</v>
      </c>
      <c r="H177" s="56">
        <f t="shared" si="17"/>
        <v>240</v>
      </c>
      <c r="I177" s="56">
        <f t="shared" si="11"/>
        <v>100</v>
      </c>
      <c r="J177" s="49"/>
      <c r="K177" s="48">
        <f t="shared" si="15"/>
        <v>100</v>
      </c>
    </row>
    <row r="178" spans="1:11" ht="24" x14ac:dyDescent="0.2">
      <c r="A178" s="3" t="s">
        <v>89</v>
      </c>
      <c r="B178" s="2" t="s">
        <v>195</v>
      </c>
      <c r="C178" s="2" t="s">
        <v>53</v>
      </c>
      <c r="D178" s="2" t="s">
        <v>25</v>
      </c>
      <c r="E178" s="2" t="s">
        <v>307</v>
      </c>
      <c r="F178" s="2"/>
      <c r="G178" s="56">
        <f t="shared" si="17"/>
        <v>240</v>
      </c>
      <c r="H178" s="56">
        <f t="shared" si="17"/>
        <v>240</v>
      </c>
      <c r="I178" s="56">
        <f t="shared" si="11"/>
        <v>100</v>
      </c>
      <c r="J178" s="49"/>
      <c r="K178" s="48">
        <f t="shared" si="15"/>
        <v>100</v>
      </c>
    </row>
    <row r="179" spans="1:11" ht="36" x14ac:dyDescent="0.2">
      <c r="A179" s="3" t="s">
        <v>461</v>
      </c>
      <c r="B179" s="2" t="s">
        <v>195</v>
      </c>
      <c r="C179" s="2" t="s">
        <v>53</v>
      </c>
      <c r="D179" s="2" t="s">
        <v>25</v>
      </c>
      <c r="E179" s="2" t="s">
        <v>308</v>
      </c>
      <c r="F179" s="2"/>
      <c r="G179" s="56">
        <f t="shared" si="17"/>
        <v>240</v>
      </c>
      <c r="H179" s="56">
        <f t="shared" si="17"/>
        <v>240</v>
      </c>
      <c r="I179" s="56">
        <f t="shared" si="11"/>
        <v>100</v>
      </c>
      <c r="J179" s="49"/>
      <c r="K179" s="48">
        <f t="shared" si="15"/>
        <v>100</v>
      </c>
    </row>
    <row r="180" spans="1:11" ht="16.5" customHeight="1" x14ac:dyDescent="0.2">
      <c r="A180" s="3" t="s">
        <v>8</v>
      </c>
      <c r="B180" s="2" t="s">
        <v>195</v>
      </c>
      <c r="C180" s="2" t="s">
        <v>53</v>
      </c>
      <c r="D180" s="2" t="s">
        <v>25</v>
      </c>
      <c r="E180" s="2" t="s">
        <v>308</v>
      </c>
      <c r="F180" s="2" t="s">
        <v>5</v>
      </c>
      <c r="G180" s="56">
        <v>240</v>
      </c>
      <c r="H180" s="56">
        <v>240</v>
      </c>
      <c r="I180" s="56">
        <f t="shared" si="11"/>
        <v>100</v>
      </c>
      <c r="J180" s="49">
        <v>240</v>
      </c>
      <c r="K180" s="48">
        <f t="shared" si="15"/>
        <v>-140</v>
      </c>
    </row>
    <row r="181" spans="1:11" ht="16.5" customHeight="1" x14ac:dyDescent="0.2">
      <c r="A181" s="3" t="s">
        <v>499</v>
      </c>
      <c r="B181" s="2" t="s">
        <v>195</v>
      </c>
      <c r="C181" s="2" t="s">
        <v>31</v>
      </c>
      <c r="D181" s="2"/>
      <c r="E181" s="2"/>
      <c r="F181" s="2"/>
      <c r="G181" s="56">
        <f t="shared" ref="G181:H183" si="18">G182</f>
        <v>290.41034999999999</v>
      </c>
      <c r="H181" s="56">
        <f t="shared" si="18"/>
        <v>290.41034999999999</v>
      </c>
      <c r="I181" s="56">
        <f t="shared" si="11"/>
        <v>100</v>
      </c>
      <c r="J181" s="49"/>
      <c r="K181" s="48">
        <f t="shared" si="15"/>
        <v>100</v>
      </c>
    </row>
    <row r="182" spans="1:11" ht="16.5" customHeight="1" x14ac:dyDescent="0.2">
      <c r="A182" s="3" t="s">
        <v>172</v>
      </c>
      <c r="B182" s="2" t="s">
        <v>195</v>
      </c>
      <c r="C182" s="2" t="s">
        <v>31</v>
      </c>
      <c r="D182" s="2" t="s">
        <v>6</v>
      </c>
      <c r="E182" s="2"/>
      <c r="F182" s="2"/>
      <c r="G182" s="56">
        <f t="shared" si="18"/>
        <v>290.41034999999999</v>
      </c>
      <c r="H182" s="56">
        <f t="shared" si="18"/>
        <v>290.41034999999999</v>
      </c>
      <c r="I182" s="56">
        <f t="shared" ref="I182:I245" si="19">H182/G182*100</f>
        <v>100</v>
      </c>
      <c r="J182" s="49"/>
      <c r="K182" s="48">
        <f t="shared" si="15"/>
        <v>100</v>
      </c>
    </row>
    <row r="183" spans="1:11" ht="35.25" customHeight="1" x14ac:dyDescent="0.2">
      <c r="A183" s="3" t="s">
        <v>207</v>
      </c>
      <c r="B183" s="2" t="s">
        <v>195</v>
      </c>
      <c r="C183" s="2" t="s">
        <v>31</v>
      </c>
      <c r="D183" s="2" t="s">
        <v>6</v>
      </c>
      <c r="E183" s="2" t="s">
        <v>1</v>
      </c>
      <c r="F183" s="2"/>
      <c r="G183" s="242">
        <f t="shared" si="18"/>
        <v>290.41034999999999</v>
      </c>
      <c r="H183" s="242">
        <f t="shared" si="18"/>
        <v>290.41034999999999</v>
      </c>
      <c r="I183" s="56">
        <f t="shared" si="19"/>
        <v>100</v>
      </c>
      <c r="J183" s="49"/>
      <c r="K183" s="48">
        <f t="shared" si="15"/>
        <v>100</v>
      </c>
    </row>
    <row r="184" spans="1:11" ht="16.5" customHeight="1" x14ac:dyDescent="0.25">
      <c r="A184" s="3" t="s">
        <v>314</v>
      </c>
      <c r="B184" s="2" t="s">
        <v>195</v>
      </c>
      <c r="C184" s="2" t="s">
        <v>31</v>
      </c>
      <c r="D184" s="2" t="s">
        <v>6</v>
      </c>
      <c r="E184" s="2" t="s">
        <v>81</v>
      </c>
      <c r="F184" s="2"/>
      <c r="G184" s="248">
        <f t="shared" ref="G184:H186" si="20">G185</f>
        <v>290.41034999999999</v>
      </c>
      <c r="H184" s="248">
        <f t="shared" si="20"/>
        <v>290.41034999999999</v>
      </c>
      <c r="I184" s="56">
        <f t="shared" si="19"/>
        <v>100</v>
      </c>
      <c r="J184" s="49"/>
      <c r="K184" s="48">
        <f t="shared" si="15"/>
        <v>100</v>
      </c>
    </row>
    <row r="185" spans="1:11" ht="16.5" customHeight="1" x14ac:dyDescent="0.25">
      <c r="A185" s="3" t="s">
        <v>415</v>
      </c>
      <c r="B185" s="2" t="s">
        <v>195</v>
      </c>
      <c r="C185" s="2" t="s">
        <v>31</v>
      </c>
      <c r="D185" s="2" t="s">
        <v>6</v>
      </c>
      <c r="E185" s="2" t="s">
        <v>416</v>
      </c>
      <c r="F185" s="2"/>
      <c r="G185" s="248">
        <f t="shared" si="20"/>
        <v>290.41034999999999</v>
      </c>
      <c r="H185" s="248">
        <f t="shared" si="20"/>
        <v>290.41034999999999</v>
      </c>
      <c r="I185" s="56">
        <f t="shared" si="19"/>
        <v>100</v>
      </c>
      <c r="J185" s="49"/>
      <c r="K185" s="48">
        <f t="shared" si="15"/>
        <v>100</v>
      </c>
    </row>
    <row r="186" spans="1:11" ht="16.5" customHeight="1" x14ac:dyDescent="0.25">
      <c r="A186" s="3" t="s">
        <v>419</v>
      </c>
      <c r="B186" s="2" t="s">
        <v>195</v>
      </c>
      <c r="C186" s="2" t="s">
        <v>31</v>
      </c>
      <c r="D186" s="2" t="s">
        <v>6</v>
      </c>
      <c r="E186" s="2" t="s">
        <v>420</v>
      </c>
      <c r="F186" s="2"/>
      <c r="G186" s="248">
        <f>G187</f>
        <v>290.41034999999999</v>
      </c>
      <c r="H186" s="248">
        <f t="shared" si="20"/>
        <v>290.41034999999999</v>
      </c>
      <c r="I186" s="56">
        <f t="shared" si="19"/>
        <v>100</v>
      </c>
      <c r="J186" s="49"/>
      <c r="K186" s="48">
        <f t="shared" si="15"/>
        <v>100</v>
      </c>
    </row>
    <row r="187" spans="1:11" ht="16.5" customHeight="1" x14ac:dyDescent="0.25">
      <c r="A187" s="3" t="s">
        <v>8</v>
      </c>
      <c r="B187" s="2" t="s">
        <v>195</v>
      </c>
      <c r="C187" s="2" t="s">
        <v>31</v>
      </c>
      <c r="D187" s="2" t="s">
        <v>6</v>
      </c>
      <c r="E187" s="2" t="s">
        <v>420</v>
      </c>
      <c r="F187" s="2" t="s">
        <v>5</v>
      </c>
      <c r="G187" s="72">
        <v>290.41034999999999</v>
      </c>
      <c r="H187" s="248">
        <v>290.41034999999999</v>
      </c>
      <c r="I187" s="56">
        <f t="shared" si="19"/>
        <v>100</v>
      </c>
      <c r="J187" s="49">
        <v>260.41034999999999</v>
      </c>
      <c r="K187" s="48">
        <f t="shared" si="15"/>
        <v>-160.41034999999999</v>
      </c>
    </row>
    <row r="188" spans="1:11" ht="12.75" x14ac:dyDescent="0.2">
      <c r="A188" s="3" t="s">
        <v>69</v>
      </c>
      <c r="B188" s="2" t="s">
        <v>195</v>
      </c>
      <c r="C188" s="2" t="s">
        <v>64</v>
      </c>
      <c r="D188" s="2"/>
      <c r="E188" s="2"/>
      <c r="F188" s="2"/>
      <c r="G188" s="56">
        <f>G189</f>
        <v>1823.6664000000001</v>
      </c>
      <c r="H188" s="56">
        <f>H189</f>
        <v>1823.6664000000001</v>
      </c>
      <c r="I188" s="56">
        <f t="shared" si="19"/>
        <v>100</v>
      </c>
      <c r="J188" s="49"/>
      <c r="K188" s="48">
        <f t="shared" si="15"/>
        <v>100</v>
      </c>
    </row>
    <row r="189" spans="1:11" ht="12.75" x14ac:dyDescent="0.2">
      <c r="A189" s="3" t="s">
        <v>68</v>
      </c>
      <c r="B189" s="2" t="s">
        <v>195</v>
      </c>
      <c r="C189" s="2" t="s">
        <v>64</v>
      </c>
      <c r="D189" s="2" t="s">
        <v>13</v>
      </c>
      <c r="E189" s="2"/>
      <c r="F189" s="2"/>
      <c r="G189" s="56">
        <f>G190+G195+G200</f>
        <v>1823.6664000000001</v>
      </c>
      <c r="H189" s="56">
        <f>H190+H195+H200</f>
        <v>1823.6664000000001</v>
      </c>
      <c r="I189" s="56">
        <f t="shared" si="19"/>
        <v>100</v>
      </c>
      <c r="J189" s="49"/>
      <c r="K189" s="48">
        <f t="shared" si="15"/>
        <v>100</v>
      </c>
    </row>
    <row r="190" spans="1:11" ht="24" x14ac:dyDescent="0.2">
      <c r="A190" s="3" t="s">
        <v>428</v>
      </c>
      <c r="B190" s="2" t="s">
        <v>195</v>
      </c>
      <c r="C190" s="2" t="s">
        <v>64</v>
      </c>
      <c r="D190" s="2" t="s">
        <v>13</v>
      </c>
      <c r="E190" s="2" t="s">
        <v>3</v>
      </c>
      <c r="F190" s="2"/>
      <c r="G190" s="56">
        <f t="shared" ref="G190:H193" si="21">G191</f>
        <v>194.66640000000001</v>
      </c>
      <c r="H190" s="56">
        <f t="shared" si="21"/>
        <v>194.66640000000001</v>
      </c>
      <c r="I190" s="56">
        <f t="shared" si="19"/>
        <v>100</v>
      </c>
      <c r="J190" s="49"/>
      <c r="K190" s="48">
        <f t="shared" si="15"/>
        <v>100</v>
      </c>
    </row>
    <row r="191" spans="1:11" ht="36" x14ac:dyDescent="0.2">
      <c r="A191" s="3" t="s">
        <v>291</v>
      </c>
      <c r="B191" s="2" t="s">
        <v>195</v>
      </c>
      <c r="C191" s="2" t="s">
        <v>64</v>
      </c>
      <c r="D191" s="2" t="s">
        <v>13</v>
      </c>
      <c r="E191" s="2" t="s">
        <v>35</v>
      </c>
      <c r="F191" s="2"/>
      <c r="G191" s="245">
        <f t="shared" si="21"/>
        <v>194.66640000000001</v>
      </c>
      <c r="H191" s="245">
        <f t="shared" si="21"/>
        <v>194.66640000000001</v>
      </c>
      <c r="I191" s="56">
        <f t="shared" si="19"/>
        <v>100</v>
      </c>
      <c r="J191" s="49"/>
      <c r="K191" s="48">
        <f t="shared" si="15"/>
        <v>100</v>
      </c>
    </row>
    <row r="192" spans="1:11" ht="36" x14ac:dyDescent="0.2">
      <c r="A192" s="3" t="s">
        <v>471</v>
      </c>
      <c r="B192" s="2" t="s">
        <v>195</v>
      </c>
      <c r="C192" s="2" t="s">
        <v>64</v>
      </c>
      <c r="D192" s="2" t="s">
        <v>13</v>
      </c>
      <c r="E192" s="2" t="s">
        <v>253</v>
      </c>
      <c r="F192" s="2"/>
      <c r="G192" s="245">
        <f t="shared" si="21"/>
        <v>194.66640000000001</v>
      </c>
      <c r="H192" s="245">
        <f t="shared" si="21"/>
        <v>194.66640000000001</v>
      </c>
      <c r="I192" s="56">
        <f t="shared" si="19"/>
        <v>100</v>
      </c>
      <c r="J192" s="49"/>
      <c r="K192" s="48">
        <f t="shared" si="15"/>
        <v>100</v>
      </c>
    </row>
    <row r="193" spans="1:12" ht="24" x14ac:dyDescent="0.2">
      <c r="A193" s="3" t="s">
        <v>530</v>
      </c>
      <c r="B193" s="2" t="s">
        <v>195</v>
      </c>
      <c r="C193" s="2" t="s">
        <v>64</v>
      </c>
      <c r="D193" s="2" t="s">
        <v>13</v>
      </c>
      <c r="E193" s="2" t="s">
        <v>531</v>
      </c>
      <c r="F193" s="2"/>
      <c r="G193" s="56">
        <f t="shared" si="21"/>
        <v>194.66640000000001</v>
      </c>
      <c r="H193" s="56">
        <f t="shared" si="21"/>
        <v>194.66640000000001</v>
      </c>
      <c r="I193" s="56">
        <f t="shared" si="19"/>
        <v>100</v>
      </c>
      <c r="J193" s="49"/>
      <c r="K193" s="48">
        <f t="shared" si="15"/>
        <v>100</v>
      </c>
    </row>
    <row r="194" spans="1:12" ht="12.75" x14ac:dyDescent="0.2">
      <c r="A194" s="3" t="s">
        <v>8</v>
      </c>
      <c r="B194" s="2" t="s">
        <v>195</v>
      </c>
      <c r="C194" s="2" t="s">
        <v>64</v>
      </c>
      <c r="D194" s="2" t="s">
        <v>13</v>
      </c>
      <c r="E194" s="2" t="s">
        <v>531</v>
      </c>
      <c r="F194" s="2" t="s">
        <v>5</v>
      </c>
      <c r="G194" s="56">
        <v>194.66640000000001</v>
      </c>
      <c r="H194" s="56">
        <v>194.66640000000001</v>
      </c>
      <c r="I194" s="56">
        <f t="shared" si="19"/>
        <v>100</v>
      </c>
      <c r="J194" s="49">
        <v>194.66640000000001</v>
      </c>
      <c r="K194" s="48">
        <f t="shared" si="15"/>
        <v>-94.66640000000001</v>
      </c>
    </row>
    <row r="195" spans="1:12" ht="24" x14ac:dyDescent="0.2">
      <c r="A195" s="3" t="s">
        <v>456</v>
      </c>
      <c r="B195" s="2" t="s">
        <v>195</v>
      </c>
      <c r="C195" s="2" t="s">
        <v>64</v>
      </c>
      <c r="D195" s="2" t="s">
        <v>13</v>
      </c>
      <c r="E195" s="2" t="s">
        <v>2</v>
      </c>
      <c r="F195" s="2"/>
      <c r="G195" s="56">
        <f t="shared" ref="G195:H198" si="22">G196</f>
        <v>1479</v>
      </c>
      <c r="H195" s="56">
        <f t="shared" si="22"/>
        <v>1479</v>
      </c>
      <c r="I195" s="56">
        <f t="shared" si="19"/>
        <v>100</v>
      </c>
      <c r="J195" s="49"/>
      <c r="K195" s="48">
        <f t="shared" si="15"/>
        <v>100</v>
      </c>
    </row>
    <row r="196" spans="1:12" ht="60" x14ac:dyDescent="0.2">
      <c r="A196" s="3" t="s">
        <v>286</v>
      </c>
      <c r="B196" s="2" t="s">
        <v>195</v>
      </c>
      <c r="C196" s="2" t="s">
        <v>64</v>
      </c>
      <c r="D196" s="2" t="s">
        <v>13</v>
      </c>
      <c r="E196" s="2" t="s">
        <v>11</v>
      </c>
      <c r="F196" s="2"/>
      <c r="G196" s="245">
        <f t="shared" si="22"/>
        <v>1479</v>
      </c>
      <c r="H196" s="245">
        <f t="shared" si="22"/>
        <v>1479</v>
      </c>
      <c r="I196" s="56">
        <f t="shared" si="19"/>
        <v>100</v>
      </c>
      <c r="J196" s="49"/>
      <c r="K196" s="48">
        <f t="shared" si="15"/>
        <v>100</v>
      </c>
    </row>
    <row r="197" spans="1:12" ht="36" x14ac:dyDescent="0.2">
      <c r="A197" s="3" t="s">
        <v>10</v>
      </c>
      <c r="B197" s="2" t="s">
        <v>195</v>
      </c>
      <c r="C197" s="2" t="s">
        <v>64</v>
      </c>
      <c r="D197" s="2" t="s">
        <v>13</v>
      </c>
      <c r="E197" s="2" t="s">
        <v>9</v>
      </c>
      <c r="F197" s="2"/>
      <c r="G197" s="245">
        <f t="shared" si="22"/>
        <v>1479</v>
      </c>
      <c r="H197" s="245">
        <f t="shared" si="22"/>
        <v>1479</v>
      </c>
      <c r="I197" s="56">
        <f t="shared" si="19"/>
        <v>100</v>
      </c>
      <c r="J197" s="49"/>
      <c r="K197" s="48">
        <f t="shared" si="15"/>
        <v>100</v>
      </c>
    </row>
    <row r="198" spans="1:12" ht="12.75" x14ac:dyDescent="0.2">
      <c r="A198" s="3" t="s">
        <v>445</v>
      </c>
      <c r="B198" s="2" t="s">
        <v>195</v>
      </c>
      <c r="C198" s="2" t="s">
        <v>64</v>
      </c>
      <c r="D198" s="2" t="s">
        <v>13</v>
      </c>
      <c r="E198" s="2" t="s">
        <v>444</v>
      </c>
      <c r="F198" s="2"/>
      <c r="G198" s="245">
        <f t="shared" si="22"/>
        <v>1479</v>
      </c>
      <c r="H198" s="245">
        <f t="shared" si="22"/>
        <v>1479</v>
      </c>
      <c r="I198" s="56">
        <f t="shared" si="19"/>
        <v>100</v>
      </c>
      <c r="J198" s="49"/>
      <c r="K198" s="48">
        <f t="shared" si="15"/>
        <v>100</v>
      </c>
    </row>
    <row r="199" spans="1:12" ht="12.75" x14ac:dyDescent="0.2">
      <c r="A199" s="3" t="s">
        <v>8</v>
      </c>
      <c r="B199" s="2" t="s">
        <v>195</v>
      </c>
      <c r="C199" s="2" t="s">
        <v>64</v>
      </c>
      <c r="D199" s="2" t="s">
        <v>13</v>
      </c>
      <c r="E199" s="2" t="s">
        <v>444</v>
      </c>
      <c r="F199" s="2" t="s">
        <v>5</v>
      </c>
      <c r="G199" s="245">
        <v>1479</v>
      </c>
      <c r="H199" s="245">
        <v>1479</v>
      </c>
      <c r="I199" s="56">
        <f t="shared" si="19"/>
        <v>100</v>
      </c>
      <c r="J199" s="49">
        <v>1479</v>
      </c>
      <c r="K199" s="48">
        <f>J199-I199</f>
        <v>1379</v>
      </c>
    </row>
    <row r="200" spans="1:12" ht="12.75" x14ac:dyDescent="0.2">
      <c r="A200" s="3" t="s">
        <v>491</v>
      </c>
      <c r="B200" s="2" t="s">
        <v>195</v>
      </c>
      <c r="C200" s="2" t="s">
        <v>64</v>
      </c>
      <c r="D200" s="2" t="s">
        <v>13</v>
      </c>
      <c r="E200" s="2" t="s">
        <v>0</v>
      </c>
      <c r="F200" s="2"/>
      <c r="G200" s="244">
        <f>G201</f>
        <v>150</v>
      </c>
      <c r="H200" s="244">
        <f>H201</f>
        <v>150</v>
      </c>
      <c r="I200" s="56">
        <f t="shared" si="19"/>
        <v>100</v>
      </c>
      <c r="J200" s="49"/>
      <c r="K200" s="48"/>
    </row>
    <row r="201" spans="1:12" ht="12.75" x14ac:dyDescent="0.2">
      <c r="A201" s="3" t="s">
        <v>40</v>
      </c>
      <c r="B201" s="2" t="s">
        <v>195</v>
      </c>
      <c r="C201" s="2" t="s">
        <v>64</v>
      </c>
      <c r="D201" s="2" t="s">
        <v>13</v>
      </c>
      <c r="E201" s="2" t="s">
        <v>38</v>
      </c>
      <c r="F201" s="2"/>
      <c r="G201" s="244">
        <f>G202</f>
        <v>150</v>
      </c>
      <c r="H201" s="244">
        <f>H202</f>
        <v>150</v>
      </c>
      <c r="I201" s="56">
        <f t="shared" si="19"/>
        <v>100</v>
      </c>
      <c r="J201" s="49"/>
      <c r="K201" s="48"/>
    </row>
    <row r="202" spans="1:12" ht="12.75" x14ac:dyDescent="0.2">
      <c r="A202" s="3" t="s">
        <v>8</v>
      </c>
      <c r="B202" s="2" t="s">
        <v>195</v>
      </c>
      <c r="C202" s="2" t="s">
        <v>64</v>
      </c>
      <c r="D202" s="2" t="s">
        <v>13</v>
      </c>
      <c r="E202" s="2" t="s">
        <v>38</v>
      </c>
      <c r="F202" s="2" t="s">
        <v>5</v>
      </c>
      <c r="G202" s="244">
        <v>150</v>
      </c>
      <c r="H202" s="244">
        <v>150</v>
      </c>
      <c r="I202" s="56">
        <f t="shared" si="19"/>
        <v>100</v>
      </c>
      <c r="J202" s="7">
        <v>150</v>
      </c>
      <c r="K202" s="7"/>
      <c r="L202" s="1">
        <f>J202+K202</f>
        <v>150</v>
      </c>
    </row>
    <row r="203" spans="1:12" ht="12.75" x14ac:dyDescent="0.2">
      <c r="A203" s="3" t="s">
        <v>44</v>
      </c>
      <c r="B203" s="2" t="s">
        <v>195</v>
      </c>
      <c r="C203" s="2" t="s">
        <v>32</v>
      </c>
      <c r="D203" s="2"/>
      <c r="E203" s="2"/>
      <c r="F203" s="2"/>
      <c r="G203" s="244">
        <f t="shared" ref="G203:G208" si="23">G204</f>
        <v>100</v>
      </c>
      <c r="H203" s="244">
        <f t="shared" ref="H203:H208" si="24">H204</f>
        <v>100</v>
      </c>
      <c r="I203" s="56">
        <f t="shared" si="19"/>
        <v>100</v>
      </c>
      <c r="J203" s="49"/>
      <c r="K203" s="48"/>
    </row>
    <row r="204" spans="1:12" ht="12.75" x14ac:dyDescent="0.2">
      <c r="A204" s="3" t="s">
        <v>153</v>
      </c>
      <c r="B204" s="2" t="s">
        <v>195</v>
      </c>
      <c r="C204" s="2" t="s">
        <v>32</v>
      </c>
      <c r="D204" s="2" t="s">
        <v>13</v>
      </c>
      <c r="E204" s="2"/>
      <c r="F204" s="2"/>
      <c r="G204" s="244">
        <f t="shared" si="23"/>
        <v>100</v>
      </c>
      <c r="H204" s="244">
        <f t="shared" si="24"/>
        <v>100</v>
      </c>
      <c r="I204" s="56">
        <f t="shared" si="19"/>
        <v>100</v>
      </c>
      <c r="J204" s="49"/>
      <c r="K204" s="48"/>
    </row>
    <row r="205" spans="1:12" ht="24" x14ac:dyDescent="0.2">
      <c r="A205" s="3" t="s">
        <v>456</v>
      </c>
      <c r="B205" s="2" t="s">
        <v>195</v>
      </c>
      <c r="C205" s="2" t="s">
        <v>32</v>
      </c>
      <c r="D205" s="2" t="s">
        <v>13</v>
      </c>
      <c r="E205" s="2" t="s">
        <v>2</v>
      </c>
      <c r="F205" s="2"/>
      <c r="G205" s="56">
        <f t="shared" si="23"/>
        <v>100</v>
      </c>
      <c r="H205" s="56">
        <f t="shared" si="24"/>
        <v>100</v>
      </c>
      <c r="I205" s="56">
        <f t="shared" si="19"/>
        <v>100</v>
      </c>
      <c r="J205" s="49"/>
      <c r="K205" s="48">
        <f>I205-J205</f>
        <v>100</v>
      </c>
    </row>
    <row r="206" spans="1:12" ht="60" x14ac:dyDescent="0.2">
      <c r="A206" s="3" t="s">
        <v>286</v>
      </c>
      <c r="B206" s="2" t="s">
        <v>195</v>
      </c>
      <c r="C206" s="2" t="s">
        <v>32</v>
      </c>
      <c r="D206" s="2" t="s">
        <v>13</v>
      </c>
      <c r="E206" s="2" t="s">
        <v>11</v>
      </c>
      <c r="F206" s="2"/>
      <c r="G206" s="245">
        <f t="shared" si="23"/>
        <v>100</v>
      </c>
      <c r="H206" s="245">
        <f t="shared" si="24"/>
        <v>100</v>
      </c>
      <c r="I206" s="56">
        <f t="shared" si="19"/>
        <v>100</v>
      </c>
      <c r="J206" s="49"/>
      <c r="K206" s="48">
        <f>I206-J206</f>
        <v>100</v>
      </c>
    </row>
    <row r="207" spans="1:12" ht="36" x14ac:dyDescent="0.2">
      <c r="A207" s="3" t="s">
        <v>10</v>
      </c>
      <c r="B207" s="2" t="s">
        <v>195</v>
      </c>
      <c r="C207" s="2" t="s">
        <v>32</v>
      </c>
      <c r="D207" s="2" t="s">
        <v>13</v>
      </c>
      <c r="E207" s="2" t="s">
        <v>9</v>
      </c>
      <c r="F207" s="2"/>
      <c r="G207" s="245">
        <f t="shared" si="23"/>
        <v>100</v>
      </c>
      <c r="H207" s="245">
        <f t="shared" si="24"/>
        <v>100</v>
      </c>
      <c r="I207" s="56">
        <f t="shared" si="19"/>
        <v>100</v>
      </c>
      <c r="J207" s="49"/>
      <c r="K207" s="48">
        <f>I207-J207</f>
        <v>100</v>
      </c>
    </row>
    <row r="208" spans="1:12" ht="24" x14ac:dyDescent="0.2">
      <c r="A208" s="3" t="s">
        <v>500</v>
      </c>
      <c r="B208" s="2" t="s">
        <v>195</v>
      </c>
      <c r="C208" s="2" t="s">
        <v>32</v>
      </c>
      <c r="D208" s="2" t="s">
        <v>13</v>
      </c>
      <c r="E208" s="2" t="s">
        <v>444</v>
      </c>
      <c r="F208" s="2"/>
      <c r="G208" s="245">
        <f t="shared" si="23"/>
        <v>100</v>
      </c>
      <c r="H208" s="245">
        <f t="shared" si="24"/>
        <v>100</v>
      </c>
      <c r="I208" s="56">
        <f t="shared" si="19"/>
        <v>100</v>
      </c>
      <c r="J208" s="49"/>
      <c r="K208" s="48">
        <f>I208-J208</f>
        <v>100</v>
      </c>
    </row>
    <row r="209" spans="1:11" ht="12.75" x14ac:dyDescent="0.2">
      <c r="A209" s="3" t="s">
        <v>8</v>
      </c>
      <c r="B209" s="2" t="s">
        <v>195</v>
      </c>
      <c r="C209" s="2" t="s">
        <v>32</v>
      </c>
      <c r="D209" s="2" t="s">
        <v>13</v>
      </c>
      <c r="E209" s="2" t="s">
        <v>444</v>
      </c>
      <c r="F209" s="2" t="s">
        <v>5</v>
      </c>
      <c r="G209" s="245">
        <v>100</v>
      </c>
      <c r="H209" s="245">
        <v>100</v>
      </c>
      <c r="I209" s="56">
        <f t="shared" si="19"/>
        <v>100</v>
      </c>
      <c r="J209" s="49">
        <v>100</v>
      </c>
      <c r="K209" s="48">
        <f>J209-I209</f>
        <v>0</v>
      </c>
    </row>
    <row r="210" spans="1:11" ht="24" x14ac:dyDescent="0.2">
      <c r="A210" s="3" t="s">
        <v>17</v>
      </c>
      <c r="B210" s="2" t="s">
        <v>195</v>
      </c>
      <c r="C210" s="2" t="s">
        <v>7</v>
      </c>
      <c r="D210" s="2" t="s">
        <v>16</v>
      </c>
      <c r="E210" s="2"/>
      <c r="F210" s="2"/>
      <c r="G210" s="56">
        <f>G211+G219</f>
        <v>42441.58498</v>
      </c>
      <c r="H210" s="56">
        <f>H211+H219</f>
        <v>42441.58498</v>
      </c>
      <c r="I210" s="56">
        <f t="shared" si="19"/>
        <v>100</v>
      </c>
      <c r="J210" s="49"/>
      <c r="K210" s="48">
        <f t="shared" si="15"/>
        <v>100</v>
      </c>
    </row>
    <row r="211" spans="1:11" ht="24" x14ac:dyDescent="0.2">
      <c r="A211" s="3" t="s">
        <v>15</v>
      </c>
      <c r="B211" s="2" t="s">
        <v>195</v>
      </c>
      <c r="C211" s="2" t="s">
        <v>7</v>
      </c>
      <c r="D211" s="2" t="s">
        <v>13</v>
      </c>
      <c r="E211" s="2"/>
      <c r="F211" s="2"/>
      <c r="G211" s="56">
        <f>G213</f>
        <v>25931.599999999999</v>
      </c>
      <c r="H211" s="56">
        <f>H213</f>
        <v>25931.599999999999</v>
      </c>
      <c r="I211" s="56">
        <f t="shared" si="19"/>
        <v>100</v>
      </c>
      <c r="J211" s="49"/>
      <c r="K211" s="48">
        <f t="shared" si="15"/>
        <v>100</v>
      </c>
    </row>
    <row r="212" spans="1:11" ht="24" x14ac:dyDescent="0.2">
      <c r="A212" s="3" t="s">
        <v>456</v>
      </c>
      <c r="B212" s="2" t="s">
        <v>195</v>
      </c>
      <c r="C212" s="2" t="s">
        <v>7</v>
      </c>
      <c r="D212" s="2" t="s">
        <v>13</v>
      </c>
      <c r="E212" s="2" t="s">
        <v>2</v>
      </c>
      <c r="F212" s="2"/>
      <c r="G212" s="56">
        <f>G213</f>
        <v>25931.599999999999</v>
      </c>
      <c r="H212" s="56">
        <f>H213</f>
        <v>25931.599999999999</v>
      </c>
      <c r="I212" s="56">
        <f t="shared" si="19"/>
        <v>100</v>
      </c>
      <c r="J212" s="49"/>
      <c r="K212" s="48">
        <f t="shared" si="15"/>
        <v>100</v>
      </c>
    </row>
    <row r="213" spans="1:11" ht="60" x14ac:dyDescent="0.2">
      <c r="A213" s="3" t="s">
        <v>286</v>
      </c>
      <c r="B213" s="2" t="s">
        <v>195</v>
      </c>
      <c r="C213" s="2" t="s">
        <v>7</v>
      </c>
      <c r="D213" s="2" t="s">
        <v>13</v>
      </c>
      <c r="E213" s="2" t="s">
        <v>11</v>
      </c>
      <c r="F213" s="2"/>
      <c r="G213" s="245">
        <f>G214</f>
        <v>25931.599999999999</v>
      </c>
      <c r="H213" s="245">
        <f>H214</f>
        <v>25931.599999999999</v>
      </c>
      <c r="I213" s="56">
        <f t="shared" si="19"/>
        <v>100</v>
      </c>
      <c r="J213" s="49"/>
      <c r="K213" s="48">
        <f t="shared" si="15"/>
        <v>100</v>
      </c>
    </row>
    <row r="214" spans="1:11" ht="36" x14ac:dyDescent="0.2">
      <c r="A214" s="3" t="s">
        <v>10</v>
      </c>
      <c r="B214" s="2" t="s">
        <v>195</v>
      </c>
      <c r="C214" s="2" t="s">
        <v>7</v>
      </c>
      <c r="D214" s="2" t="s">
        <v>13</v>
      </c>
      <c r="E214" s="2" t="s">
        <v>9</v>
      </c>
      <c r="F214" s="2"/>
      <c r="G214" s="245">
        <f>G215+G217</f>
        <v>25931.599999999999</v>
      </c>
      <c r="H214" s="245">
        <f>H215+H217</f>
        <v>25931.599999999999</v>
      </c>
      <c r="I214" s="56">
        <f t="shared" si="19"/>
        <v>100</v>
      </c>
      <c r="J214" s="49"/>
      <c r="K214" s="48">
        <f t="shared" si="15"/>
        <v>100</v>
      </c>
    </row>
    <row r="215" spans="1:11" ht="36" x14ac:dyDescent="0.2">
      <c r="A215" s="3" t="s">
        <v>467</v>
      </c>
      <c r="B215" s="2" t="s">
        <v>195</v>
      </c>
      <c r="C215" s="2" t="s">
        <v>7</v>
      </c>
      <c r="D215" s="2" t="s">
        <v>13</v>
      </c>
      <c r="E215" s="2" t="s">
        <v>14</v>
      </c>
      <c r="F215" s="2"/>
      <c r="G215" s="245">
        <f>G216</f>
        <v>20107</v>
      </c>
      <c r="H215" s="245">
        <f>H216</f>
        <v>20107</v>
      </c>
      <c r="I215" s="56">
        <f t="shared" si="19"/>
        <v>100</v>
      </c>
      <c r="J215" s="49"/>
      <c r="K215" s="48">
        <f t="shared" si="15"/>
        <v>100</v>
      </c>
    </row>
    <row r="216" spans="1:11" ht="12.75" x14ac:dyDescent="0.2">
      <c r="A216" s="3" t="s">
        <v>8</v>
      </c>
      <c r="B216" s="2" t="s">
        <v>195</v>
      </c>
      <c r="C216" s="2" t="s">
        <v>7</v>
      </c>
      <c r="D216" s="2" t="s">
        <v>13</v>
      </c>
      <c r="E216" s="2" t="s">
        <v>14</v>
      </c>
      <c r="F216" s="2" t="s">
        <v>5</v>
      </c>
      <c r="G216" s="245">
        <v>20107</v>
      </c>
      <c r="H216" s="245">
        <v>20107</v>
      </c>
      <c r="I216" s="56">
        <f t="shared" si="19"/>
        <v>100</v>
      </c>
      <c r="J216" s="49">
        <v>20107</v>
      </c>
      <c r="K216" s="48">
        <f>J216-I216</f>
        <v>20007</v>
      </c>
    </row>
    <row r="217" spans="1:11" ht="36" x14ac:dyDescent="0.2">
      <c r="A217" s="3" t="s">
        <v>272</v>
      </c>
      <c r="B217" s="2" t="s">
        <v>195</v>
      </c>
      <c r="C217" s="2" t="s">
        <v>7</v>
      </c>
      <c r="D217" s="2" t="s">
        <v>13</v>
      </c>
      <c r="E217" s="2" t="s">
        <v>12</v>
      </c>
      <c r="F217" s="2"/>
      <c r="G217" s="245">
        <f>G218</f>
        <v>5824.6</v>
      </c>
      <c r="H217" s="245">
        <f>H218</f>
        <v>5824.6</v>
      </c>
      <c r="I217" s="56">
        <f t="shared" si="19"/>
        <v>100</v>
      </c>
      <c r="J217" s="49"/>
      <c r="K217" s="48">
        <f t="shared" si="15"/>
        <v>100</v>
      </c>
    </row>
    <row r="218" spans="1:11" ht="12.75" x14ac:dyDescent="0.2">
      <c r="A218" s="3" t="s">
        <v>8</v>
      </c>
      <c r="B218" s="2" t="s">
        <v>195</v>
      </c>
      <c r="C218" s="2" t="s">
        <v>7</v>
      </c>
      <c r="D218" s="2" t="s">
        <v>13</v>
      </c>
      <c r="E218" s="2" t="s">
        <v>12</v>
      </c>
      <c r="F218" s="2" t="s">
        <v>5</v>
      </c>
      <c r="G218" s="245">
        <v>5824.6</v>
      </c>
      <c r="H218" s="245">
        <v>5824.6</v>
      </c>
      <c r="I218" s="56">
        <f t="shared" si="19"/>
        <v>100</v>
      </c>
      <c r="J218" s="49">
        <v>5824.6</v>
      </c>
      <c r="K218" s="48">
        <f>J218-I218</f>
        <v>5724.6</v>
      </c>
    </row>
    <row r="219" spans="1:11" ht="24" x14ac:dyDescent="0.2">
      <c r="A219" s="3" t="s">
        <v>395</v>
      </c>
      <c r="B219" s="2" t="s">
        <v>195</v>
      </c>
      <c r="C219" s="2" t="s">
        <v>7</v>
      </c>
      <c r="D219" s="2" t="s">
        <v>6</v>
      </c>
      <c r="E219" s="2"/>
      <c r="F219" s="2"/>
      <c r="G219" s="245">
        <f>G221+G227</f>
        <v>16509.984980000001</v>
      </c>
      <c r="H219" s="245">
        <f>H221+H227</f>
        <v>16509.984980000001</v>
      </c>
      <c r="I219" s="56">
        <f t="shared" si="19"/>
        <v>100</v>
      </c>
      <c r="J219" s="49"/>
      <c r="K219" s="48">
        <f t="shared" si="15"/>
        <v>100</v>
      </c>
    </row>
    <row r="220" spans="1:11" ht="24" x14ac:dyDescent="0.2">
      <c r="A220" s="3" t="s">
        <v>456</v>
      </c>
      <c r="B220" s="2" t="s">
        <v>195</v>
      </c>
      <c r="C220" s="2" t="s">
        <v>7</v>
      </c>
      <c r="D220" s="2" t="s">
        <v>6</v>
      </c>
      <c r="E220" s="2" t="s">
        <v>2</v>
      </c>
      <c r="F220" s="2"/>
      <c r="G220" s="56">
        <f>G221</f>
        <v>15543.756429999999</v>
      </c>
      <c r="H220" s="56">
        <f>H221</f>
        <v>15543.756429999999</v>
      </c>
      <c r="I220" s="56">
        <f t="shared" si="19"/>
        <v>100</v>
      </c>
      <c r="J220" s="49"/>
      <c r="K220" s="48">
        <f t="shared" si="15"/>
        <v>100</v>
      </c>
    </row>
    <row r="221" spans="1:11" ht="60" x14ac:dyDescent="0.2">
      <c r="A221" s="3" t="s">
        <v>286</v>
      </c>
      <c r="B221" s="2" t="s">
        <v>195</v>
      </c>
      <c r="C221" s="2" t="s">
        <v>7</v>
      </c>
      <c r="D221" s="2" t="s">
        <v>6</v>
      </c>
      <c r="E221" s="2" t="s">
        <v>11</v>
      </c>
      <c r="F221" s="2"/>
      <c r="G221" s="245">
        <f>G222</f>
        <v>15543.756429999999</v>
      </c>
      <c r="H221" s="245">
        <f>H222</f>
        <v>15543.756429999999</v>
      </c>
      <c r="I221" s="56">
        <f t="shared" si="19"/>
        <v>100</v>
      </c>
      <c r="J221" s="49"/>
      <c r="K221" s="48">
        <f t="shared" si="15"/>
        <v>100</v>
      </c>
    </row>
    <row r="222" spans="1:11" ht="36" x14ac:dyDescent="0.2">
      <c r="A222" s="3" t="s">
        <v>10</v>
      </c>
      <c r="B222" s="2" t="s">
        <v>195</v>
      </c>
      <c r="C222" s="2" t="s">
        <v>7</v>
      </c>
      <c r="D222" s="2" t="s">
        <v>6</v>
      </c>
      <c r="E222" s="2" t="s">
        <v>9</v>
      </c>
      <c r="F222" s="2"/>
      <c r="G222" s="245">
        <f>G225+G223</f>
        <v>15543.756429999999</v>
      </c>
      <c r="H222" s="245">
        <f>H225+H223</f>
        <v>15543.756429999999</v>
      </c>
      <c r="I222" s="56">
        <f t="shared" si="19"/>
        <v>100</v>
      </c>
      <c r="J222" s="49"/>
      <c r="K222" s="48">
        <f t="shared" si="15"/>
        <v>100</v>
      </c>
    </row>
    <row r="223" spans="1:11" ht="24" x14ac:dyDescent="0.2">
      <c r="A223" s="3" t="s">
        <v>500</v>
      </c>
      <c r="B223" s="2" t="s">
        <v>195</v>
      </c>
      <c r="C223" s="2" t="s">
        <v>7</v>
      </c>
      <c r="D223" s="2" t="s">
        <v>6</v>
      </c>
      <c r="E223" s="2" t="s">
        <v>444</v>
      </c>
      <c r="F223" s="2"/>
      <c r="G223" s="245">
        <f>G224</f>
        <v>1855.85643</v>
      </c>
      <c r="H223" s="245">
        <f>H224</f>
        <v>1855.85643</v>
      </c>
      <c r="I223" s="56">
        <f t="shared" si="19"/>
        <v>100</v>
      </c>
      <c r="J223" s="49"/>
      <c r="K223" s="48">
        <f t="shared" si="15"/>
        <v>100</v>
      </c>
    </row>
    <row r="224" spans="1:11" ht="12.75" x14ac:dyDescent="0.2">
      <c r="A224" s="3" t="s">
        <v>8</v>
      </c>
      <c r="B224" s="2" t="s">
        <v>195</v>
      </c>
      <c r="C224" s="2" t="s">
        <v>7</v>
      </c>
      <c r="D224" s="2" t="s">
        <v>6</v>
      </c>
      <c r="E224" s="2" t="s">
        <v>444</v>
      </c>
      <c r="F224" s="2" t="s">
        <v>5</v>
      </c>
      <c r="G224" s="245">
        <v>1855.85643</v>
      </c>
      <c r="H224" s="245">
        <v>1855.85643</v>
      </c>
      <c r="I224" s="56">
        <f t="shared" si="19"/>
        <v>100</v>
      </c>
      <c r="J224" s="49">
        <v>1855.85643</v>
      </c>
      <c r="K224" s="48">
        <f>J224-I224</f>
        <v>1755.85643</v>
      </c>
    </row>
    <row r="225" spans="1:12" ht="12.75" x14ac:dyDescent="0.2">
      <c r="A225" s="6" t="s">
        <v>389</v>
      </c>
      <c r="B225" s="2" t="s">
        <v>195</v>
      </c>
      <c r="C225" s="2" t="s">
        <v>7</v>
      </c>
      <c r="D225" s="2" t="s">
        <v>6</v>
      </c>
      <c r="E225" s="2" t="s">
        <v>396</v>
      </c>
      <c r="F225" s="2"/>
      <c r="G225" s="245">
        <f>G226</f>
        <v>13687.9</v>
      </c>
      <c r="H225" s="245">
        <f>H226</f>
        <v>13687.9</v>
      </c>
      <c r="I225" s="56">
        <f t="shared" si="19"/>
        <v>100</v>
      </c>
      <c r="J225" s="49"/>
      <c r="K225" s="48">
        <f t="shared" si="15"/>
        <v>100</v>
      </c>
    </row>
    <row r="226" spans="1:12" ht="12.75" x14ac:dyDescent="0.2">
      <c r="A226" s="3" t="s">
        <v>8</v>
      </c>
      <c r="B226" s="2" t="s">
        <v>195</v>
      </c>
      <c r="C226" s="2" t="s">
        <v>7</v>
      </c>
      <c r="D226" s="2" t="s">
        <v>6</v>
      </c>
      <c r="E226" s="2" t="s">
        <v>396</v>
      </c>
      <c r="F226" s="2" t="s">
        <v>5</v>
      </c>
      <c r="G226" s="245">
        <v>13687.9</v>
      </c>
      <c r="H226" s="245">
        <v>13687.9</v>
      </c>
      <c r="I226" s="56">
        <f t="shared" si="19"/>
        <v>100</v>
      </c>
      <c r="J226" s="49">
        <v>13687.9</v>
      </c>
      <c r="K226" s="48">
        <f>J226-I226</f>
        <v>13587.9</v>
      </c>
    </row>
    <row r="227" spans="1:12" ht="12.75" x14ac:dyDescent="0.2">
      <c r="A227" s="3" t="s">
        <v>491</v>
      </c>
      <c r="B227" s="2" t="s">
        <v>195</v>
      </c>
      <c r="C227" s="2" t="s">
        <v>7</v>
      </c>
      <c r="D227" s="2" t="s">
        <v>6</v>
      </c>
      <c r="E227" s="2" t="s">
        <v>0</v>
      </c>
      <c r="F227" s="2"/>
      <c r="G227" s="252">
        <f>G228+G230</f>
        <v>966.22855000000004</v>
      </c>
      <c r="H227" s="252">
        <f>H228+H230</f>
        <v>966.22855000000004</v>
      </c>
      <c r="I227" s="56">
        <f t="shared" si="19"/>
        <v>100</v>
      </c>
      <c r="J227" s="76"/>
      <c r="K227" s="76">
        <f>51.0335</f>
        <v>51.033499999999997</v>
      </c>
      <c r="L227" s="1">
        <f>J227+K227</f>
        <v>51.033499999999997</v>
      </c>
    </row>
    <row r="228" spans="1:12" ht="12.75" x14ac:dyDescent="0.2">
      <c r="A228" s="3" t="s">
        <v>40</v>
      </c>
      <c r="B228" s="2" t="s">
        <v>195</v>
      </c>
      <c r="C228" s="2" t="s">
        <v>7</v>
      </c>
      <c r="D228" s="2" t="s">
        <v>6</v>
      </c>
      <c r="E228" s="2" t="s">
        <v>38</v>
      </c>
      <c r="F228" s="2"/>
      <c r="G228" s="252">
        <f>G229</f>
        <v>923.14855</v>
      </c>
      <c r="H228" s="252">
        <f>H229</f>
        <v>923.14855</v>
      </c>
      <c r="I228" s="56">
        <f t="shared" si="19"/>
        <v>100</v>
      </c>
      <c r="J228" s="49"/>
      <c r="K228" s="49">
        <v>51.033499999999997</v>
      </c>
      <c r="L228" s="49">
        <f>SUBTOTAL(9,L202:L227)</f>
        <v>201.0335</v>
      </c>
    </row>
    <row r="229" spans="1:12" ht="12.75" x14ac:dyDescent="0.2">
      <c r="A229" s="3" t="s">
        <v>8</v>
      </c>
      <c r="B229" s="2" t="s">
        <v>195</v>
      </c>
      <c r="C229" s="2" t="s">
        <v>7</v>
      </c>
      <c r="D229" s="2" t="s">
        <v>6</v>
      </c>
      <c r="E229" s="2" t="s">
        <v>38</v>
      </c>
      <c r="F229" s="2" t="s">
        <v>5</v>
      </c>
      <c r="G229" s="252">
        <v>923.14855</v>
      </c>
      <c r="H229" s="252">
        <v>923.14855</v>
      </c>
      <c r="I229" s="56">
        <f t="shared" si="19"/>
        <v>100</v>
      </c>
      <c r="J229" s="49">
        <v>923.14855</v>
      </c>
      <c r="K229" s="48"/>
    </row>
    <row r="230" spans="1:12" ht="24" x14ac:dyDescent="0.2">
      <c r="A230" s="3" t="s">
        <v>512</v>
      </c>
      <c r="B230" s="2" t="s">
        <v>195</v>
      </c>
      <c r="C230" s="2" t="s">
        <v>7</v>
      </c>
      <c r="D230" s="2" t="s">
        <v>6</v>
      </c>
      <c r="E230" s="2" t="s">
        <v>513</v>
      </c>
      <c r="F230" s="2"/>
      <c r="G230" s="244">
        <f>G231</f>
        <v>43.08</v>
      </c>
      <c r="H230" s="244">
        <f>H231</f>
        <v>43.08</v>
      </c>
      <c r="I230" s="56">
        <f t="shared" si="19"/>
        <v>100</v>
      </c>
      <c r="J230" s="49"/>
      <c r="K230" s="48"/>
    </row>
    <row r="231" spans="1:12" ht="12.75" x14ac:dyDescent="0.2">
      <c r="A231" s="3" t="s">
        <v>8</v>
      </c>
      <c r="B231" s="2" t="s">
        <v>195</v>
      </c>
      <c r="C231" s="2" t="s">
        <v>7</v>
      </c>
      <c r="D231" s="2" t="s">
        <v>6</v>
      </c>
      <c r="E231" s="2" t="s">
        <v>513</v>
      </c>
      <c r="F231" s="2" t="s">
        <v>5</v>
      </c>
      <c r="G231" s="244">
        <v>43.08</v>
      </c>
      <c r="H231" s="244">
        <v>43.08</v>
      </c>
      <c r="I231" s="56">
        <f t="shared" si="19"/>
        <v>100</v>
      </c>
      <c r="J231" s="7">
        <v>43.08</v>
      </c>
      <c r="K231" s="7"/>
      <c r="L231" s="1">
        <f>J231+K231</f>
        <v>43.08</v>
      </c>
    </row>
    <row r="232" spans="1:12" ht="24" x14ac:dyDescent="0.2">
      <c r="A232" s="38" t="s">
        <v>483</v>
      </c>
      <c r="B232" s="4" t="s">
        <v>71</v>
      </c>
      <c r="C232" s="4"/>
      <c r="D232" s="4"/>
      <c r="E232" s="4"/>
      <c r="F232" s="2"/>
      <c r="G232" s="254">
        <f>G233+G308+G344+G411+G457+G472+G493+G502</f>
        <v>146004.98504</v>
      </c>
      <c r="H232" s="254">
        <f>H233+H308+H344+H411+H457+H472+H493+H502</f>
        <v>136747.23543</v>
      </c>
      <c r="I232" s="70">
        <f t="shared" si="19"/>
        <v>93.659292107414188</v>
      </c>
      <c r="J232" s="49">
        <v>136747.23543</v>
      </c>
      <c r="K232" s="48">
        <f>H232-J232</f>
        <v>0</v>
      </c>
      <c r="L232" s="21">
        <v>117436.73337</v>
      </c>
    </row>
    <row r="233" spans="1:12" ht="12.75" x14ac:dyDescent="0.2">
      <c r="A233" s="3" t="s">
        <v>140</v>
      </c>
      <c r="B233" s="2" t="s">
        <v>71</v>
      </c>
      <c r="C233" s="2" t="s">
        <v>13</v>
      </c>
      <c r="D233" s="2"/>
      <c r="E233" s="2"/>
      <c r="F233" s="2"/>
      <c r="G233" s="56">
        <f>G234+G238+G245+G285+G276+G270+G281</f>
        <v>25043.288420000004</v>
      </c>
      <c r="H233" s="56">
        <f>H234+H238+H245+H285+H276+H270+H281</f>
        <v>24796.976649999997</v>
      </c>
      <c r="I233" s="56">
        <f t="shared" si="19"/>
        <v>99.016455962694977</v>
      </c>
      <c r="J233" s="49"/>
      <c r="K233" s="48">
        <f t="shared" si="15"/>
        <v>99.016455962694977</v>
      </c>
      <c r="L233" s="49">
        <f>L232-I232</f>
        <v>117343.07407789258</v>
      </c>
    </row>
    <row r="234" spans="1:12" ht="24" x14ac:dyDescent="0.2">
      <c r="A234" s="3" t="s">
        <v>139</v>
      </c>
      <c r="B234" s="2" t="s">
        <v>71</v>
      </c>
      <c r="C234" s="2" t="s">
        <v>13</v>
      </c>
      <c r="D234" s="2" t="s">
        <v>24</v>
      </c>
      <c r="E234" s="2"/>
      <c r="F234" s="2"/>
      <c r="G234" s="56">
        <f>G236</f>
        <v>2133.7860000000001</v>
      </c>
      <c r="H234" s="56">
        <f>H236</f>
        <v>2104.3434999999999</v>
      </c>
      <c r="I234" s="56">
        <f t="shared" si="19"/>
        <v>98.620175593991149</v>
      </c>
      <c r="J234" s="49"/>
      <c r="K234" s="48">
        <f t="shared" si="15"/>
        <v>98.620175593991149</v>
      </c>
    </row>
    <row r="235" spans="1:12" ht="12.75" x14ac:dyDescent="0.2">
      <c r="A235" s="3" t="s">
        <v>430</v>
      </c>
      <c r="B235" s="2" t="s">
        <v>71</v>
      </c>
      <c r="C235" s="2" t="s">
        <v>13</v>
      </c>
      <c r="D235" s="2" t="s">
        <v>24</v>
      </c>
      <c r="E235" s="2" t="s">
        <v>0</v>
      </c>
      <c r="F235" s="2"/>
      <c r="G235" s="56">
        <f>G236</f>
        <v>2133.7860000000001</v>
      </c>
      <c r="H235" s="56">
        <f>H236</f>
        <v>2104.3434999999999</v>
      </c>
      <c r="I235" s="56">
        <f t="shared" si="19"/>
        <v>98.620175593991149</v>
      </c>
      <c r="J235" s="49"/>
      <c r="K235" s="48"/>
    </row>
    <row r="236" spans="1:12" ht="12.75" x14ac:dyDescent="0.2">
      <c r="A236" s="3" t="s">
        <v>138</v>
      </c>
      <c r="B236" s="2" t="s">
        <v>71</v>
      </c>
      <c r="C236" s="2" t="s">
        <v>13</v>
      </c>
      <c r="D236" s="2" t="s">
        <v>24</v>
      </c>
      <c r="E236" s="2" t="s">
        <v>137</v>
      </c>
      <c r="F236" s="2"/>
      <c r="G236" s="241">
        <f>G237</f>
        <v>2133.7860000000001</v>
      </c>
      <c r="H236" s="241">
        <f>H237</f>
        <v>2104.3434999999999</v>
      </c>
      <c r="I236" s="56">
        <f t="shared" si="19"/>
        <v>98.620175593991149</v>
      </c>
      <c r="J236" s="49"/>
      <c r="K236" s="48">
        <f t="shared" si="15"/>
        <v>98.620175593991149</v>
      </c>
    </row>
    <row r="237" spans="1:12" ht="48" x14ac:dyDescent="0.2">
      <c r="A237" s="3" t="s">
        <v>33</v>
      </c>
      <c r="B237" s="2" t="s">
        <v>71</v>
      </c>
      <c r="C237" s="2" t="s">
        <v>13</v>
      </c>
      <c r="D237" s="2" t="s">
        <v>24</v>
      </c>
      <c r="E237" s="2" t="s">
        <v>137</v>
      </c>
      <c r="F237" s="2" t="s">
        <v>30</v>
      </c>
      <c r="G237" s="241">
        <v>2133.7860000000001</v>
      </c>
      <c r="H237" s="241">
        <f>1668.82585+435.51765</f>
        <v>2104.3434999999999</v>
      </c>
      <c r="I237" s="56">
        <f t="shared" si="19"/>
        <v>98.620175593991149</v>
      </c>
      <c r="J237" s="49">
        <f>1668.30115+465.48485</f>
        <v>2133.7860000000001</v>
      </c>
      <c r="K237" s="48">
        <f t="shared" si="15"/>
        <v>-2035.1658244060088</v>
      </c>
    </row>
    <row r="238" spans="1:12" ht="36" x14ac:dyDescent="0.2">
      <c r="A238" s="3" t="s">
        <v>136</v>
      </c>
      <c r="B238" s="2" t="s">
        <v>71</v>
      </c>
      <c r="C238" s="2" t="s">
        <v>13</v>
      </c>
      <c r="D238" s="2" t="s">
        <v>6</v>
      </c>
      <c r="E238" s="2"/>
      <c r="F238" s="2"/>
      <c r="G238" s="56">
        <f>G240+G242</f>
        <v>2137.2368000000001</v>
      </c>
      <c r="H238" s="56">
        <f>H240+H242</f>
        <v>2114.8836799999999</v>
      </c>
      <c r="I238" s="56">
        <f t="shared" si="19"/>
        <v>98.954111215004332</v>
      </c>
      <c r="J238" s="49"/>
      <c r="K238" s="48">
        <f t="shared" si="15"/>
        <v>98.954111215004332</v>
      </c>
    </row>
    <row r="239" spans="1:12" ht="12.75" x14ac:dyDescent="0.2">
      <c r="A239" s="3" t="s">
        <v>430</v>
      </c>
      <c r="B239" s="2" t="s">
        <v>71</v>
      </c>
      <c r="C239" s="2" t="s">
        <v>13</v>
      </c>
      <c r="D239" s="2" t="s">
        <v>6</v>
      </c>
      <c r="E239" s="2" t="s">
        <v>0</v>
      </c>
      <c r="F239" s="2"/>
      <c r="G239" s="56">
        <f>G240+G242</f>
        <v>2137.2368000000001</v>
      </c>
      <c r="H239" s="56">
        <f>H240+H242</f>
        <v>2114.8836799999999</v>
      </c>
      <c r="I239" s="56">
        <f t="shared" si="19"/>
        <v>98.954111215004332</v>
      </c>
      <c r="J239" s="49"/>
      <c r="K239" s="48">
        <f t="shared" si="15"/>
        <v>98.954111215004332</v>
      </c>
    </row>
    <row r="240" spans="1:12" ht="24" x14ac:dyDescent="0.2">
      <c r="A240" s="3" t="s">
        <v>135</v>
      </c>
      <c r="B240" s="2" t="s">
        <v>71</v>
      </c>
      <c r="C240" s="2" t="s">
        <v>13</v>
      </c>
      <c r="D240" s="2" t="s">
        <v>6</v>
      </c>
      <c r="E240" s="2" t="s">
        <v>134</v>
      </c>
      <c r="F240" s="2"/>
      <c r="G240" s="241">
        <f>G241</f>
        <v>1247.8530000000001</v>
      </c>
      <c r="H240" s="241">
        <f>H241</f>
        <v>1241.59166</v>
      </c>
      <c r="I240" s="56">
        <f t="shared" si="19"/>
        <v>99.498230961499473</v>
      </c>
      <c r="J240" s="49"/>
      <c r="K240" s="48">
        <f t="shared" si="15"/>
        <v>99.498230961499473</v>
      </c>
    </row>
    <row r="241" spans="1:11" ht="48" x14ac:dyDescent="0.2">
      <c r="A241" s="3" t="s">
        <v>33</v>
      </c>
      <c r="B241" s="2" t="s">
        <v>71</v>
      </c>
      <c r="C241" s="2" t="s">
        <v>13</v>
      </c>
      <c r="D241" s="2" t="s">
        <v>6</v>
      </c>
      <c r="E241" s="2" t="s">
        <v>134</v>
      </c>
      <c r="F241" s="2" t="s">
        <v>30</v>
      </c>
      <c r="G241" s="241">
        <v>1247.8530000000001</v>
      </c>
      <c r="H241" s="241">
        <f>958.37024+283.22142</f>
        <v>1241.59166</v>
      </c>
      <c r="I241" s="56">
        <f t="shared" si="19"/>
        <v>99.498230961499473</v>
      </c>
      <c r="J241" s="49">
        <f>958.41244+289.44056</f>
        <v>1247.8530000000001</v>
      </c>
      <c r="K241" s="48">
        <f t="shared" si="15"/>
        <v>-1148.3547690385005</v>
      </c>
    </row>
    <row r="242" spans="1:11" ht="24.75" x14ac:dyDescent="0.25">
      <c r="A242" s="3" t="s">
        <v>133</v>
      </c>
      <c r="B242" s="2">
        <v>800</v>
      </c>
      <c r="C242" s="2" t="s">
        <v>13</v>
      </c>
      <c r="D242" s="2" t="s">
        <v>6</v>
      </c>
      <c r="E242" s="2" t="s">
        <v>132</v>
      </c>
      <c r="F242" s="2"/>
      <c r="G242" s="253">
        <f>G243</f>
        <v>889.38379999999995</v>
      </c>
      <c r="H242" s="253">
        <f>H243</f>
        <v>873.29201999999987</v>
      </c>
      <c r="I242" s="56">
        <f t="shared" si="19"/>
        <v>98.190682132955402</v>
      </c>
      <c r="J242" s="49"/>
      <c r="K242" s="48">
        <f t="shared" si="15"/>
        <v>98.190682132955402</v>
      </c>
    </row>
    <row r="243" spans="1:11" ht="24.75" x14ac:dyDescent="0.25">
      <c r="A243" s="3" t="s">
        <v>131</v>
      </c>
      <c r="B243" s="2">
        <v>800</v>
      </c>
      <c r="C243" s="2" t="s">
        <v>13</v>
      </c>
      <c r="D243" s="2" t="s">
        <v>6</v>
      </c>
      <c r="E243" s="2" t="s">
        <v>130</v>
      </c>
      <c r="F243" s="2"/>
      <c r="G243" s="253">
        <f>G244</f>
        <v>889.38379999999995</v>
      </c>
      <c r="H243" s="253">
        <f>H244</f>
        <v>873.29201999999987</v>
      </c>
      <c r="I243" s="56">
        <f t="shared" si="19"/>
        <v>98.190682132955402</v>
      </c>
      <c r="J243" s="49"/>
      <c r="K243" s="48">
        <f t="shared" si="15"/>
        <v>98.190682132955402</v>
      </c>
    </row>
    <row r="244" spans="1:11" ht="48.75" x14ac:dyDescent="0.25">
      <c r="A244" s="3" t="s">
        <v>33</v>
      </c>
      <c r="B244" s="2" t="s">
        <v>71</v>
      </c>
      <c r="C244" s="2" t="s">
        <v>13</v>
      </c>
      <c r="D244" s="2" t="s">
        <v>6</v>
      </c>
      <c r="E244" s="2" t="s">
        <v>130</v>
      </c>
      <c r="F244" s="2" t="s">
        <v>30</v>
      </c>
      <c r="G244" s="253">
        <v>889.38379999999995</v>
      </c>
      <c r="H244" s="253">
        <f>449.28416+292.5+131.50786</f>
        <v>873.29201999999987</v>
      </c>
      <c r="I244" s="56">
        <f t="shared" si="19"/>
        <v>98.190682132955402</v>
      </c>
      <c r="J244" s="49">
        <f>458.0932+292.5+138.7906</f>
        <v>889.38380000000006</v>
      </c>
      <c r="K244" s="48">
        <f t="shared" si="15"/>
        <v>-791.19311786704463</v>
      </c>
    </row>
    <row r="245" spans="1:11" ht="36" x14ac:dyDescent="0.2">
      <c r="A245" s="3" t="s">
        <v>129</v>
      </c>
      <c r="B245" s="2" t="s">
        <v>71</v>
      </c>
      <c r="C245" s="2" t="s">
        <v>13</v>
      </c>
      <c r="D245" s="2" t="s">
        <v>53</v>
      </c>
      <c r="E245" s="2"/>
      <c r="F245" s="2"/>
      <c r="G245" s="241">
        <f>G247+G256+G261+G266</f>
        <v>18347.742620000001</v>
      </c>
      <c r="H245" s="241">
        <f>H247+H256+H261+H266</f>
        <v>18173.40495</v>
      </c>
      <c r="I245" s="56">
        <f t="shared" si="19"/>
        <v>99.049814063720504</v>
      </c>
      <c r="J245" s="49">
        <v>1834.74262</v>
      </c>
      <c r="K245" s="48">
        <f t="shared" si="15"/>
        <v>-1735.6928059362795</v>
      </c>
    </row>
    <row r="246" spans="1:11" ht="36" x14ac:dyDescent="0.2">
      <c r="A246" s="3" t="s">
        <v>431</v>
      </c>
      <c r="B246" s="2" t="s">
        <v>71</v>
      </c>
      <c r="C246" s="2" t="s">
        <v>13</v>
      </c>
      <c r="D246" s="2" t="s">
        <v>53</v>
      </c>
      <c r="E246" s="2" t="s">
        <v>4</v>
      </c>
      <c r="F246" s="2"/>
      <c r="G246" s="241">
        <f>G247</f>
        <v>16990.942620000002</v>
      </c>
      <c r="H246" s="241">
        <f>H247</f>
        <v>16816.804950000002</v>
      </c>
      <c r="I246" s="56">
        <f t="shared" ref="I246:I303" si="25">H246/G246*100</f>
        <v>98.975114719091437</v>
      </c>
      <c r="J246" s="49"/>
      <c r="K246" s="48">
        <f t="shared" si="15"/>
        <v>98.975114719091437</v>
      </c>
    </row>
    <row r="247" spans="1:11" ht="60" x14ac:dyDescent="0.2">
      <c r="A247" s="3" t="s">
        <v>457</v>
      </c>
      <c r="B247" s="2" t="s">
        <v>71</v>
      </c>
      <c r="C247" s="2" t="s">
        <v>13</v>
      </c>
      <c r="D247" s="2" t="s">
        <v>53</v>
      </c>
      <c r="E247" s="2" t="s">
        <v>128</v>
      </c>
      <c r="F247" s="2"/>
      <c r="G247" s="241">
        <f>G248+G253</f>
        <v>16990.942620000002</v>
      </c>
      <c r="H247" s="241">
        <f>H248+H253</f>
        <v>16816.804950000002</v>
      </c>
      <c r="I247" s="56">
        <f t="shared" si="25"/>
        <v>98.975114719091437</v>
      </c>
      <c r="J247" s="49"/>
      <c r="K247" s="48">
        <f t="shared" si="15"/>
        <v>98.975114719091437</v>
      </c>
    </row>
    <row r="248" spans="1:11" ht="24" x14ac:dyDescent="0.2">
      <c r="A248" s="3" t="s">
        <v>217</v>
      </c>
      <c r="B248" s="2" t="s">
        <v>71</v>
      </c>
      <c r="C248" s="2" t="s">
        <v>13</v>
      </c>
      <c r="D248" s="2" t="s">
        <v>53</v>
      </c>
      <c r="E248" s="2" t="s">
        <v>218</v>
      </c>
      <c r="F248" s="2"/>
      <c r="G248" s="241">
        <f>G249+G251</f>
        <v>14886.12262</v>
      </c>
      <c r="H248" s="241">
        <f>H249+H251</f>
        <v>14711.984950000002</v>
      </c>
      <c r="I248" s="56">
        <f t="shared" si="25"/>
        <v>98.830201292537794</v>
      </c>
      <c r="J248" s="49"/>
      <c r="K248" s="48">
        <f t="shared" si="15"/>
        <v>98.830201292537794</v>
      </c>
    </row>
    <row r="249" spans="1:11" ht="24" x14ac:dyDescent="0.2">
      <c r="A249" s="3" t="s">
        <v>127</v>
      </c>
      <c r="B249" s="2" t="s">
        <v>71</v>
      </c>
      <c r="C249" s="2" t="s">
        <v>13</v>
      </c>
      <c r="D249" s="2" t="s">
        <v>53</v>
      </c>
      <c r="E249" s="2" t="s">
        <v>126</v>
      </c>
      <c r="F249" s="2"/>
      <c r="G249" s="241">
        <f>G250</f>
        <v>14034.252619999999</v>
      </c>
      <c r="H249" s="241">
        <f>H250</f>
        <v>13927.766800000001</v>
      </c>
      <c r="I249" s="56">
        <f t="shared" si="25"/>
        <v>99.241243385855498</v>
      </c>
      <c r="J249" s="49"/>
      <c r="K249" s="48">
        <f t="shared" si="15"/>
        <v>99.241243385855498</v>
      </c>
    </row>
    <row r="250" spans="1:11" ht="48" x14ac:dyDescent="0.2">
      <c r="A250" s="3" t="s">
        <v>33</v>
      </c>
      <c r="B250" s="2" t="s">
        <v>71</v>
      </c>
      <c r="C250" s="2" t="s">
        <v>13</v>
      </c>
      <c r="D250" s="2" t="s">
        <v>53</v>
      </c>
      <c r="E250" s="2" t="s">
        <v>126</v>
      </c>
      <c r="F250" s="2" t="s">
        <v>30</v>
      </c>
      <c r="G250" s="241">
        <v>14034.252619999999</v>
      </c>
      <c r="H250" s="241">
        <f>10722.5133+28.903+3176.3505</f>
        <v>13927.766800000001</v>
      </c>
      <c r="I250" s="56">
        <f t="shared" si="25"/>
        <v>99.241243385855498</v>
      </c>
      <c r="J250" s="49">
        <f>11215.50649+38.52+2780.22613</f>
        <v>14034.252619999999</v>
      </c>
      <c r="K250" s="48">
        <f>J250-I250</f>
        <v>13935.011376614144</v>
      </c>
    </row>
    <row r="251" spans="1:11" ht="24" x14ac:dyDescent="0.2">
      <c r="A251" s="3" t="s">
        <v>125</v>
      </c>
      <c r="B251" s="2" t="s">
        <v>71</v>
      </c>
      <c r="C251" s="2" t="s">
        <v>13</v>
      </c>
      <c r="D251" s="2" t="s">
        <v>53</v>
      </c>
      <c r="E251" s="2" t="s">
        <v>124</v>
      </c>
      <c r="F251" s="2"/>
      <c r="G251" s="241">
        <f>G252</f>
        <v>851.87</v>
      </c>
      <c r="H251" s="241">
        <f>H252</f>
        <v>784.21815000000004</v>
      </c>
      <c r="I251" s="56">
        <f t="shared" si="25"/>
        <v>92.058430276920191</v>
      </c>
      <c r="J251" s="49"/>
      <c r="K251" s="48">
        <f t="shared" si="15"/>
        <v>92.058430276920191</v>
      </c>
    </row>
    <row r="252" spans="1:11" ht="24" x14ac:dyDescent="0.2">
      <c r="A252" s="3" t="s">
        <v>41</v>
      </c>
      <c r="B252" s="2" t="s">
        <v>71</v>
      </c>
      <c r="C252" s="2" t="s">
        <v>13</v>
      </c>
      <c r="D252" s="2" t="s">
        <v>53</v>
      </c>
      <c r="E252" s="2" t="s">
        <v>124</v>
      </c>
      <c r="F252" s="2" t="s">
        <v>45</v>
      </c>
      <c r="G252" s="241">
        <v>851.87</v>
      </c>
      <c r="H252" s="241">
        <v>784.21815000000004</v>
      </c>
      <c r="I252" s="56">
        <f t="shared" si="25"/>
        <v>92.058430276920191</v>
      </c>
      <c r="J252" s="49">
        <f>851.87</f>
        <v>851.87</v>
      </c>
      <c r="K252" s="48">
        <f>J252-I252</f>
        <v>759.81156972307986</v>
      </c>
    </row>
    <row r="253" spans="1:11" ht="12.75" x14ac:dyDescent="0.2">
      <c r="A253" s="3" t="s">
        <v>389</v>
      </c>
      <c r="B253" s="2" t="s">
        <v>71</v>
      </c>
      <c r="C253" s="2" t="s">
        <v>13</v>
      </c>
      <c r="D253" s="2" t="s">
        <v>53</v>
      </c>
      <c r="E253" s="2" t="s">
        <v>393</v>
      </c>
      <c r="F253" s="2"/>
      <c r="G253" s="241">
        <f>G254</f>
        <v>2104.8200000000002</v>
      </c>
      <c r="H253" s="241">
        <f>H254</f>
        <v>2104.8199999999997</v>
      </c>
      <c r="I253" s="56">
        <f t="shared" si="25"/>
        <v>99.999999999999972</v>
      </c>
      <c r="J253" s="49"/>
      <c r="K253" s="48">
        <f t="shared" ref="K253:K306" si="26">I253-J253</f>
        <v>99.999999999999972</v>
      </c>
    </row>
    <row r="254" spans="1:11" ht="48" x14ac:dyDescent="0.2">
      <c r="A254" s="3" t="s">
        <v>33</v>
      </c>
      <c r="B254" s="2" t="s">
        <v>71</v>
      </c>
      <c r="C254" s="2" t="s">
        <v>13</v>
      </c>
      <c r="D254" s="2" t="s">
        <v>53</v>
      </c>
      <c r="E254" s="2" t="s">
        <v>393</v>
      </c>
      <c r="F254" s="2" t="s">
        <v>30</v>
      </c>
      <c r="G254" s="241">
        <v>2104.8200000000002</v>
      </c>
      <c r="H254" s="241">
        <f>1616.60522+488.21478</f>
        <v>2104.8199999999997</v>
      </c>
      <c r="I254" s="56">
        <f t="shared" si="25"/>
        <v>99.999999999999972</v>
      </c>
      <c r="J254" s="49">
        <f>1616.60522+488.21478</f>
        <v>2104.8199999999997</v>
      </c>
      <c r="K254" s="48">
        <f>J254-I254</f>
        <v>2004.8199999999997</v>
      </c>
    </row>
    <row r="255" spans="1:11" ht="24" x14ac:dyDescent="0.2">
      <c r="A255" s="3" t="s">
        <v>428</v>
      </c>
      <c r="B255" s="2" t="s">
        <v>71</v>
      </c>
      <c r="C255" s="2" t="s">
        <v>13</v>
      </c>
      <c r="D255" s="2" t="s">
        <v>53</v>
      </c>
      <c r="E255" s="2" t="s">
        <v>3</v>
      </c>
      <c r="F255" s="2"/>
      <c r="G255" s="241">
        <f t="shared" ref="G255:H258" si="27">G256</f>
        <v>75.599999999999994</v>
      </c>
      <c r="H255" s="241">
        <f t="shared" si="27"/>
        <v>75.599999999999994</v>
      </c>
      <c r="I255" s="56">
        <f t="shared" si="25"/>
        <v>100</v>
      </c>
      <c r="J255" s="49"/>
      <c r="K255" s="48">
        <f t="shared" si="26"/>
        <v>100</v>
      </c>
    </row>
    <row r="256" spans="1:11" ht="36" x14ac:dyDescent="0.2">
      <c r="A256" s="3" t="s">
        <v>219</v>
      </c>
      <c r="B256" s="2" t="s">
        <v>71</v>
      </c>
      <c r="C256" s="2" t="s">
        <v>13</v>
      </c>
      <c r="D256" s="2" t="s">
        <v>53</v>
      </c>
      <c r="E256" s="2" t="s">
        <v>51</v>
      </c>
      <c r="F256" s="2"/>
      <c r="G256" s="246">
        <f t="shared" si="27"/>
        <v>75.599999999999994</v>
      </c>
      <c r="H256" s="246">
        <f t="shared" si="27"/>
        <v>75.599999999999994</v>
      </c>
      <c r="I256" s="56">
        <f t="shared" si="25"/>
        <v>100</v>
      </c>
      <c r="J256" s="49"/>
      <c r="K256" s="48">
        <f t="shared" si="26"/>
        <v>100</v>
      </c>
    </row>
    <row r="257" spans="1:11" ht="24" x14ac:dyDescent="0.2">
      <c r="A257" s="3" t="s">
        <v>49</v>
      </c>
      <c r="B257" s="2" t="s">
        <v>71</v>
      </c>
      <c r="C257" s="2" t="s">
        <v>13</v>
      </c>
      <c r="D257" s="2" t="s">
        <v>53</v>
      </c>
      <c r="E257" s="2" t="s">
        <v>220</v>
      </c>
      <c r="F257" s="2"/>
      <c r="G257" s="246">
        <f t="shared" si="27"/>
        <v>75.599999999999994</v>
      </c>
      <c r="H257" s="246">
        <f t="shared" si="27"/>
        <v>75.599999999999994</v>
      </c>
      <c r="I257" s="56">
        <f t="shared" si="25"/>
        <v>100</v>
      </c>
      <c r="J257" s="49"/>
      <c r="K257" s="48">
        <f t="shared" si="26"/>
        <v>100</v>
      </c>
    </row>
    <row r="258" spans="1:11" ht="36" x14ac:dyDescent="0.2">
      <c r="A258" s="3" t="s">
        <v>267</v>
      </c>
      <c r="B258" s="2" t="s">
        <v>71</v>
      </c>
      <c r="C258" s="2" t="s">
        <v>13</v>
      </c>
      <c r="D258" s="2" t="s">
        <v>53</v>
      </c>
      <c r="E258" s="2" t="s">
        <v>50</v>
      </c>
      <c r="F258" s="2"/>
      <c r="G258" s="246">
        <f t="shared" si="27"/>
        <v>75.599999999999994</v>
      </c>
      <c r="H258" s="246">
        <f t="shared" si="27"/>
        <v>75.599999999999994</v>
      </c>
      <c r="I258" s="56">
        <f t="shared" si="25"/>
        <v>100</v>
      </c>
      <c r="J258" s="49"/>
      <c r="K258" s="48">
        <f t="shared" si="26"/>
        <v>100</v>
      </c>
    </row>
    <row r="259" spans="1:11" ht="48" x14ac:dyDescent="0.2">
      <c r="A259" s="3" t="s">
        <v>33</v>
      </c>
      <c r="B259" s="2" t="s">
        <v>71</v>
      </c>
      <c r="C259" s="2" t="s">
        <v>13</v>
      </c>
      <c r="D259" s="2" t="s">
        <v>53</v>
      </c>
      <c r="E259" s="2" t="s">
        <v>50</v>
      </c>
      <c r="F259" s="2" t="s">
        <v>30</v>
      </c>
      <c r="G259" s="246">
        <v>75.599999999999994</v>
      </c>
      <c r="H259" s="246">
        <f>58.06452+17.53548</f>
        <v>75.599999999999994</v>
      </c>
      <c r="I259" s="56">
        <f t="shared" si="25"/>
        <v>100</v>
      </c>
      <c r="J259" s="49">
        <f>58.06452+17.53548</f>
        <v>75.599999999999994</v>
      </c>
      <c r="K259" s="48">
        <f>J259-I259</f>
        <v>-24.400000000000006</v>
      </c>
    </row>
    <row r="260" spans="1:11" ht="36" x14ac:dyDescent="0.2">
      <c r="A260" s="3" t="s">
        <v>207</v>
      </c>
      <c r="B260" s="2" t="s">
        <v>71</v>
      </c>
      <c r="C260" s="2" t="s">
        <v>13</v>
      </c>
      <c r="D260" s="2" t="s">
        <v>53</v>
      </c>
      <c r="E260" s="2" t="s">
        <v>1</v>
      </c>
      <c r="F260" s="2"/>
      <c r="G260" s="246">
        <f>G261+G266</f>
        <v>1281.2</v>
      </c>
      <c r="H260" s="246">
        <f>H261+H266</f>
        <v>1281</v>
      </c>
      <c r="I260" s="56">
        <f t="shared" si="25"/>
        <v>99.984389634717445</v>
      </c>
      <c r="J260" s="49"/>
      <c r="K260" s="48">
        <f t="shared" si="26"/>
        <v>99.984389634717445</v>
      </c>
    </row>
    <row r="261" spans="1:11" ht="48.75" x14ac:dyDescent="0.25">
      <c r="A261" s="3" t="s">
        <v>288</v>
      </c>
      <c r="B261" s="2" t="s">
        <v>71</v>
      </c>
      <c r="C261" s="2" t="s">
        <v>13</v>
      </c>
      <c r="D261" s="2" t="s">
        <v>53</v>
      </c>
      <c r="E261" s="2" t="s">
        <v>84</v>
      </c>
      <c r="F261" s="2"/>
      <c r="G261" s="249">
        <f>G262</f>
        <v>1281</v>
      </c>
      <c r="H261" s="249">
        <f>H262</f>
        <v>1281</v>
      </c>
      <c r="I261" s="56">
        <f t="shared" si="25"/>
        <v>100</v>
      </c>
      <c r="J261" s="49"/>
      <c r="K261" s="48">
        <f t="shared" si="26"/>
        <v>100</v>
      </c>
    </row>
    <row r="262" spans="1:11" ht="24.75" x14ac:dyDescent="0.25">
      <c r="A262" s="3" t="s">
        <v>221</v>
      </c>
      <c r="B262" s="2" t="s">
        <v>71</v>
      </c>
      <c r="C262" s="2" t="s">
        <v>13</v>
      </c>
      <c r="D262" s="2" t="s">
        <v>53</v>
      </c>
      <c r="E262" s="2" t="s">
        <v>289</v>
      </c>
      <c r="F262" s="2"/>
      <c r="G262" s="249">
        <f>G263</f>
        <v>1281</v>
      </c>
      <c r="H262" s="249">
        <f>H263</f>
        <v>1281</v>
      </c>
      <c r="I262" s="56">
        <f t="shared" si="25"/>
        <v>100</v>
      </c>
      <c r="J262" s="49"/>
      <c r="K262" s="48">
        <f t="shared" si="26"/>
        <v>100</v>
      </c>
    </row>
    <row r="263" spans="1:11" ht="36.75" x14ac:dyDescent="0.25">
      <c r="A263" s="3" t="s">
        <v>222</v>
      </c>
      <c r="B263" s="2" t="s">
        <v>71</v>
      </c>
      <c r="C263" s="2" t="s">
        <v>13</v>
      </c>
      <c r="D263" s="2" t="s">
        <v>53</v>
      </c>
      <c r="E263" s="2" t="s">
        <v>290</v>
      </c>
      <c r="F263" s="2"/>
      <c r="G263" s="249">
        <f>G264+G265</f>
        <v>1281</v>
      </c>
      <c r="H263" s="249">
        <f>H264+H265</f>
        <v>1281</v>
      </c>
      <c r="I263" s="56">
        <f t="shared" si="25"/>
        <v>100</v>
      </c>
      <c r="J263" s="49"/>
      <c r="K263" s="48">
        <f t="shared" si="26"/>
        <v>100</v>
      </c>
    </row>
    <row r="264" spans="1:11" ht="48.75" x14ac:dyDescent="0.25">
      <c r="A264" s="3" t="s">
        <v>33</v>
      </c>
      <c r="B264" s="2" t="s">
        <v>71</v>
      </c>
      <c r="C264" s="2" t="s">
        <v>13</v>
      </c>
      <c r="D264" s="2" t="s">
        <v>53</v>
      </c>
      <c r="E264" s="2" t="s">
        <v>290</v>
      </c>
      <c r="F264" s="2" t="s">
        <v>30</v>
      </c>
      <c r="G264" s="249">
        <v>1137.9894999999999</v>
      </c>
      <c r="H264" s="249">
        <f>215.81868+63.46341+661.3851+197.32231</f>
        <v>1137.9894999999999</v>
      </c>
      <c r="I264" s="56">
        <f t="shared" si="25"/>
        <v>100</v>
      </c>
      <c r="J264" s="49">
        <f>215.81868+63.46341+685.24406+173.46335</f>
        <v>1137.9894999999999</v>
      </c>
      <c r="K264" s="48">
        <f>J264-I264</f>
        <v>1037.9894999999999</v>
      </c>
    </row>
    <row r="265" spans="1:11" ht="24.75" x14ac:dyDescent="0.25">
      <c r="A265" s="3" t="s">
        <v>41</v>
      </c>
      <c r="B265" s="2" t="s">
        <v>71</v>
      </c>
      <c r="C265" s="2" t="s">
        <v>13</v>
      </c>
      <c r="D265" s="2" t="s">
        <v>53</v>
      </c>
      <c r="E265" s="2" t="s">
        <v>290</v>
      </c>
      <c r="F265" s="2" t="s">
        <v>45</v>
      </c>
      <c r="G265" s="249">
        <v>143.01050000000001</v>
      </c>
      <c r="H265" s="249">
        <v>143.01050000000001</v>
      </c>
      <c r="I265" s="56">
        <f t="shared" si="25"/>
        <v>100</v>
      </c>
      <c r="J265" s="49">
        <f>143.0105</f>
        <v>143.01050000000001</v>
      </c>
      <c r="K265" s="48">
        <f>J265-I265</f>
        <v>43.010500000000008</v>
      </c>
    </row>
    <row r="266" spans="1:11" ht="48.75" x14ac:dyDescent="0.25">
      <c r="A266" s="3" t="s">
        <v>312</v>
      </c>
      <c r="B266" s="2" t="s">
        <v>71</v>
      </c>
      <c r="C266" s="2" t="s">
        <v>13</v>
      </c>
      <c r="D266" s="2" t="s">
        <v>53</v>
      </c>
      <c r="E266" s="2" t="s">
        <v>81</v>
      </c>
      <c r="F266" s="2"/>
      <c r="G266" s="249">
        <f t="shared" ref="G266:H268" si="28">G267</f>
        <v>0.2</v>
      </c>
      <c r="H266" s="249">
        <f t="shared" si="28"/>
        <v>0</v>
      </c>
      <c r="I266" s="56">
        <f t="shared" si="25"/>
        <v>0</v>
      </c>
      <c r="J266" s="49"/>
      <c r="K266" s="48">
        <f t="shared" si="26"/>
        <v>0</v>
      </c>
    </row>
    <row r="267" spans="1:11" ht="24.75" x14ac:dyDescent="0.25">
      <c r="A267" s="3" t="s">
        <v>380</v>
      </c>
      <c r="B267" s="2" t="s">
        <v>71</v>
      </c>
      <c r="C267" s="2" t="s">
        <v>13</v>
      </c>
      <c r="D267" s="2" t="s">
        <v>53</v>
      </c>
      <c r="E267" s="2" t="s">
        <v>382</v>
      </c>
      <c r="F267" s="2"/>
      <c r="G267" s="249">
        <f t="shared" si="28"/>
        <v>0.2</v>
      </c>
      <c r="H267" s="249">
        <f t="shared" si="28"/>
        <v>0</v>
      </c>
      <c r="I267" s="56">
        <f t="shared" si="25"/>
        <v>0</v>
      </c>
      <c r="J267" s="49"/>
      <c r="K267" s="48">
        <f t="shared" si="26"/>
        <v>0</v>
      </c>
    </row>
    <row r="268" spans="1:11" ht="48.75" x14ac:dyDescent="0.25">
      <c r="A268" s="3" t="s">
        <v>381</v>
      </c>
      <c r="B268" s="2" t="s">
        <v>71</v>
      </c>
      <c r="C268" s="2" t="s">
        <v>13</v>
      </c>
      <c r="D268" s="2" t="s">
        <v>53</v>
      </c>
      <c r="E268" s="2" t="s">
        <v>383</v>
      </c>
      <c r="F268" s="2"/>
      <c r="G268" s="249">
        <f t="shared" si="28"/>
        <v>0.2</v>
      </c>
      <c r="H268" s="249">
        <f t="shared" si="28"/>
        <v>0</v>
      </c>
      <c r="I268" s="56">
        <f t="shared" si="25"/>
        <v>0</v>
      </c>
      <c r="J268" s="49"/>
      <c r="K268" s="48">
        <f t="shared" si="26"/>
        <v>0</v>
      </c>
    </row>
    <row r="269" spans="1:11" ht="24.75" x14ac:dyDescent="0.25">
      <c r="A269" s="3" t="s">
        <v>41</v>
      </c>
      <c r="B269" s="2" t="s">
        <v>71</v>
      </c>
      <c r="C269" s="2" t="s">
        <v>13</v>
      </c>
      <c r="D269" s="2" t="s">
        <v>53</v>
      </c>
      <c r="E269" s="2" t="s">
        <v>383</v>
      </c>
      <c r="F269" s="2" t="s">
        <v>45</v>
      </c>
      <c r="G269" s="249">
        <v>0.2</v>
      </c>
      <c r="H269" s="249">
        <v>0</v>
      </c>
      <c r="I269" s="56">
        <f t="shared" si="25"/>
        <v>0</v>
      </c>
      <c r="J269" s="49">
        <v>0.2</v>
      </c>
      <c r="K269" s="48">
        <f>J269-I269</f>
        <v>0.2</v>
      </c>
    </row>
    <row r="270" spans="1:11" ht="12.75" x14ac:dyDescent="0.2">
      <c r="A270" s="3" t="s">
        <v>185</v>
      </c>
      <c r="B270" s="2" t="s">
        <v>71</v>
      </c>
      <c r="C270" s="2" t="s">
        <v>13</v>
      </c>
      <c r="D270" s="2" t="s">
        <v>31</v>
      </c>
      <c r="E270" s="2"/>
      <c r="F270" s="2"/>
      <c r="G270" s="246">
        <f>+G272</f>
        <v>9.9</v>
      </c>
      <c r="H270" s="246">
        <f>+H272</f>
        <v>0</v>
      </c>
      <c r="I270" s="56">
        <f t="shared" si="25"/>
        <v>0</v>
      </c>
      <c r="J270" s="49">
        <v>9.9</v>
      </c>
      <c r="K270" s="48">
        <f t="shared" si="26"/>
        <v>-9.9</v>
      </c>
    </row>
    <row r="271" spans="1:11" ht="36" x14ac:dyDescent="0.2">
      <c r="A271" s="3" t="s">
        <v>468</v>
      </c>
      <c r="B271" s="2" t="s">
        <v>71</v>
      </c>
      <c r="C271" s="2" t="s">
        <v>13</v>
      </c>
      <c r="D271" s="2" t="s">
        <v>31</v>
      </c>
      <c r="E271" s="2" t="s">
        <v>2</v>
      </c>
      <c r="F271" s="2"/>
      <c r="G271" s="56">
        <f>G272</f>
        <v>9.9</v>
      </c>
      <c r="H271" s="56">
        <f>H272</f>
        <v>0</v>
      </c>
      <c r="I271" s="56">
        <f t="shared" si="25"/>
        <v>0</v>
      </c>
      <c r="J271" s="49"/>
      <c r="K271" s="48">
        <f t="shared" si="26"/>
        <v>0</v>
      </c>
    </row>
    <row r="272" spans="1:11" ht="60" x14ac:dyDescent="0.2">
      <c r="A272" s="3" t="s">
        <v>286</v>
      </c>
      <c r="B272" s="2" t="s">
        <v>71</v>
      </c>
      <c r="C272" s="2" t="s">
        <v>13</v>
      </c>
      <c r="D272" s="2" t="s">
        <v>31</v>
      </c>
      <c r="E272" s="2" t="s">
        <v>11</v>
      </c>
      <c r="F272" s="2"/>
      <c r="G272" s="242">
        <f t="shared" ref="G272:H274" si="29">G273</f>
        <v>9.9</v>
      </c>
      <c r="H272" s="242">
        <f t="shared" si="29"/>
        <v>0</v>
      </c>
      <c r="I272" s="56">
        <f t="shared" si="25"/>
        <v>0</v>
      </c>
      <c r="J272" s="49"/>
      <c r="K272" s="48">
        <f t="shared" si="26"/>
        <v>0</v>
      </c>
    </row>
    <row r="273" spans="1:11" ht="36" x14ac:dyDescent="0.2">
      <c r="A273" s="3" t="s">
        <v>293</v>
      </c>
      <c r="B273" s="2" t="s">
        <v>71</v>
      </c>
      <c r="C273" s="2" t="s">
        <v>13</v>
      </c>
      <c r="D273" s="2" t="s">
        <v>31</v>
      </c>
      <c r="E273" s="2" t="s">
        <v>9</v>
      </c>
      <c r="F273" s="2"/>
      <c r="G273" s="242">
        <f t="shared" si="29"/>
        <v>9.9</v>
      </c>
      <c r="H273" s="242">
        <f t="shared" si="29"/>
        <v>0</v>
      </c>
      <c r="I273" s="56">
        <f t="shared" si="25"/>
        <v>0</v>
      </c>
      <c r="J273" s="49"/>
      <c r="K273" s="48">
        <f t="shared" si="26"/>
        <v>0</v>
      </c>
    </row>
    <row r="274" spans="1:11" ht="48" x14ac:dyDescent="0.2">
      <c r="A274" s="3" t="s">
        <v>110</v>
      </c>
      <c r="B274" s="2" t="s">
        <v>71</v>
      </c>
      <c r="C274" s="2" t="s">
        <v>13</v>
      </c>
      <c r="D274" s="2" t="s">
        <v>31</v>
      </c>
      <c r="E274" s="2" t="s">
        <v>354</v>
      </c>
      <c r="F274" s="2"/>
      <c r="G274" s="242">
        <f t="shared" si="29"/>
        <v>9.9</v>
      </c>
      <c r="H274" s="242">
        <f t="shared" si="29"/>
        <v>0</v>
      </c>
      <c r="I274" s="56">
        <f t="shared" si="25"/>
        <v>0</v>
      </c>
      <c r="J274" s="49"/>
      <c r="K274" s="48">
        <f t="shared" si="26"/>
        <v>0</v>
      </c>
    </row>
    <row r="275" spans="1:11" ht="24" x14ac:dyDescent="0.2">
      <c r="A275" s="3" t="s">
        <v>41</v>
      </c>
      <c r="B275" s="2" t="s">
        <v>71</v>
      </c>
      <c r="C275" s="2" t="s">
        <v>13</v>
      </c>
      <c r="D275" s="2" t="s">
        <v>31</v>
      </c>
      <c r="E275" s="2" t="s">
        <v>354</v>
      </c>
      <c r="F275" s="2" t="s">
        <v>45</v>
      </c>
      <c r="G275" s="242">
        <v>9.9</v>
      </c>
      <c r="H275" s="242">
        <v>0</v>
      </c>
      <c r="I275" s="56">
        <f t="shared" si="25"/>
        <v>0</v>
      </c>
      <c r="J275" s="49">
        <v>9.9</v>
      </c>
      <c r="K275" s="48">
        <f>J275-I275</f>
        <v>9.9</v>
      </c>
    </row>
    <row r="276" spans="1:11" ht="24" x14ac:dyDescent="0.2">
      <c r="A276" s="3" t="s">
        <v>123</v>
      </c>
      <c r="B276" s="2" t="s">
        <v>71</v>
      </c>
      <c r="C276" s="2" t="s">
        <v>13</v>
      </c>
      <c r="D276" s="2" t="s">
        <v>47</v>
      </c>
      <c r="E276" s="2"/>
      <c r="F276" s="2"/>
      <c r="G276" s="56">
        <f>G278</f>
        <v>1159.471</v>
      </c>
      <c r="H276" s="56">
        <f>H278</f>
        <v>1154.3283200000001</v>
      </c>
      <c r="I276" s="56">
        <f t="shared" si="25"/>
        <v>99.556463249188639</v>
      </c>
      <c r="J276" s="49">
        <v>1159.471</v>
      </c>
      <c r="K276" s="48">
        <f t="shared" si="26"/>
        <v>-1059.9145367508113</v>
      </c>
    </row>
    <row r="277" spans="1:11" ht="12.75" x14ac:dyDescent="0.2">
      <c r="A277" s="3" t="s">
        <v>430</v>
      </c>
      <c r="B277" s="2" t="s">
        <v>71</v>
      </c>
      <c r="C277" s="2" t="s">
        <v>13</v>
      </c>
      <c r="D277" s="2" t="s">
        <v>47</v>
      </c>
      <c r="E277" s="2" t="s">
        <v>0</v>
      </c>
      <c r="F277" s="2"/>
      <c r="G277" s="56">
        <f t="shared" ref="G277:H279" si="30">G278</f>
        <v>1159.471</v>
      </c>
      <c r="H277" s="56">
        <f t="shared" si="30"/>
        <v>1154.3283200000001</v>
      </c>
      <c r="I277" s="56">
        <f t="shared" si="25"/>
        <v>99.556463249188639</v>
      </c>
      <c r="J277" s="49"/>
      <c r="K277" s="48"/>
    </row>
    <row r="278" spans="1:11" ht="24" x14ac:dyDescent="0.2">
      <c r="A278" s="3" t="s">
        <v>120</v>
      </c>
      <c r="B278" s="2" t="s">
        <v>71</v>
      </c>
      <c r="C278" s="2" t="s">
        <v>13</v>
      </c>
      <c r="D278" s="2" t="s">
        <v>47</v>
      </c>
      <c r="E278" s="2" t="s">
        <v>119</v>
      </c>
      <c r="F278" s="2"/>
      <c r="G278" s="242">
        <f t="shared" si="30"/>
        <v>1159.471</v>
      </c>
      <c r="H278" s="242">
        <f t="shared" si="30"/>
        <v>1154.3283200000001</v>
      </c>
      <c r="I278" s="56">
        <f t="shared" si="25"/>
        <v>99.556463249188639</v>
      </c>
      <c r="J278" s="49"/>
      <c r="K278" s="48"/>
    </row>
    <row r="279" spans="1:11" ht="24" x14ac:dyDescent="0.2">
      <c r="A279" s="3" t="s">
        <v>118</v>
      </c>
      <c r="B279" s="2" t="s">
        <v>71</v>
      </c>
      <c r="C279" s="2" t="s">
        <v>13</v>
      </c>
      <c r="D279" s="2" t="s">
        <v>47</v>
      </c>
      <c r="E279" s="2" t="s">
        <v>117</v>
      </c>
      <c r="F279" s="2"/>
      <c r="G279" s="242">
        <f t="shared" si="30"/>
        <v>1159.471</v>
      </c>
      <c r="H279" s="242">
        <f t="shared" si="30"/>
        <v>1154.3283200000001</v>
      </c>
      <c r="I279" s="56">
        <f t="shared" si="25"/>
        <v>99.556463249188639</v>
      </c>
      <c r="J279" s="49"/>
      <c r="K279" s="48"/>
    </row>
    <row r="280" spans="1:11" ht="48" x14ac:dyDescent="0.2">
      <c r="A280" s="3" t="s">
        <v>33</v>
      </c>
      <c r="B280" s="2" t="s">
        <v>71</v>
      </c>
      <c r="C280" s="2" t="s">
        <v>13</v>
      </c>
      <c r="D280" s="2" t="s">
        <v>47</v>
      </c>
      <c r="E280" s="2" t="s">
        <v>117</v>
      </c>
      <c r="F280" s="2" t="s">
        <v>30</v>
      </c>
      <c r="G280" s="242">
        <v>1159.471</v>
      </c>
      <c r="H280" s="242">
        <f>890.53118+263.79714</f>
        <v>1154.3283200000001</v>
      </c>
      <c r="I280" s="56">
        <f t="shared" si="25"/>
        <v>99.556463249188639</v>
      </c>
      <c r="J280" s="49">
        <f>890.53118+268.93982</f>
        <v>1159.471</v>
      </c>
      <c r="K280" s="48"/>
    </row>
    <row r="281" spans="1:11" ht="24" x14ac:dyDescent="0.2">
      <c r="A281" s="3" t="s">
        <v>123</v>
      </c>
      <c r="B281" s="2" t="s">
        <v>71</v>
      </c>
      <c r="C281" s="2" t="s">
        <v>13</v>
      </c>
      <c r="D281" s="2" t="s">
        <v>70</v>
      </c>
      <c r="E281" s="2"/>
      <c r="F281" s="2"/>
      <c r="G281" s="56">
        <f>G283</f>
        <v>141.69</v>
      </c>
      <c r="H281" s="56">
        <f>H283</f>
        <v>141.55420000000001</v>
      </c>
      <c r="I281" s="56">
        <f t="shared" si="25"/>
        <v>99.904156962382672</v>
      </c>
      <c r="J281" s="49">
        <v>141.69</v>
      </c>
      <c r="K281" s="48">
        <f t="shared" si="26"/>
        <v>-41.785843037617326</v>
      </c>
    </row>
    <row r="282" spans="1:11" ht="12.75" x14ac:dyDescent="0.2">
      <c r="A282" s="3" t="s">
        <v>430</v>
      </c>
      <c r="B282" s="2" t="s">
        <v>71</v>
      </c>
      <c r="C282" s="2" t="s">
        <v>13</v>
      </c>
      <c r="D282" s="2" t="s">
        <v>70</v>
      </c>
      <c r="E282" s="2" t="s">
        <v>0</v>
      </c>
      <c r="F282" s="2"/>
      <c r="G282" s="56">
        <f>G283</f>
        <v>141.69</v>
      </c>
      <c r="H282" s="56">
        <f>H283</f>
        <v>141.55420000000001</v>
      </c>
      <c r="I282" s="56">
        <f t="shared" si="25"/>
        <v>99.904156962382672</v>
      </c>
      <c r="J282" s="49"/>
      <c r="K282" s="48"/>
    </row>
    <row r="283" spans="1:11" ht="24" x14ac:dyDescent="0.2">
      <c r="A283" s="3" t="s">
        <v>413</v>
      </c>
      <c r="B283" s="2" t="s">
        <v>71</v>
      </c>
      <c r="C283" s="2" t="s">
        <v>13</v>
      </c>
      <c r="D283" s="2" t="s">
        <v>70</v>
      </c>
      <c r="E283" s="2" t="s">
        <v>414</v>
      </c>
      <c r="F283" s="2"/>
      <c r="G283" s="56">
        <f>G284</f>
        <v>141.69</v>
      </c>
      <c r="H283" s="56">
        <f>H284</f>
        <v>141.55420000000001</v>
      </c>
      <c r="I283" s="56">
        <f t="shared" si="25"/>
        <v>99.904156962382672</v>
      </c>
      <c r="J283" s="49"/>
      <c r="K283" s="48"/>
    </row>
    <row r="284" spans="1:11" ht="24" x14ac:dyDescent="0.2">
      <c r="A284" s="6" t="s">
        <v>65</v>
      </c>
      <c r="B284" s="2" t="s">
        <v>71</v>
      </c>
      <c r="C284" s="2" t="s">
        <v>13</v>
      </c>
      <c r="D284" s="2" t="s">
        <v>70</v>
      </c>
      <c r="E284" s="2" t="s">
        <v>414</v>
      </c>
      <c r="F284" s="2" t="s">
        <v>71</v>
      </c>
      <c r="G284" s="56">
        <v>141.69</v>
      </c>
      <c r="H284" s="242">
        <v>141.55420000000001</v>
      </c>
      <c r="I284" s="56">
        <f t="shared" si="25"/>
        <v>99.904156962382672</v>
      </c>
      <c r="J284" s="49">
        <v>141.69</v>
      </c>
      <c r="K284" s="48"/>
    </row>
    <row r="285" spans="1:11" ht="12.75" x14ac:dyDescent="0.2">
      <c r="A285" s="3" t="s">
        <v>114</v>
      </c>
      <c r="B285" s="2" t="s">
        <v>71</v>
      </c>
      <c r="C285" s="2" t="s">
        <v>13</v>
      </c>
      <c r="D285" s="2" t="s">
        <v>21</v>
      </c>
      <c r="E285" s="2"/>
      <c r="F285" s="2"/>
      <c r="G285" s="56">
        <f>G287+G293+G304+G300</f>
        <v>1113.462</v>
      </c>
      <c r="H285" s="56">
        <f>H287+H293+H304+H300</f>
        <v>1108.462</v>
      </c>
      <c r="I285" s="56">
        <f t="shared" si="25"/>
        <v>99.550950099778888</v>
      </c>
      <c r="J285" s="49">
        <v>518.46199999999999</v>
      </c>
      <c r="K285" s="48">
        <f t="shared" si="26"/>
        <v>-418.91104990022109</v>
      </c>
    </row>
    <row r="286" spans="1:11" ht="24" x14ac:dyDescent="0.2">
      <c r="A286" s="3" t="s">
        <v>428</v>
      </c>
      <c r="B286" s="2" t="s">
        <v>71</v>
      </c>
      <c r="C286" s="2" t="s">
        <v>13</v>
      </c>
      <c r="D286" s="2" t="s">
        <v>21</v>
      </c>
      <c r="E286" s="2" t="s">
        <v>3</v>
      </c>
      <c r="F286" s="2"/>
      <c r="G286" s="56">
        <f t="shared" ref="G286:H288" si="31">G287</f>
        <v>760.9</v>
      </c>
      <c r="H286" s="56">
        <f t="shared" si="31"/>
        <v>760.9</v>
      </c>
      <c r="I286" s="56">
        <f t="shared" si="25"/>
        <v>100</v>
      </c>
      <c r="J286" s="49"/>
      <c r="K286" s="48">
        <f t="shared" si="26"/>
        <v>100</v>
      </c>
    </row>
    <row r="287" spans="1:11" ht="36" x14ac:dyDescent="0.2">
      <c r="A287" s="3" t="s">
        <v>291</v>
      </c>
      <c r="B287" s="2" t="s">
        <v>71</v>
      </c>
      <c r="C287" s="2" t="s">
        <v>13</v>
      </c>
      <c r="D287" s="2" t="s">
        <v>21</v>
      </c>
      <c r="E287" s="2" t="s">
        <v>35</v>
      </c>
      <c r="F287" s="2"/>
      <c r="G287" s="242">
        <f t="shared" si="31"/>
        <v>760.9</v>
      </c>
      <c r="H287" s="242">
        <f t="shared" si="31"/>
        <v>760.9</v>
      </c>
      <c r="I287" s="56">
        <f t="shared" si="25"/>
        <v>100</v>
      </c>
      <c r="J287" s="49"/>
      <c r="K287" s="48">
        <f t="shared" si="26"/>
        <v>100</v>
      </c>
    </row>
    <row r="288" spans="1:11" ht="36" x14ac:dyDescent="0.2">
      <c r="A288" s="3" t="s">
        <v>262</v>
      </c>
      <c r="B288" s="2" t="s">
        <v>71</v>
      </c>
      <c r="C288" s="2" t="s">
        <v>13</v>
      </c>
      <c r="D288" s="2" t="s">
        <v>21</v>
      </c>
      <c r="E288" s="2" t="s">
        <v>227</v>
      </c>
      <c r="F288" s="2"/>
      <c r="G288" s="242">
        <f t="shared" si="31"/>
        <v>760.9</v>
      </c>
      <c r="H288" s="242">
        <f t="shared" si="31"/>
        <v>760.9</v>
      </c>
      <c r="I288" s="56">
        <f t="shared" si="25"/>
        <v>100</v>
      </c>
      <c r="J288" s="49"/>
      <c r="K288" s="48">
        <f t="shared" si="26"/>
        <v>100</v>
      </c>
    </row>
    <row r="289" spans="1:11" ht="72" x14ac:dyDescent="0.2">
      <c r="A289" s="3" t="s">
        <v>292</v>
      </c>
      <c r="B289" s="2" t="s">
        <v>71</v>
      </c>
      <c r="C289" s="2" t="s">
        <v>13</v>
      </c>
      <c r="D289" s="2" t="s">
        <v>21</v>
      </c>
      <c r="E289" s="2" t="s">
        <v>111</v>
      </c>
      <c r="F289" s="2"/>
      <c r="G289" s="242">
        <f>G290+G291</f>
        <v>760.9</v>
      </c>
      <c r="H289" s="242">
        <f>H290+H291</f>
        <v>760.9</v>
      </c>
      <c r="I289" s="56">
        <f t="shared" si="25"/>
        <v>100</v>
      </c>
      <c r="J289" s="49"/>
      <c r="K289" s="48">
        <f t="shared" si="26"/>
        <v>100</v>
      </c>
    </row>
    <row r="290" spans="1:11" ht="48" x14ac:dyDescent="0.2">
      <c r="A290" s="3" t="s">
        <v>33</v>
      </c>
      <c r="B290" s="2" t="s">
        <v>71</v>
      </c>
      <c r="C290" s="2" t="s">
        <v>13</v>
      </c>
      <c r="D290" s="2" t="s">
        <v>21</v>
      </c>
      <c r="E290" s="2" t="s">
        <v>111</v>
      </c>
      <c r="F290" s="2" t="s">
        <v>30</v>
      </c>
      <c r="G290" s="242">
        <v>724.84847000000002</v>
      </c>
      <c r="H290" s="242">
        <f>558.53621+166.31226</f>
        <v>724.84847000000002</v>
      </c>
      <c r="I290" s="56">
        <f t="shared" si="25"/>
        <v>100</v>
      </c>
      <c r="J290" s="49">
        <f>558.53621+166.31226</f>
        <v>724.84847000000002</v>
      </c>
      <c r="K290" s="48">
        <f>J290-I290</f>
        <v>624.84847000000002</v>
      </c>
    </row>
    <row r="291" spans="1:11" ht="24" x14ac:dyDescent="0.2">
      <c r="A291" s="3" t="s">
        <v>41</v>
      </c>
      <c r="B291" s="2" t="s">
        <v>71</v>
      </c>
      <c r="C291" s="2" t="s">
        <v>13</v>
      </c>
      <c r="D291" s="2" t="s">
        <v>21</v>
      </c>
      <c r="E291" s="2" t="s">
        <v>111</v>
      </c>
      <c r="F291" s="2" t="s">
        <v>45</v>
      </c>
      <c r="G291" s="242">
        <v>36.05153</v>
      </c>
      <c r="H291" s="242">
        <f>36.05153</f>
        <v>36.05153</v>
      </c>
      <c r="I291" s="56">
        <f t="shared" si="25"/>
        <v>100</v>
      </c>
      <c r="J291" s="49">
        <v>36.05153</v>
      </c>
      <c r="K291" s="48">
        <f>J291-I291</f>
        <v>-63.94847</v>
      </c>
    </row>
    <row r="292" spans="1:11" ht="24" x14ac:dyDescent="0.2">
      <c r="A292" s="3" t="s">
        <v>456</v>
      </c>
      <c r="B292" s="2" t="s">
        <v>71</v>
      </c>
      <c r="C292" s="2" t="s">
        <v>13</v>
      </c>
      <c r="D292" s="2" t="s">
        <v>21</v>
      </c>
      <c r="E292" s="2" t="s">
        <v>2</v>
      </c>
      <c r="F292" s="2"/>
      <c r="G292" s="56">
        <f>G293</f>
        <v>306.59999999999997</v>
      </c>
      <c r="H292" s="56">
        <f>H293</f>
        <v>306.59999999999997</v>
      </c>
      <c r="I292" s="56">
        <f t="shared" si="25"/>
        <v>100</v>
      </c>
      <c r="J292" s="49"/>
      <c r="K292" s="48">
        <f t="shared" si="26"/>
        <v>100</v>
      </c>
    </row>
    <row r="293" spans="1:11" ht="24" x14ac:dyDescent="0.2">
      <c r="A293" s="3" t="s">
        <v>285</v>
      </c>
      <c r="B293" s="2" t="s">
        <v>71</v>
      </c>
      <c r="C293" s="2" t="s">
        <v>13</v>
      </c>
      <c r="D293" s="2" t="s">
        <v>21</v>
      </c>
      <c r="E293" s="2" t="s">
        <v>11</v>
      </c>
      <c r="F293" s="2"/>
      <c r="G293" s="242">
        <f>G294</f>
        <v>306.59999999999997</v>
      </c>
      <c r="H293" s="242">
        <f>H294</f>
        <v>306.59999999999997</v>
      </c>
      <c r="I293" s="56">
        <f t="shared" si="25"/>
        <v>100</v>
      </c>
      <c r="J293" s="49"/>
      <c r="K293" s="48">
        <f t="shared" si="26"/>
        <v>100</v>
      </c>
    </row>
    <row r="294" spans="1:11" ht="36" x14ac:dyDescent="0.2">
      <c r="A294" s="3" t="s">
        <v>293</v>
      </c>
      <c r="B294" s="2" t="s">
        <v>71</v>
      </c>
      <c r="C294" s="2" t="s">
        <v>13</v>
      </c>
      <c r="D294" s="2" t="s">
        <v>21</v>
      </c>
      <c r="E294" s="2" t="s">
        <v>9</v>
      </c>
      <c r="F294" s="2"/>
      <c r="G294" s="242">
        <f>G295+G297</f>
        <v>306.59999999999997</v>
      </c>
      <c r="H294" s="242">
        <f>H295+H297</f>
        <v>306.59999999999997</v>
      </c>
      <c r="I294" s="56">
        <f t="shared" si="25"/>
        <v>100</v>
      </c>
      <c r="J294" s="49"/>
      <c r="K294" s="48">
        <f t="shared" si="26"/>
        <v>100</v>
      </c>
    </row>
    <row r="295" spans="1:11" ht="36" x14ac:dyDescent="0.2">
      <c r="A295" s="3" t="s">
        <v>268</v>
      </c>
      <c r="B295" s="2" t="s">
        <v>71</v>
      </c>
      <c r="C295" s="2" t="s">
        <v>13</v>
      </c>
      <c r="D295" s="2" t="s">
        <v>21</v>
      </c>
      <c r="E295" s="2" t="s">
        <v>294</v>
      </c>
      <c r="F295" s="2"/>
      <c r="G295" s="242">
        <f>G296</f>
        <v>51.8</v>
      </c>
      <c r="H295" s="242">
        <f>H296</f>
        <v>51.8</v>
      </c>
      <c r="I295" s="56">
        <f t="shared" si="25"/>
        <v>100</v>
      </c>
      <c r="J295" s="49"/>
      <c r="K295" s="48">
        <f t="shared" si="26"/>
        <v>100</v>
      </c>
    </row>
    <row r="296" spans="1:11" ht="24" x14ac:dyDescent="0.2">
      <c r="A296" s="3" t="s">
        <v>41</v>
      </c>
      <c r="B296" s="2" t="s">
        <v>71</v>
      </c>
      <c r="C296" s="2" t="s">
        <v>13</v>
      </c>
      <c r="D296" s="2" t="s">
        <v>21</v>
      </c>
      <c r="E296" s="2" t="s">
        <v>294</v>
      </c>
      <c r="F296" s="2" t="s">
        <v>45</v>
      </c>
      <c r="G296" s="242">
        <v>51.8</v>
      </c>
      <c r="H296" s="242">
        <v>51.8</v>
      </c>
      <c r="I296" s="56">
        <f t="shared" si="25"/>
        <v>100</v>
      </c>
      <c r="J296" s="49">
        <v>51.8</v>
      </c>
      <c r="K296" s="48">
        <f>J296-I296</f>
        <v>-48.2</v>
      </c>
    </row>
    <row r="297" spans="1:11" ht="60" x14ac:dyDescent="0.2">
      <c r="A297" s="3" t="s">
        <v>269</v>
      </c>
      <c r="B297" s="2" t="s">
        <v>71</v>
      </c>
      <c r="C297" s="2" t="s">
        <v>13</v>
      </c>
      <c r="D297" s="2" t="s">
        <v>21</v>
      </c>
      <c r="E297" s="2" t="s">
        <v>295</v>
      </c>
      <c r="F297" s="2"/>
      <c r="G297" s="242">
        <f>G298</f>
        <v>254.79999999999998</v>
      </c>
      <c r="H297" s="242">
        <f>H298</f>
        <v>254.79999999999998</v>
      </c>
      <c r="I297" s="56">
        <f t="shared" si="25"/>
        <v>100</v>
      </c>
      <c r="J297" s="49"/>
      <c r="K297" s="48">
        <f t="shared" si="26"/>
        <v>100</v>
      </c>
    </row>
    <row r="298" spans="1:11" ht="48" x14ac:dyDescent="0.2">
      <c r="A298" s="3" t="s">
        <v>33</v>
      </c>
      <c r="B298" s="2" t="s">
        <v>71</v>
      </c>
      <c r="C298" s="2" t="s">
        <v>13</v>
      </c>
      <c r="D298" s="2" t="s">
        <v>21</v>
      </c>
      <c r="E298" s="2" t="s">
        <v>295</v>
      </c>
      <c r="F298" s="2" t="s">
        <v>30</v>
      </c>
      <c r="G298" s="242">
        <f>195.69892+59.10108</f>
        <v>254.79999999999998</v>
      </c>
      <c r="H298" s="242">
        <f>195.69892+59.10108</f>
        <v>254.79999999999998</v>
      </c>
      <c r="I298" s="56">
        <f t="shared" si="25"/>
        <v>100</v>
      </c>
      <c r="J298" s="49">
        <f>195.69892+59.10108</f>
        <v>254.79999999999998</v>
      </c>
      <c r="K298" s="48">
        <f>J298-I298</f>
        <v>154.79999999999998</v>
      </c>
    </row>
    <row r="299" spans="1:11" ht="36" x14ac:dyDescent="0.2">
      <c r="A299" s="3" t="s">
        <v>207</v>
      </c>
      <c r="B299" s="2" t="s">
        <v>71</v>
      </c>
      <c r="C299" s="2" t="s">
        <v>13</v>
      </c>
      <c r="D299" s="2" t="s">
        <v>21</v>
      </c>
      <c r="E299" s="2" t="s">
        <v>1</v>
      </c>
      <c r="F299" s="2"/>
      <c r="G299" s="242">
        <f>G300+G304</f>
        <v>45.962000000000003</v>
      </c>
      <c r="H299" s="242">
        <f>H300+H304</f>
        <v>40.962000000000003</v>
      </c>
      <c r="I299" s="56">
        <f t="shared" si="25"/>
        <v>89.121448152821898</v>
      </c>
      <c r="J299" s="49"/>
      <c r="K299" s="48">
        <f t="shared" si="26"/>
        <v>89.121448152821898</v>
      </c>
    </row>
    <row r="300" spans="1:11" ht="48.75" x14ac:dyDescent="0.25">
      <c r="A300" s="3" t="s">
        <v>368</v>
      </c>
      <c r="B300" s="2" t="s">
        <v>71</v>
      </c>
      <c r="C300" s="2" t="s">
        <v>13</v>
      </c>
      <c r="D300" s="2" t="s">
        <v>21</v>
      </c>
      <c r="E300" s="2" t="s">
        <v>84</v>
      </c>
      <c r="F300" s="2"/>
      <c r="G300" s="249">
        <f t="shared" ref="G300:H302" si="32">G301</f>
        <v>12</v>
      </c>
      <c r="H300" s="249">
        <f t="shared" si="32"/>
        <v>12</v>
      </c>
      <c r="I300" s="56">
        <f t="shared" si="25"/>
        <v>100</v>
      </c>
      <c r="J300" s="49"/>
      <c r="K300" s="48">
        <f t="shared" si="26"/>
        <v>100</v>
      </c>
    </row>
    <row r="301" spans="1:11" ht="60.75" x14ac:dyDescent="0.25">
      <c r="A301" s="3" t="s">
        <v>229</v>
      </c>
      <c r="B301" s="2" t="s">
        <v>71</v>
      </c>
      <c r="C301" s="2" t="s">
        <v>13</v>
      </c>
      <c r="D301" s="2" t="s">
        <v>21</v>
      </c>
      <c r="E301" s="2" t="s">
        <v>230</v>
      </c>
      <c r="F301" s="2"/>
      <c r="G301" s="248">
        <f t="shared" si="32"/>
        <v>12</v>
      </c>
      <c r="H301" s="248">
        <f t="shared" si="32"/>
        <v>12</v>
      </c>
      <c r="I301" s="56">
        <f t="shared" si="25"/>
        <v>100</v>
      </c>
      <c r="J301" s="49"/>
      <c r="K301" s="48">
        <f t="shared" si="26"/>
        <v>100</v>
      </c>
    </row>
    <row r="302" spans="1:11" ht="36.75" x14ac:dyDescent="0.25">
      <c r="A302" s="3" t="s">
        <v>369</v>
      </c>
      <c r="B302" s="2" t="s">
        <v>71</v>
      </c>
      <c r="C302" s="2" t="s">
        <v>13</v>
      </c>
      <c r="D302" s="2" t="s">
        <v>21</v>
      </c>
      <c r="E302" s="2" t="s">
        <v>370</v>
      </c>
      <c r="F302" s="2"/>
      <c r="G302" s="248">
        <f t="shared" si="32"/>
        <v>12</v>
      </c>
      <c r="H302" s="248">
        <f t="shared" si="32"/>
        <v>12</v>
      </c>
      <c r="I302" s="56">
        <f t="shared" si="25"/>
        <v>100</v>
      </c>
      <c r="J302" s="49"/>
      <c r="K302" s="48">
        <f t="shared" si="26"/>
        <v>100</v>
      </c>
    </row>
    <row r="303" spans="1:11" x14ac:dyDescent="0.25">
      <c r="A303" s="3" t="s">
        <v>39</v>
      </c>
      <c r="B303" s="2" t="s">
        <v>71</v>
      </c>
      <c r="C303" s="2" t="s">
        <v>13</v>
      </c>
      <c r="D303" s="2" t="s">
        <v>21</v>
      </c>
      <c r="E303" s="2" t="s">
        <v>370</v>
      </c>
      <c r="F303" s="2" t="s">
        <v>37</v>
      </c>
      <c r="G303" s="72">
        <v>12</v>
      </c>
      <c r="H303" s="248">
        <v>12</v>
      </c>
      <c r="I303" s="56">
        <f t="shared" si="25"/>
        <v>100</v>
      </c>
      <c r="J303" s="49">
        <v>12</v>
      </c>
      <c r="K303" s="48">
        <f>J303-I303</f>
        <v>-88</v>
      </c>
    </row>
    <row r="304" spans="1:11" ht="48.75" x14ac:dyDescent="0.25">
      <c r="A304" s="3" t="s">
        <v>296</v>
      </c>
      <c r="B304" s="2" t="s">
        <v>71</v>
      </c>
      <c r="C304" s="2" t="s">
        <v>13</v>
      </c>
      <c r="D304" s="2" t="s">
        <v>21</v>
      </c>
      <c r="E304" s="2" t="s">
        <v>321</v>
      </c>
      <c r="F304" s="2"/>
      <c r="G304" s="247">
        <f t="shared" ref="G304:H306" si="33">G305</f>
        <v>33.962000000000003</v>
      </c>
      <c r="H304" s="247">
        <f t="shared" si="33"/>
        <v>28.962</v>
      </c>
      <c r="I304" s="56">
        <f t="shared" ref="I304:I367" si="34">H304/G304*100</f>
        <v>85.277663270714328</v>
      </c>
      <c r="J304" s="49"/>
      <c r="K304" s="48">
        <f t="shared" si="26"/>
        <v>85.277663270714328</v>
      </c>
    </row>
    <row r="305" spans="1:11" ht="36.75" x14ac:dyDescent="0.25">
      <c r="A305" s="3" t="s">
        <v>297</v>
      </c>
      <c r="B305" s="2" t="s">
        <v>71</v>
      </c>
      <c r="C305" s="2" t="s">
        <v>13</v>
      </c>
      <c r="D305" s="2" t="s">
        <v>21</v>
      </c>
      <c r="E305" s="2" t="s">
        <v>355</v>
      </c>
      <c r="F305" s="2"/>
      <c r="G305" s="247">
        <f t="shared" si="33"/>
        <v>33.962000000000003</v>
      </c>
      <c r="H305" s="247">
        <f t="shared" si="33"/>
        <v>28.962</v>
      </c>
      <c r="I305" s="56">
        <f t="shared" si="34"/>
        <v>85.277663270714328</v>
      </c>
      <c r="J305" s="49"/>
      <c r="K305" s="48">
        <f t="shared" si="26"/>
        <v>85.277663270714328</v>
      </c>
    </row>
    <row r="306" spans="1:11" ht="24.75" x14ac:dyDescent="0.25">
      <c r="A306" s="3" t="s">
        <v>273</v>
      </c>
      <c r="B306" s="2" t="s">
        <v>71</v>
      </c>
      <c r="C306" s="2" t="s">
        <v>13</v>
      </c>
      <c r="D306" s="2" t="s">
        <v>21</v>
      </c>
      <c r="E306" s="2" t="s">
        <v>356</v>
      </c>
      <c r="F306" s="2"/>
      <c r="G306" s="247">
        <f t="shared" si="33"/>
        <v>33.962000000000003</v>
      </c>
      <c r="H306" s="247">
        <f t="shared" si="33"/>
        <v>28.962</v>
      </c>
      <c r="I306" s="56">
        <f t="shared" si="34"/>
        <v>85.277663270714328</v>
      </c>
      <c r="J306" s="49"/>
      <c r="K306" s="48">
        <f t="shared" si="26"/>
        <v>85.277663270714328</v>
      </c>
    </row>
    <row r="307" spans="1:11" ht="24.75" x14ac:dyDescent="0.25">
      <c r="A307" s="3" t="s">
        <v>41</v>
      </c>
      <c r="B307" s="2" t="s">
        <v>71</v>
      </c>
      <c r="C307" s="2" t="s">
        <v>13</v>
      </c>
      <c r="D307" s="2" t="s">
        <v>21</v>
      </c>
      <c r="E307" s="2" t="s">
        <v>356</v>
      </c>
      <c r="F307" s="2" t="s">
        <v>45</v>
      </c>
      <c r="G307" s="247">
        <v>33.962000000000003</v>
      </c>
      <c r="H307" s="247">
        <v>28.962</v>
      </c>
      <c r="I307" s="56">
        <f t="shared" si="34"/>
        <v>85.277663270714328</v>
      </c>
      <c r="J307" s="49">
        <v>33.962000000000003</v>
      </c>
      <c r="K307" s="48">
        <f>J307-I307</f>
        <v>-51.315663270714325</v>
      </c>
    </row>
    <row r="308" spans="1:11" ht="24" x14ac:dyDescent="0.2">
      <c r="A308" s="3" t="s">
        <v>108</v>
      </c>
      <c r="B308" s="2" t="s">
        <v>71</v>
      </c>
      <c r="C308" s="2" t="s">
        <v>6</v>
      </c>
      <c r="D308" s="2"/>
      <c r="E308" s="2"/>
      <c r="F308" s="2"/>
      <c r="G308" s="241">
        <f>G309+G333</f>
        <v>5248.1216199999999</v>
      </c>
      <c r="H308" s="241">
        <f>H309+H333</f>
        <v>5203.6884699999991</v>
      </c>
      <c r="I308" s="56">
        <f t="shared" si="34"/>
        <v>99.153351366121726</v>
      </c>
      <c r="J308" s="49"/>
      <c r="K308" s="48">
        <f t="shared" ref="K308:K376" si="35">I308-J308</f>
        <v>99.153351366121726</v>
      </c>
    </row>
    <row r="309" spans="1:11" ht="36" x14ac:dyDescent="0.2">
      <c r="A309" s="3" t="s">
        <v>107</v>
      </c>
      <c r="B309" s="2" t="s">
        <v>71</v>
      </c>
      <c r="C309" s="2" t="s">
        <v>6</v>
      </c>
      <c r="D309" s="2" t="s">
        <v>60</v>
      </c>
      <c r="E309" s="2"/>
      <c r="F309" s="2"/>
      <c r="G309" s="56">
        <f>G316+G324+G310+G328</f>
        <v>5185.1491800000003</v>
      </c>
      <c r="H309" s="56">
        <f>H316+H324+H310+H328</f>
        <v>5150.7460199999996</v>
      </c>
      <c r="I309" s="56">
        <f t="shared" si="34"/>
        <v>99.336505878505875</v>
      </c>
      <c r="J309" s="49">
        <v>5185.1491800000003</v>
      </c>
      <c r="K309" s="48">
        <f t="shared" si="35"/>
        <v>-5085.8126741214946</v>
      </c>
    </row>
    <row r="310" spans="1:11" ht="24" x14ac:dyDescent="0.2">
      <c r="A310" s="3" t="s">
        <v>429</v>
      </c>
      <c r="B310" s="2" t="s">
        <v>71</v>
      </c>
      <c r="C310" s="2" t="s">
        <v>6</v>
      </c>
      <c r="D310" s="2" t="s">
        <v>60</v>
      </c>
      <c r="E310" s="2" t="s">
        <v>2</v>
      </c>
      <c r="F310" s="2"/>
      <c r="G310" s="244">
        <f t="shared" ref="G310:H313" si="36">G311</f>
        <v>113.1</v>
      </c>
      <c r="H310" s="244">
        <f t="shared" si="36"/>
        <v>113.1</v>
      </c>
      <c r="I310" s="56">
        <f t="shared" si="34"/>
        <v>100</v>
      </c>
      <c r="J310" s="49"/>
      <c r="K310" s="48"/>
    </row>
    <row r="311" spans="1:11" ht="60" x14ac:dyDescent="0.2">
      <c r="A311" s="3" t="s">
        <v>286</v>
      </c>
      <c r="B311" s="2" t="s">
        <v>71</v>
      </c>
      <c r="C311" s="2" t="s">
        <v>6</v>
      </c>
      <c r="D311" s="2" t="s">
        <v>60</v>
      </c>
      <c r="E311" s="2" t="s">
        <v>11</v>
      </c>
      <c r="F311" s="2"/>
      <c r="G311" s="244">
        <f t="shared" si="36"/>
        <v>113.1</v>
      </c>
      <c r="H311" s="244">
        <f t="shared" si="36"/>
        <v>113.1</v>
      </c>
      <c r="I311" s="56">
        <f t="shared" si="34"/>
        <v>100</v>
      </c>
      <c r="J311" s="49"/>
      <c r="K311" s="48"/>
    </row>
    <row r="312" spans="1:11" ht="36" x14ac:dyDescent="0.2">
      <c r="A312" s="3" t="s">
        <v>514</v>
      </c>
      <c r="B312" s="2" t="s">
        <v>71</v>
      </c>
      <c r="C312" s="2" t="s">
        <v>6</v>
      </c>
      <c r="D312" s="2" t="s">
        <v>60</v>
      </c>
      <c r="E312" s="2" t="s">
        <v>515</v>
      </c>
      <c r="F312" s="2"/>
      <c r="G312" s="244">
        <f t="shared" si="36"/>
        <v>113.1</v>
      </c>
      <c r="H312" s="244">
        <f t="shared" si="36"/>
        <v>113.1</v>
      </c>
      <c r="I312" s="56">
        <f t="shared" si="34"/>
        <v>100</v>
      </c>
      <c r="J312" s="49"/>
      <c r="K312" s="48"/>
    </row>
    <row r="313" spans="1:11" ht="48" x14ac:dyDescent="0.2">
      <c r="A313" s="3" t="s">
        <v>516</v>
      </c>
      <c r="B313" s="2" t="s">
        <v>71</v>
      </c>
      <c r="C313" s="2" t="s">
        <v>6</v>
      </c>
      <c r="D313" s="2" t="s">
        <v>60</v>
      </c>
      <c r="E313" s="2" t="s">
        <v>517</v>
      </c>
      <c r="F313" s="2"/>
      <c r="G313" s="244">
        <f t="shared" si="36"/>
        <v>113.1</v>
      </c>
      <c r="H313" s="244">
        <f t="shared" si="36"/>
        <v>113.1</v>
      </c>
      <c r="I313" s="56">
        <f t="shared" si="34"/>
        <v>100</v>
      </c>
      <c r="J313" s="49"/>
      <c r="K313" s="48"/>
    </row>
    <row r="314" spans="1:11" ht="24" x14ac:dyDescent="0.2">
      <c r="A314" s="3" t="s">
        <v>41</v>
      </c>
      <c r="B314" s="2" t="s">
        <v>71</v>
      </c>
      <c r="C314" s="2" t="s">
        <v>6</v>
      </c>
      <c r="D314" s="2" t="s">
        <v>60</v>
      </c>
      <c r="E314" s="2" t="s">
        <v>517</v>
      </c>
      <c r="F314" s="2" t="s">
        <v>45</v>
      </c>
      <c r="G314" s="244">
        <v>113.1</v>
      </c>
      <c r="H314" s="244">
        <v>113.1</v>
      </c>
      <c r="I314" s="56">
        <f t="shared" si="34"/>
        <v>100</v>
      </c>
      <c r="J314" s="49">
        <v>113.1</v>
      </c>
      <c r="K314" s="48">
        <f>J314-I314</f>
        <v>13.099999999999994</v>
      </c>
    </row>
    <row r="315" spans="1:11" ht="36" x14ac:dyDescent="0.2">
      <c r="A315" s="3" t="s">
        <v>207</v>
      </c>
      <c r="B315" s="2" t="s">
        <v>71</v>
      </c>
      <c r="C315" s="2" t="s">
        <v>6</v>
      </c>
      <c r="D315" s="2" t="s">
        <v>60</v>
      </c>
      <c r="E315" s="2" t="s">
        <v>1</v>
      </c>
      <c r="F315" s="2"/>
      <c r="G315" s="242">
        <f>G316+G324</f>
        <v>4687.0651799999996</v>
      </c>
      <c r="H315" s="242">
        <f>H316+H324</f>
        <v>4652.6620199999988</v>
      </c>
      <c r="I315" s="56">
        <f t="shared" si="34"/>
        <v>99.265997832784549</v>
      </c>
      <c r="J315" s="49"/>
      <c r="K315" s="48">
        <f t="shared" si="35"/>
        <v>99.265997832784549</v>
      </c>
    </row>
    <row r="316" spans="1:11" ht="48.75" x14ac:dyDescent="0.25">
      <c r="A316" s="3" t="s">
        <v>263</v>
      </c>
      <c r="B316" s="2" t="s">
        <v>71</v>
      </c>
      <c r="C316" s="2" t="s">
        <v>6</v>
      </c>
      <c r="D316" s="2" t="s">
        <v>60</v>
      </c>
      <c r="E316" s="2" t="s">
        <v>209</v>
      </c>
      <c r="F316" s="2"/>
      <c r="G316" s="247">
        <f>G317+G322</f>
        <v>4388.66518</v>
      </c>
      <c r="H316" s="247">
        <f>H317+H322</f>
        <v>4354.262639999999</v>
      </c>
      <c r="I316" s="56">
        <f t="shared" si="34"/>
        <v>99.216104701794521</v>
      </c>
      <c r="J316" s="49"/>
      <c r="K316" s="48">
        <f t="shared" si="35"/>
        <v>99.216104701794521</v>
      </c>
    </row>
    <row r="317" spans="1:11" ht="24.75" x14ac:dyDescent="0.25">
      <c r="A317" s="3" t="s">
        <v>264</v>
      </c>
      <c r="B317" s="2" t="s">
        <v>71</v>
      </c>
      <c r="C317" s="2" t="s">
        <v>6</v>
      </c>
      <c r="D317" s="2" t="s">
        <v>60</v>
      </c>
      <c r="E317" s="2" t="s">
        <v>106</v>
      </c>
      <c r="F317" s="2"/>
      <c r="G317" s="247">
        <f>G318+G320</f>
        <v>3061.9751799999999</v>
      </c>
      <c r="H317" s="247">
        <f>H318+H320</f>
        <v>3027.5726399999994</v>
      </c>
      <c r="I317" s="56">
        <f t="shared" si="34"/>
        <v>98.876459214146848</v>
      </c>
      <c r="J317" s="49"/>
      <c r="K317" s="48">
        <f t="shared" si="35"/>
        <v>98.876459214146848</v>
      </c>
    </row>
    <row r="318" spans="1:11" x14ac:dyDescent="0.25">
      <c r="A318" s="3" t="s">
        <v>205</v>
      </c>
      <c r="B318" s="2" t="s">
        <v>71</v>
      </c>
      <c r="C318" s="2" t="s">
        <v>6</v>
      </c>
      <c r="D318" s="2" t="s">
        <v>60</v>
      </c>
      <c r="E318" s="2" t="s">
        <v>105</v>
      </c>
      <c r="F318" s="2"/>
      <c r="G318" s="247">
        <f>G319</f>
        <v>2887.2951800000001</v>
      </c>
      <c r="H318" s="247">
        <f>H319</f>
        <v>2856.0786799999996</v>
      </c>
      <c r="I318" s="56">
        <f t="shared" si="34"/>
        <v>98.918832400087325</v>
      </c>
      <c r="J318" s="49"/>
      <c r="K318" s="48">
        <f t="shared" si="35"/>
        <v>98.918832400087325</v>
      </c>
    </row>
    <row r="319" spans="1:11" ht="48.75" x14ac:dyDescent="0.25">
      <c r="A319" s="3" t="s">
        <v>33</v>
      </c>
      <c r="B319" s="2" t="s">
        <v>71</v>
      </c>
      <c r="C319" s="2" t="s">
        <v>6</v>
      </c>
      <c r="D319" s="2" t="s">
        <v>60</v>
      </c>
      <c r="E319" s="2" t="s">
        <v>105</v>
      </c>
      <c r="F319" s="2">
        <v>100</v>
      </c>
      <c r="G319" s="247">
        <v>2887.2951800000001</v>
      </c>
      <c r="H319" s="247">
        <f>2188.23888+667.8398</f>
        <v>2856.0786799999996</v>
      </c>
      <c r="I319" s="56">
        <f t="shared" si="34"/>
        <v>98.918832400087325</v>
      </c>
      <c r="J319" s="49">
        <f>39.84518+2199.87404+647.57596</f>
        <v>2887.2951800000001</v>
      </c>
      <c r="K319" s="48">
        <f>J319-I319</f>
        <v>2788.3763475999126</v>
      </c>
    </row>
    <row r="320" spans="1:11" x14ac:dyDescent="0.25">
      <c r="A320" s="3" t="s">
        <v>206</v>
      </c>
      <c r="B320" s="2" t="s">
        <v>71</v>
      </c>
      <c r="C320" s="2" t="s">
        <v>6</v>
      </c>
      <c r="D320" s="2" t="s">
        <v>60</v>
      </c>
      <c r="E320" s="2" t="s">
        <v>104</v>
      </c>
      <c r="F320" s="2"/>
      <c r="G320" s="247">
        <f>G321</f>
        <v>174.68</v>
      </c>
      <c r="H320" s="247">
        <f>H321</f>
        <v>171.49395999999999</v>
      </c>
      <c r="I320" s="56">
        <f t="shared" si="34"/>
        <v>98.176070528967244</v>
      </c>
      <c r="J320" s="49"/>
      <c r="K320" s="48">
        <f t="shared" si="35"/>
        <v>98.176070528967244</v>
      </c>
    </row>
    <row r="321" spans="1:12" ht="24.75" x14ac:dyDescent="0.25">
      <c r="A321" s="3" t="s">
        <v>41</v>
      </c>
      <c r="B321" s="2" t="s">
        <v>71</v>
      </c>
      <c r="C321" s="2" t="s">
        <v>6</v>
      </c>
      <c r="D321" s="2" t="s">
        <v>60</v>
      </c>
      <c r="E321" s="2" t="s">
        <v>104</v>
      </c>
      <c r="F321" s="2" t="s">
        <v>45</v>
      </c>
      <c r="G321" s="247">
        <v>174.68</v>
      </c>
      <c r="H321" s="247">
        <v>171.49395999999999</v>
      </c>
      <c r="I321" s="56">
        <f t="shared" si="34"/>
        <v>98.176070528967244</v>
      </c>
      <c r="J321" s="49">
        <v>174.68</v>
      </c>
      <c r="K321" s="48">
        <f>J321-I321</f>
        <v>76.503929471032762</v>
      </c>
    </row>
    <row r="322" spans="1:12" x14ac:dyDescent="0.25">
      <c r="A322" s="3" t="s">
        <v>389</v>
      </c>
      <c r="B322" s="2" t="s">
        <v>71</v>
      </c>
      <c r="C322" s="2" t="s">
        <v>6</v>
      </c>
      <c r="D322" s="2" t="s">
        <v>60</v>
      </c>
      <c r="E322" s="2" t="s">
        <v>394</v>
      </c>
      <c r="F322" s="2"/>
      <c r="G322" s="247">
        <f>G323</f>
        <v>1326.69</v>
      </c>
      <c r="H322" s="247">
        <f>H323</f>
        <v>1326.6899999999998</v>
      </c>
      <c r="I322" s="56">
        <f t="shared" si="34"/>
        <v>99.999999999999972</v>
      </c>
      <c r="J322" s="49"/>
      <c r="K322" s="48">
        <f t="shared" si="35"/>
        <v>99.999999999999972</v>
      </c>
    </row>
    <row r="323" spans="1:12" ht="48.75" x14ac:dyDescent="0.25">
      <c r="A323" s="3" t="s">
        <v>33</v>
      </c>
      <c r="B323" s="2" t="s">
        <v>71</v>
      </c>
      <c r="C323" s="2" t="s">
        <v>6</v>
      </c>
      <c r="D323" s="2" t="s">
        <v>60</v>
      </c>
      <c r="E323" s="2" t="s">
        <v>394</v>
      </c>
      <c r="F323" s="2" t="s">
        <v>30</v>
      </c>
      <c r="G323" s="247">
        <v>1326.69</v>
      </c>
      <c r="H323" s="247">
        <f>1037.19943+289.49057</f>
        <v>1326.6899999999998</v>
      </c>
      <c r="I323" s="56">
        <f t="shared" si="34"/>
        <v>99.999999999999972</v>
      </c>
      <c r="J323" s="49">
        <f>1018.95084+307.73916</f>
        <v>1326.69</v>
      </c>
      <c r="K323" s="48">
        <f>J323-I323</f>
        <v>1226.69</v>
      </c>
    </row>
    <row r="324" spans="1:12" ht="48.75" x14ac:dyDescent="0.25">
      <c r="A324" s="3" t="s">
        <v>228</v>
      </c>
      <c r="B324" s="2" t="s">
        <v>71</v>
      </c>
      <c r="C324" s="2" t="s">
        <v>6</v>
      </c>
      <c r="D324" s="2" t="s">
        <v>60</v>
      </c>
      <c r="E324" s="2" t="s">
        <v>84</v>
      </c>
      <c r="F324" s="2"/>
      <c r="G324" s="248">
        <f t="shared" ref="G324:H326" si="37">G325</f>
        <v>298.39999999999998</v>
      </c>
      <c r="H324" s="248">
        <f t="shared" si="37"/>
        <v>298.39938000000001</v>
      </c>
      <c r="I324" s="56">
        <f t="shared" si="34"/>
        <v>99.999792225201077</v>
      </c>
      <c r="J324" s="49"/>
      <c r="K324" s="48">
        <f t="shared" si="35"/>
        <v>99.999792225201077</v>
      </c>
    </row>
    <row r="325" spans="1:12" ht="60.75" x14ac:dyDescent="0.25">
      <c r="A325" s="3" t="s">
        <v>446</v>
      </c>
      <c r="B325" s="2" t="s">
        <v>71</v>
      </c>
      <c r="C325" s="2" t="s">
        <v>6</v>
      </c>
      <c r="D325" s="2" t="s">
        <v>60</v>
      </c>
      <c r="E325" s="2" t="s">
        <v>447</v>
      </c>
      <c r="F325" s="2"/>
      <c r="G325" s="248">
        <f t="shared" si="37"/>
        <v>298.39999999999998</v>
      </c>
      <c r="H325" s="248">
        <f t="shared" si="37"/>
        <v>298.39938000000001</v>
      </c>
      <c r="I325" s="56">
        <f t="shared" si="34"/>
        <v>99.999792225201077</v>
      </c>
      <c r="J325" s="49"/>
      <c r="K325" s="48">
        <f t="shared" si="35"/>
        <v>99.999792225201077</v>
      </c>
    </row>
    <row r="326" spans="1:12" ht="35.25" customHeight="1" x14ac:dyDescent="0.25">
      <c r="A326" s="3" t="s">
        <v>455</v>
      </c>
      <c r="B326" s="2" t="s">
        <v>71</v>
      </c>
      <c r="C326" s="2" t="s">
        <v>6</v>
      </c>
      <c r="D326" s="2" t="s">
        <v>60</v>
      </c>
      <c r="E326" s="2" t="s">
        <v>448</v>
      </c>
      <c r="F326" s="2"/>
      <c r="G326" s="248">
        <f t="shared" si="37"/>
        <v>298.39999999999998</v>
      </c>
      <c r="H326" s="248">
        <f t="shared" si="37"/>
        <v>298.39938000000001</v>
      </c>
      <c r="I326" s="56">
        <f t="shared" si="34"/>
        <v>99.999792225201077</v>
      </c>
      <c r="J326" s="49"/>
      <c r="K326" s="48">
        <f t="shared" si="35"/>
        <v>99.999792225201077</v>
      </c>
    </row>
    <row r="327" spans="1:12" ht="35.25" customHeight="1" x14ac:dyDescent="0.25">
      <c r="A327" s="3" t="s">
        <v>41</v>
      </c>
      <c r="B327" s="2" t="s">
        <v>71</v>
      </c>
      <c r="C327" s="2" t="s">
        <v>6</v>
      </c>
      <c r="D327" s="2" t="s">
        <v>60</v>
      </c>
      <c r="E327" s="2" t="s">
        <v>448</v>
      </c>
      <c r="F327" s="2" t="s">
        <v>45</v>
      </c>
      <c r="G327" s="72">
        <v>298.39999999999998</v>
      </c>
      <c r="H327" s="248">
        <v>298.39938000000001</v>
      </c>
      <c r="I327" s="56">
        <f t="shared" si="34"/>
        <v>99.999792225201077</v>
      </c>
      <c r="J327" s="49">
        <v>298.39999999999998</v>
      </c>
      <c r="K327" s="48">
        <f t="shared" ref="K327:K332" si="38">J327-I327</f>
        <v>198.4002077747989</v>
      </c>
    </row>
    <row r="328" spans="1:12" x14ac:dyDescent="0.25">
      <c r="A328" s="3" t="s">
        <v>491</v>
      </c>
      <c r="B328" s="2" t="s">
        <v>71</v>
      </c>
      <c r="C328" s="2" t="s">
        <v>6</v>
      </c>
      <c r="D328" s="2" t="s">
        <v>60</v>
      </c>
      <c r="E328" s="2" t="str">
        <f>E227</f>
        <v>9900000000</v>
      </c>
      <c r="F328" s="2"/>
      <c r="G328" s="244">
        <f>G329+G331</f>
        <v>384.98400000000004</v>
      </c>
      <c r="H328" s="244">
        <f>H329+H331</f>
        <v>384.98400000000004</v>
      </c>
      <c r="I328" s="56">
        <f t="shared" si="34"/>
        <v>100</v>
      </c>
      <c r="J328" s="7"/>
      <c r="K328" s="48">
        <f t="shared" si="38"/>
        <v>-100</v>
      </c>
      <c r="L328" s="62">
        <f>J328+K328</f>
        <v>-100</v>
      </c>
    </row>
    <row r="329" spans="1:12" ht="12.75" x14ac:dyDescent="0.2">
      <c r="A329" s="3" t="s">
        <v>40</v>
      </c>
      <c r="B329" s="2" t="s">
        <v>71</v>
      </c>
      <c r="C329" s="2" t="s">
        <v>6</v>
      </c>
      <c r="D329" s="2" t="s">
        <v>60</v>
      </c>
      <c r="E329" s="2" t="str">
        <f>E228</f>
        <v>990000Ш500</v>
      </c>
      <c r="F329" s="2"/>
      <c r="G329" s="244">
        <f>G330</f>
        <v>159.20400000000001</v>
      </c>
      <c r="H329" s="244">
        <f>H330</f>
        <v>159.20400000000001</v>
      </c>
      <c r="I329" s="56">
        <f t="shared" si="34"/>
        <v>100</v>
      </c>
      <c r="J329" s="76"/>
      <c r="K329" s="48">
        <f t="shared" si="38"/>
        <v>-100</v>
      </c>
      <c r="L329" s="1">
        <f>J329+K329</f>
        <v>-100</v>
      </c>
    </row>
    <row r="330" spans="1:12" ht="24" x14ac:dyDescent="0.2">
      <c r="A330" s="3" t="s">
        <v>41</v>
      </c>
      <c r="B330" s="2" t="s">
        <v>71</v>
      </c>
      <c r="C330" s="2" t="s">
        <v>6</v>
      </c>
      <c r="D330" s="2" t="s">
        <v>60</v>
      </c>
      <c r="E330" s="2" t="str">
        <f>E229</f>
        <v>990000Ш500</v>
      </c>
      <c r="F330" s="2" t="s">
        <v>45</v>
      </c>
      <c r="G330" s="244">
        <v>159.20400000000001</v>
      </c>
      <c r="H330" s="244">
        <v>159.20400000000001</v>
      </c>
      <c r="I330" s="56">
        <f t="shared" si="34"/>
        <v>100</v>
      </c>
      <c r="J330" s="76">
        <v>159.20400000000001</v>
      </c>
      <c r="K330" s="48">
        <f t="shared" si="38"/>
        <v>59.204000000000008</v>
      </c>
      <c r="L330" s="1">
        <f>J330+K330</f>
        <v>218.40800000000002</v>
      </c>
    </row>
    <row r="331" spans="1:12" ht="24" x14ac:dyDescent="0.2">
      <c r="A331" s="3" t="s">
        <v>512</v>
      </c>
      <c r="B331" s="2" t="s">
        <v>71</v>
      </c>
      <c r="C331" s="2" t="s">
        <v>6</v>
      </c>
      <c r="D331" s="2" t="s">
        <v>60</v>
      </c>
      <c r="E331" s="2" t="str">
        <f>E230</f>
        <v>990000Ш5Ж0</v>
      </c>
      <c r="F331" s="2"/>
      <c r="G331" s="244">
        <f>G332</f>
        <v>225.78</v>
      </c>
      <c r="H331" s="244">
        <f>H332</f>
        <v>225.78</v>
      </c>
      <c r="I331" s="56">
        <f t="shared" si="34"/>
        <v>100</v>
      </c>
      <c r="J331" s="76"/>
      <c r="K331" s="48">
        <f t="shared" si="38"/>
        <v>-100</v>
      </c>
      <c r="L331" s="1">
        <f>J331+K331</f>
        <v>-100</v>
      </c>
    </row>
    <row r="332" spans="1:12" ht="24" x14ac:dyDescent="0.2">
      <c r="A332" s="3" t="s">
        <v>41</v>
      </c>
      <c r="B332" s="2" t="s">
        <v>71</v>
      </c>
      <c r="C332" s="2" t="s">
        <v>6</v>
      </c>
      <c r="D332" s="2" t="s">
        <v>60</v>
      </c>
      <c r="E332" s="2" t="str">
        <f>E231</f>
        <v>990000Ш5Ж0</v>
      </c>
      <c r="F332" s="2" t="s">
        <v>45</v>
      </c>
      <c r="G332" s="244">
        <v>225.78</v>
      </c>
      <c r="H332" s="244">
        <v>225.78</v>
      </c>
      <c r="I332" s="56">
        <f t="shared" si="34"/>
        <v>100</v>
      </c>
      <c r="J332" s="76">
        <v>225.78</v>
      </c>
      <c r="K332" s="48">
        <f t="shared" si="38"/>
        <v>125.78</v>
      </c>
      <c r="L332" s="1">
        <f>J332+K332</f>
        <v>351.56</v>
      </c>
    </row>
    <row r="333" spans="1:12" ht="24" customHeight="1" x14ac:dyDescent="0.2">
      <c r="A333" s="3" t="s">
        <v>103</v>
      </c>
      <c r="B333" s="2" t="s">
        <v>71</v>
      </c>
      <c r="C333" s="2" t="s">
        <v>6</v>
      </c>
      <c r="D333" s="2" t="s">
        <v>7</v>
      </c>
      <c r="E333" s="2"/>
      <c r="F333" s="2"/>
      <c r="G333" s="241">
        <f>G335</f>
        <v>62.972439999999999</v>
      </c>
      <c r="H333" s="241">
        <f>H335</f>
        <v>52.942450000000001</v>
      </c>
      <c r="I333" s="56">
        <f t="shared" si="34"/>
        <v>84.072413265231589</v>
      </c>
      <c r="J333" s="49">
        <v>62.972439999999999</v>
      </c>
      <c r="K333" s="48">
        <f t="shared" si="35"/>
        <v>21.09997326523159</v>
      </c>
    </row>
    <row r="334" spans="1:12" ht="36" x14ac:dyDescent="0.2">
      <c r="A334" s="3" t="s">
        <v>207</v>
      </c>
      <c r="B334" s="2" t="s">
        <v>71</v>
      </c>
      <c r="C334" s="2" t="s">
        <v>6</v>
      </c>
      <c r="D334" s="2" t="s">
        <v>7</v>
      </c>
      <c r="E334" s="2" t="s">
        <v>1</v>
      </c>
      <c r="F334" s="2"/>
      <c r="G334" s="242">
        <f>G335</f>
        <v>62.972439999999999</v>
      </c>
      <c r="H334" s="242">
        <f>H335</f>
        <v>52.942450000000001</v>
      </c>
      <c r="I334" s="56">
        <f t="shared" si="34"/>
        <v>84.072413265231589</v>
      </c>
      <c r="J334" s="49"/>
      <c r="K334" s="48">
        <f t="shared" si="35"/>
        <v>84.072413265231589</v>
      </c>
    </row>
    <row r="335" spans="1:12" ht="48.75" x14ac:dyDescent="0.25">
      <c r="A335" s="3" t="s">
        <v>228</v>
      </c>
      <c r="B335" s="2" t="s">
        <v>71</v>
      </c>
      <c r="C335" s="2" t="s">
        <v>6</v>
      </c>
      <c r="D335" s="2">
        <v>14</v>
      </c>
      <c r="E335" s="2" t="s">
        <v>84</v>
      </c>
      <c r="F335" s="2"/>
      <c r="G335" s="247">
        <f>G336+G339</f>
        <v>62.972439999999999</v>
      </c>
      <c r="H335" s="247">
        <f>H336+H339</f>
        <v>52.942450000000001</v>
      </c>
      <c r="I335" s="56">
        <f t="shared" si="34"/>
        <v>84.072413265231589</v>
      </c>
      <c r="J335" s="49"/>
      <c r="K335" s="48">
        <f t="shared" si="35"/>
        <v>84.072413265231589</v>
      </c>
    </row>
    <row r="336" spans="1:12" ht="60.75" x14ac:dyDescent="0.25">
      <c r="A336" s="3" t="s">
        <v>102</v>
      </c>
      <c r="B336" s="2" t="s">
        <v>71</v>
      </c>
      <c r="C336" s="2" t="s">
        <v>6</v>
      </c>
      <c r="D336" s="2" t="s">
        <v>7</v>
      </c>
      <c r="E336" s="2" t="s">
        <v>230</v>
      </c>
      <c r="F336" s="2"/>
      <c r="G336" s="247">
        <f>G337</f>
        <v>13</v>
      </c>
      <c r="H336" s="247">
        <f>H337</f>
        <v>10.32</v>
      </c>
      <c r="I336" s="56">
        <f t="shared" si="34"/>
        <v>79.384615384615387</v>
      </c>
      <c r="J336" s="49"/>
      <c r="K336" s="48">
        <f t="shared" si="35"/>
        <v>79.384615384615387</v>
      </c>
    </row>
    <row r="337" spans="1:11" ht="24.75" x14ac:dyDescent="0.25">
      <c r="A337" s="3" t="s">
        <v>231</v>
      </c>
      <c r="B337" s="2" t="s">
        <v>71</v>
      </c>
      <c r="C337" s="2" t="s">
        <v>6</v>
      </c>
      <c r="D337" s="2" t="s">
        <v>7</v>
      </c>
      <c r="E337" s="2" t="s">
        <v>101</v>
      </c>
      <c r="F337" s="2"/>
      <c r="G337" s="247">
        <f>G338</f>
        <v>13</v>
      </c>
      <c r="H337" s="247">
        <f>H338</f>
        <v>10.32</v>
      </c>
      <c r="I337" s="56">
        <f t="shared" si="34"/>
        <v>79.384615384615387</v>
      </c>
      <c r="J337" s="49"/>
      <c r="K337" s="48">
        <f t="shared" si="35"/>
        <v>79.384615384615387</v>
      </c>
    </row>
    <row r="338" spans="1:11" ht="24.75" x14ac:dyDescent="0.25">
      <c r="A338" s="3" t="s">
        <v>41</v>
      </c>
      <c r="B338" s="2" t="s">
        <v>71</v>
      </c>
      <c r="C338" s="2" t="s">
        <v>6</v>
      </c>
      <c r="D338" s="2">
        <v>14</v>
      </c>
      <c r="E338" s="2" t="s">
        <v>101</v>
      </c>
      <c r="F338" s="2">
        <v>200</v>
      </c>
      <c r="G338" s="247">
        <v>13</v>
      </c>
      <c r="H338" s="247">
        <v>10.32</v>
      </c>
      <c r="I338" s="56">
        <f t="shared" si="34"/>
        <v>79.384615384615387</v>
      </c>
      <c r="J338" s="49">
        <v>13</v>
      </c>
      <c r="K338" s="48">
        <f>J338-I338</f>
        <v>-66.384615384615387</v>
      </c>
    </row>
    <row r="339" spans="1:11" ht="36" x14ac:dyDescent="0.25">
      <c r="A339" s="6" t="s">
        <v>100</v>
      </c>
      <c r="B339" s="2" t="s">
        <v>71</v>
      </c>
      <c r="C339" s="2" t="s">
        <v>6</v>
      </c>
      <c r="D339" s="2" t="s">
        <v>7</v>
      </c>
      <c r="E339" s="2" t="s">
        <v>232</v>
      </c>
      <c r="F339" s="2"/>
      <c r="G339" s="247">
        <f>G340+G342</f>
        <v>49.972439999999999</v>
      </c>
      <c r="H339" s="247">
        <f>H340+H342</f>
        <v>42.622450000000001</v>
      </c>
      <c r="I339" s="56">
        <f t="shared" si="34"/>
        <v>85.2919129023918</v>
      </c>
      <c r="J339" s="49"/>
      <c r="K339" s="48">
        <f t="shared" si="35"/>
        <v>85.2919129023918</v>
      </c>
    </row>
    <row r="340" spans="1:11" ht="36.75" x14ac:dyDescent="0.25">
      <c r="A340" s="3" t="s">
        <v>234</v>
      </c>
      <c r="B340" s="2" t="s">
        <v>71</v>
      </c>
      <c r="C340" s="2" t="s">
        <v>6</v>
      </c>
      <c r="D340" s="2" t="s">
        <v>7</v>
      </c>
      <c r="E340" s="2" t="s">
        <v>233</v>
      </c>
      <c r="F340" s="2"/>
      <c r="G340" s="247">
        <f t="shared" ref="G340:H342" si="39">G341</f>
        <v>7.34999</v>
      </c>
      <c r="H340" s="247">
        <f t="shared" si="39"/>
        <v>0</v>
      </c>
      <c r="I340" s="56">
        <f t="shared" si="34"/>
        <v>0</v>
      </c>
      <c r="J340" s="49"/>
      <c r="K340" s="48">
        <f t="shared" si="35"/>
        <v>0</v>
      </c>
    </row>
    <row r="341" spans="1:11" ht="24.75" x14ac:dyDescent="0.25">
      <c r="A341" s="3" t="s">
        <v>41</v>
      </c>
      <c r="B341" s="2" t="s">
        <v>71</v>
      </c>
      <c r="C341" s="2" t="s">
        <v>6</v>
      </c>
      <c r="D341" s="2">
        <v>14</v>
      </c>
      <c r="E341" s="2" t="s">
        <v>233</v>
      </c>
      <c r="F341" s="2">
        <v>200</v>
      </c>
      <c r="G341" s="247">
        <v>7.34999</v>
      </c>
      <c r="H341" s="247"/>
      <c r="I341" s="56">
        <f t="shared" si="34"/>
        <v>0</v>
      </c>
      <c r="J341" s="49">
        <v>7.35</v>
      </c>
      <c r="K341" s="48">
        <f>J341-I341</f>
        <v>7.35</v>
      </c>
    </row>
    <row r="342" spans="1:11" ht="48" customHeight="1" x14ac:dyDescent="0.25">
      <c r="A342" s="6" t="s">
        <v>549</v>
      </c>
      <c r="B342" s="2" t="s">
        <v>71</v>
      </c>
      <c r="C342" s="2" t="s">
        <v>6</v>
      </c>
      <c r="D342" s="2" t="s">
        <v>7</v>
      </c>
      <c r="E342" s="2" t="s">
        <v>548</v>
      </c>
      <c r="F342" s="2"/>
      <c r="G342" s="247">
        <f t="shared" si="39"/>
        <v>42.622450000000001</v>
      </c>
      <c r="H342" s="247">
        <f t="shared" si="39"/>
        <v>42.622450000000001</v>
      </c>
      <c r="I342" s="56">
        <f t="shared" si="34"/>
        <v>100</v>
      </c>
      <c r="J342" s="49"/>
      <c r="K342" s="48"/>
    </row>
    <row r="343" spans="1:11" ht="24.75" x14ac:dyDescent="0.25">
      <c r="A343" s="3" t="s">
        <v>41</v>
      </c>
      <c r="B343" s="2" t="s">
        <v>71</v>
      </c>
      <c r="C343" s="2" t="s">
        <v>6</v>
      </c>
      <c r="D343" s="2">
        <v>14</v>
      </c>
      <c r="E343" s="2" t="s">
        <v>548</v>
      </c>
      <c r="F343" s="2">
        <v>200</v>
      </c>
      <c r="G343" s="247">
        <v>42.622450000000001</v>
      </c>
      <c r="H343" s="247">
        <v>42.622450000000001</v>
      </c>
      <c r="I343" s="56">
        <f t="shared" si="34"/>
        <v>100</v>
      </c>
      <c r="J343" s="49">
        <v>42.622439999999997</v>
      </c>
      <c r="K343" s="48"/>
    </row>
    <row r="344" spans="1:11" ht="12.75" x14ac:dyDescent="0.2">
      <c r="A344" s="3" t="s">
        <v>99</v>
      </c>
      <c r="B344" s="2" t="s">
        <v>71</v>
      </c>
      <c r="C344" s="2" t="s">
        <v>53</v>
      </c>
      <c r="D344" s="2"/>
      <c r="E344" s="2"/>
      <c r="F344" s="2"/>
      <c r="G344" s="241">
        <f>G345+G372+G364+G358</f>
        <v>47586.912559999997</v>
      </c>
      <c r="H344" s="241">
        <f>H345+H372+H364+H358</f>
        <v>41815.592960000002</v>
      </c>
      <c r="I344" s="56">
        <f t="shared" si="34"/>
        <v>87.872044456081866</v>
      </c>
      <c r="J344" s="49"/>
      <c r="K344" s="48">
        <f t="shared" si="35"/>
        <v>87.872044456081866</v>
      </c>
    </row>
    <row r="345" spans="1:11" ht="12.75" x14ac:dyDescent="0.2">
      <c r="A345" s="3" t="s">
        <v>98</v>
      </c>
      <c r="B345" s="2" t="s">
        <v>71</v>
      </c>
      <c r="C345" s="2" t="s">
        <v>53</v>
      </c>
      <c r="D345" s="2" t="s">
        <v>31</v>
      </c>
      <c r="E345" s="2"/>
      <c r="F345" s="2"/>
      <c r="G345" s="241">
        <f>G347</f>
        <v>1033.9646600000001</v>
      </c>
      <c r="H345" s="241">
        <f>H347</f>
        <v>659.2</v>
      </c>
      <c r="I345" s="56">
        <f t="shared" si="34"/>
        <v>63.754596796374067</v>
      </c>
      <c r="J345" s="49">
        <v>1033.9646600000001</v>
      </c>
      <c r="K345" s="48">
        <f t="shared" si="35"/>
        <v>-970.21006320362608</v>
      </c>
    </row>
    <row r="346" spans="1:11" ht="36" x14ac:dyDescent="0.2">
      <c r="A346" s="3" t="s">
        <v>431</v>
      </c>
      <c r="B346" s="2" t="s">
        <v>71</v>
      </c>
      <c r="C346" s="2" t="s">
        <v>53</v>
      </c>
      <c r="D346" s="2" t="s">
        <v>31</v>
      </c>
      <c r="E346" s="2" t="s">
        <v>4</v>
      </c>
      <c r="F346" s="2"/>
      <c r="G346" s="241">
        <f>G347</f>
        <v>1033.9646600000001</v>
      </c>
      <c r="H346" s="241">
        <f>H347</f>
        <v>659.2</v>
      </c>
      <c r="I346" s="56">
        <f t="shared" si="34"/>
        <v>63.754596796374067</v>
      </c>
      <c r="J346" s="49"/>
      <c r="K346" s="48">
        <f t="shared" si="35"/>
        <v>63.754596796374067</v>
      </c>
    </row>
    <row r="347" spans="1:11" ht="48" x14ac:dyDescent="0.2">
      <c r="A347" s="3" t="s">
        <v>223</v>
      </c>
      <c r="B347" s="2" t="s">
        <v>71</v>
      </c>
      <c r="C347" s="2" t="s">
        <v>53</v>
      </c>
      <c r="D347" s="2" t="s">
        <v>31</v>
      </c>
      <c r="E347" s="2" t="s">
        <v>56</v>
      </c>
      <c r="F347" s="2"/>
      <c r="G347" s="242">
        <f>G348</f>
        <v>1033.9646600000001</v>
      </c>
      <c r="H347" s="242">
        <f>H348</f>
        <v>659.2</v>
      </c>
      <c r="I347" s="56">
        <f t="shared" si="34"/>
        <v>63.754596796374067</v>
      </c>
      <c r="J347" s="49"/>
      <c r="K347" s="48">
        <f t="shared" si="35"/>
        <v>63.754596796374067</v>
      </c>
    </row>
    <row r="348" spans="1:11" ht="36" x14ac:dyDescent="0.2">
      <c r="A348" s="3" t="s">
        <v>97</v>
      </c>
      <c r="B348" s="2" t="s">
        <v>71</v>
      </c>
      <c r="C348" s="2" t="s">
        <v>53</v>
      </c>
      <c r="D348" s="2" t="s">
        <v>31</v>
      </c>
      <c r="E348" s="2" t="s">
        <v>235</v>
      </c>
      <c r="F348" s="2"/>
      <c r="G348" s="242">
        <f>G349+G354+G356+G352</f>
        <v>1033.9646600000001</v>
      </c>
      <c r="H348" s="242">
        <f>H349+H354+H356+H352</f>
        <v>659.2</v>
      </c>
      <c r="I348" s="56">
        <f t="shared" si="34"/>
        <v>63.754596796374067</v>
      </c>
      <c r="J348" s="49"/>
      <c r="K348" s="48">
        <f t="shared" si="35"/>
        <v>63.754596796374067</v>
      </c>
    </row>
    <row r="349" spans="1:11" ht="12.75" x14ac:dyDescent="0.2">
      <c r="A349" s="3" t="s">
        <v>236</v>
      </c>
      <c r="B349" s="2" t="s">
        <v>71</v>
      </c>
      <c r="C349" s="2" t="s">
        <v>53</v>
      </c>
      <c r="D349" s="2" t="s">
        <v>31</v>
      </c>
      <c r="E349" s="2" t="s">
        <v>96</v>
      </c>
      <c r="F349" s="2"/>
      <c r="G349" s="242">
        <f>G350+G351</f>
        <v>140.66466</v>
      </c>
      <c r="H349" s="242">
        <f>H350+H351</f>
        <v>140</v>
      </c>
      <c r="I349" s="56">
        <f t="shared" si="34"/>
        <v>99.52748615039485</v>
      </c>
      <c r="J349" s="49"/>
      <c r="K349" s="48">
        <f t="shared" si="35"/>
        <v>99.52748615039485</v>
      </c>
    </row>
    <row r="350" spans="1:11" ht="24" x14ac:dyDescent="0.2">
      <c r="A350" s="3" t="s">
        <v>41</v>
      </c>
      <c r="B350" s="2" t="s">
        <v>71</v>
      </c>
      <c r="C350" s="2" t="s">
        <v>53</v>
      </c>
      <c r="D350" s="2" t="s">
        <v>31</v>
      </c>
      <c r="E350" s="2" t="s">
        <v>96</v>
      </c>
      <c r="F350" s="2">
        <v>200</v>
      </c>
      <c r="G350" s="242">
        <v>140.66466</v>
      </c>
      <c r="H350" s="242">
        <v>140</v>
      </c>
      <c r="I350" s="56">
        <f t="shared" si="34"/>
        <v>99.52748615039485</v>
      </c>
      <c r="J350" s="49">
        <v>140.66466</v>
      </c>
      <c r="K350" s="48">
        <f>J350-I350</f>
        <v>41.137173849605148</v>
      </c>
    </row>
    <row r="351" spans="1:11" ht="24" x14ac:dyDescent="0.2">
      <c r="A351" s="6" t="s">
        <v>65</v>
      </c>
      <c r="B351" s="2" t="s">
        <v>71</v>
      </c>
      <c r="C351" s="2" t="s">
        <v>53</v>
      </c>
      <c r="D351" s="2" t="s">
        <v>31</v>
      </c>
      <c r="E351" s="2" t="s">
        <v>96</v>
      </c>
      <c r="F351" s="2" t="s">
        <v>71</v>
      </c>
      <c r="G351" s="242">
        <v>0</v>
      </c>
      <c r="H351" s="242"/>
      <c r="I351" s="56" t="e">
        <f t="shared" si="34"/>
        <v>#DIV/0!</v>
      </c>
      <c r="J351" s="49"/>
      <c r="K351" s="48" t="e">
        <f>J351-I351</f>
        <v>#DIV/0!</v>
      </c>
    </row>
    <row r="352" spans="1:11" ht="48" x14ac:dyDescent="0.2">
      <c r="A352" s="6" t="s">
        <v>502</v>
      </c>
      <c r="B352" s="2" t="s">
        <v>71</v>
      </c>
      <c r="C352" s="2" t="s">
        <v>53</v>
      </c>
      <c r="D352" s="2" t="s">
        <v>31</v>
      </c>
      <c r="E352" s="2" t="s">
        <v>501</v>
      </c>
      <c r="F352" s="2"/>
      <c r="G352" s="242">
        <f>G353</f>
        <v>354</v>
      </c>
      <c r="H352" s="242">
        <f>H353</f>
        <v>354</v>
      </c>
      <c r="I352" s="56">
        <f t="shared" si="34"/>
        <v>100</v>
      </c>
      <c r="J352" s="49"/>
      <c r="K352" s="48">
        <f t="shared" si="35"/>
        <v>100</v>
      </c>
    </row>
    <row r="353" spans="1:11" ht="24" x14ac:dyDescent="0.2">
      <c r="A353" s="3" t="s">
        <v>41</v>
      </c>
      <c r="B353" s="2" t="s">
        <v>71</v>
      </c>
      <c r="C353" s="2" t="s">
        <v>53</v>
      </c>
      <c r="D353" s="2" t="s">
        <v>31</v>
      </c>
      <c r="E353" s="2" t="s">
        <v>501</v>
      </c>
      <c r="F353" s="2" t="s">
        <v>45</v>
      </c>
      <c r="G353" s="242">
        <v>354</v>
      </c>
      <c r="H353" s="242">
        <v>354</v>
      </c>
      <c r="I353" s="56">
        <f t="shared" si="34"/>
        <v>100</v>
      </c>
      <c r="J353" s="49">
        <v>354</v>
      </c>
      <c r="K353" s="48">
        <f>J353-I353</f>
        <v>254</v>
      </c>
    </row>
    <row r="354" spans="1:11" ht="84" x14ac:dyDescent="0.2">
      <c r="A354" s="3" t="s">
        <v>270</v>
      </c>
      <c r="B354" s="2" t="s">
        <v>71</v>
      </c>
      <c r="C354" s="2" t="s">
        <v>53</v>
      </c>
      <c r="D354" s="2" t="s">
        <v>31</v>
      </c>
      <c r="E354" s="2" t="s">
        <v>95</v>
      </c>
      <c r="F354" s="2"/>
      <c r="G354" s="242">
        <f>G355</f>
        <v>201.9</v>
      </c>
      <c r="H354" s="242">
        <f>H355</f>
        <v>165.2</v>
      </c>
      <c r="I354" s="56">
        <f t="shared" si="34"/>
        <v>81.822684497275873</v>
      </c>
      <c r="J354" s="49"/>
      <c r="K354" s="48">
        <f t="shared" si="35"/>
        <v>81.822684497275873</v>
      </c>
    </row>
    <row r="355" spans="1:11" ht="24" x14ac:dyDescent="0.2">
      <c r="A355" s="3" t="s">
        <v>41</v>
      </c>
      <c r="B355" s="2" t="s">
        <v>71</v>
      </c>
      <c r="C355" s="2" t="s">
        <v>53</v>
      </c>
      <c r="D355" s="2" t="s">
        <v>31</v>
      </c>
      <c r="E355" s="2" t="s">
        <v>95</v>
      </c>
      <c r="F355" s="2" t="s">
        <v>45</v>
      </c>
      <c r="G355" s="242">
        <v>201.9</v>
      </c>
      <c r="H355" s="242">
        <v>165.2</v>
      </c>
      <c r="I355" s="56">
        <f t="shared" si="34"/>
        <v>81.822684497275873</v>
      </c>
      <c r="J355" s="49">
        <v>201.9</v>
      </c>
      <c r="K355" s="48">
        <f>J355-I355</f>
        <v>120.07731550272413</v>
      </c>
    </row>
    <row r="356" spans="1:11" ht="36" x14ac:dyDescent="0.2">
      <c r="A356" s="3" t="s">
        <v>376</v>
      </c>
      <c r="B356" s="2" t="s">
        <v>71</v>
      </c>
      <c r="C356" s="2" t="s">
        <v>53</v>
      </c>
      <c r="D356" s="2" t="s">
        <v>31</v>
      </c>
      <c r="E356" s="2" t="s">
        <v>94</v>
      </c>
      <c r="F356" s="2"/>
      <c r="G356" s="242">
        <f>G357</f>
        <v>337.4</v>
      </c>
      <c r="H356" s="242">
        <f>H357</f>
        <v>0</v>
      </c>
      <c r="I356" s="56">
        <f t="shared" si="34"/>
        <v>0</v>
      </c>
      <c r="J356" s="49"/>
      <c r="K356" s="48">
        <f t="shared" si="35"/>
        <v>0</v>
      </c>
    </row>
    <row r="357" spans="1:11" ht="24" x14ac:dyDescent="0.2">
      <c r="A357" s="3" t="s">
        <v>41</v>
      </c>
      <c r="B357" s="2" t="s">
        <v>71</v>
      </c>
      <c r="C357" s="2" t="s">
        <v>53</v>
      </c>
      <c r="D357" s="2" t="s">
        <v>31</v>
      </c>
      <c r="E357" s="2" t="s">
        <v>94</v>
      </c>
      <c r="F357" s="2" t="s">
        <v>45</v>
      </c>
      <c r="G357" s="242">
        <v>337.4</v>
      </c>
      <c r="H357" s="242">
        <v>0</v>
      </c>
      <c r="I357" s="56">
        <f t="shared" si="34"/>
        <v>0</v>
      </c>
      <c r="J357" s="49">
        <v>337.4</v>
      </c>
      <c r="K357" s="48">
        <f>J357-I357</f>
        <v>337.4</v>
      </c>
    </row>
    <row r="358" spans="1:11" ht="12.75" x14ac:dyDescent="0.2">
      <c r="A358" s="3" t="s">
        <v>384</v>
      </c>
      <c r="B358" s="2" t="s">
        <v>71</v>
      </c>
      <c r="C358" s="2" t="s">
        <v>53</v>
      </c>
      <c r="D358" s="2" t="s">
        <v>47</v>
      </c>
      <c r="E358" s="2"/>
      <c r="F358" s="2"/>
      <c r="G358" s="242">
        <f>G360</f>
        <v>2801.45</v>
      </c>
      <c r="H358" s="242">
        <f>H360</f>
        <v>200</v>
      </c>
      <c r="I358" s="56">
        <f t="shared" si="34"/>
        <v>7.1391600778168458</v>
      </c>
      <c r="J358" s="49">
        <v>2801.45</v>
      </c>
      <c r="K358" s="48">
        <f t="shared" si="35"/>
        <v>-2794.3108399221828</v>
      </c>
    </row>
    <row r="359" spans="1:11" ht="36" x14ac:dyDescent="0.2">
      <c r="A359" s="3" t="s">
        <v>207</v>
      </c>
      <c r="B359" s="2" t="s">
        <v>71</v>
      </c>
      <c r="C359" s="2" t="s">
        <v>53</v>
      </c>
      <c r="D359" s="2" t="s">
        <v>47</v>
      </c>
      <c r="E359" s="2" t="s">
        <v>1</v>
      </c>
      <c r="F359" s="2"/>
      <c r="G359" s="242">
        <f t="shared" ref="G359:H362" si="40">G360</f>
        <v>2801.45</v>
      </c>
      <c r="H359" s="242">
        <f t="shared" si="40"/>
        <v>200</v>
      </c>
      <c r="I359" s="56">
        <f t="shared" si="34"/>
        <v>7.1391600778168458</v>
      </c>
      <c r="J359" s="49"/>
      <c r="K359" s="48">
        <f t="shared" si="35"/>
        <v>7.1391600778168458</v>
      </c>
    </row>
    <row r="360" spans="1:11" ht="24" x14ac:dyDescent="0.2">
      <c r="A360" s="3" t="s">
        <v>385</v>
      </c>
      <c r="B360" s="3" t="s">
        <v>71</v>
      </c>
      <c r="C360" s="3" t="s">
        <v>53</v>
      </c>
      <c r="D360" s="3" t="s">
        <v>47</v>
      </c>
      <c r="E360" s="3" t="s">
        <v>387</v>
      </c>
      <c r="F360" s="3"/>
      <c r="G360" s="242">
        <f t="shared" si="40"/>
        <v>2801.45</v>
      </c>
      <c r="H360" s="242">
        <f t="shared" si="40"/>
        <v>200</v>
      </c>
      <c r="I360" s="56">
        <f t="shared" si="34"/>
        <v>7.1391600778168458</v>
      </c>
      <c r="J360" s="49"/>
      <c r="K360" s="48">
        <f t="shared" si="35"/>
        <v>7.1391600778168458</v>
      </c>
    </row>
    <row r="361" spans="1:11" ht="12.75" x14ac:dyDescent="0.2">
      <c r="A361" s="3" t="s">
        <v>386</v>
      </c>
      <c r="B361" s="3" t="s">
        <v>71</v>
      </c>
      <c r="C361" s="3" t="s">
        <v>53</v>
      </c>
      <c r="D361" s="3" t="s">
        <v>47</v>
      </c>
      <c r="E361" s="3" t="s">
        <v>388</v>
      </c>
      <c r="F361" s="3"/>
      <c r="G361" s="242">
        <f t="shared" si="40"/>
        <v>2801.45</v>
      </c>
      <c r="H361" s="242">
        <f t="shared" si="40"/>
        <v>200</v>
      </c>
      <c r="I361" s="56">
        <f t="shared" si="34"/>
        <v>7.1391600778168458</v>
      </c>
      <c r="J361" s="49"/>
      <c r="K361" s="48">
        <f t="shared" si="35"/>
        <v>7.1391600778168458</v>
      </c>
    </row>
    <row r="362" spans="1:11" ht="24" x14ac:dyDescent="0.2">
      <c r="A362" s="3" t="s">
        <v>484</v>
      </c>
      <c r="B362" s="3" t="s">
        <v>71</v>
      </c>
      <c r="C362" s="3" t="s">
        <v>53</v>
      </c>
      <c r="D362" s="3" t="s">
        <v>47</v>
      </c>
      <c r="E362" s="57" t="s">
        <v>412</v>
      </c>
      <c r="F362" s="3"/>
      <c r="G362" s="242">
        <f t="shared" si="40"/>
        <v>2801.45</v>
      </c>
      <c r="H362" s="242">
        <f t="shared" si="40"/>
        <v>200</v>
      </c>
      <c r="I362" s="56">
        <f t="shared" si="34"/>
        <v>7.1391600778168458</v>
      </c>
      <c r="J362" s="49"/>
      <c r="K362" s="48">
        <f t="shared" si="35"/>
        <v>7.1391600778168458</v>
      </c>
    </row>
    <row r="363" spans="1:11" ht="24" x14ac:dyDescent="0.2">
      <c r="A363" s="3" t="s">
        <v>41</v>
      </c>
      <c r="B363" s="3" t="s">
        <v>71</v>
      </c>
      <c r="C363" s="3" t="s">
        <v>53</v>
      </c>
      <c r="D363" s="3" t="s">
        <v>47</v>
      </c>
      <c r="E363" s="57" t="s">
        <v>412</v>
      </c>
      <c r="F363" s="3">
        <v>200</v>
      </c>
      <c r="G363" s="242">
        <v>2801.45</v>
      </c>
      <c r="H363" s="242">
        <v>200</v>
      </c>
      <c r="I363" s="56">
        <f t="shared" si="34"/>
        <v>7.1391600778168458</v>
      </c>
      <c r="J363" s="49">
        <v>2801.45</v>
      </c>
      <c r="K363" s="48">
        <f>J363-I363</f>
        <v>2794.3108399221828</v>
      </c>
    </row>
    <row r="364" spans="1:11" ht="12.75" x14ac:dyDescent="0.2">
      <c r="A364" s="3" t="s">
        <v>93</v>
      </c>
      <c r="B364" s="2" t="s">
        <v>71</v>
      </c>
      <c r="C364" s="2" t="s">
        <v>53</v>
      </c>
      <c r="D364" s="2" t="s">
        <v>60</v>
      </c>
      <c r="E364" s="2"/>
      <c r="F364" s="2"/>
      <c r="G364" s="56">
        <f>G366</f>
        <v>17282.934119999998</v>
      </c>
      <c r="H364" s="56">
        <f>H366</f>
        <v>16017.52433</v>
      </c>
      <c r="I364" s="56">
        <f t="shared" si="34"/>
        <v>92.678269897843023</v>
      </c>
      <c r="J364" s="49">
        <v>17282.934120000002</v>
      </c>
      <c r="K364" s="48">
        <f t="shared" si="35"/>
        <v>-17190.255850102159</v>
      </c>
    </row>
    <row r="365" spans="1:11" ht="36" x14ac:dyDescent="0.2">
      <c r="A365" s="3" t="s">
        <v>207</v>
      </c>
      <c r="B365" s="2" t="s">
        <v>71</v>
      </c>
      <c r="C365" s="2" t="s">
        <v>53</v>
      </c>
      <c r="D365" s="2" t="s">
        <v>60</v>
      </c>
      <c r="E365" s="2" t="s">
        <v>1</v>
      </c>
      <c r="F365" s="2"/>
      <c r="G365" s="242">
        <f>G366</f>
        <v>17282.934119999998</v>
      </c>
      <c r="H365" s="242">
        <f>H366</f>
        <v>16017.52433</v>
      </c>
      <c r="I365" s="56">
        <f t="shared" si="34"/>
        <v>92.678269897843023</v>
      </c>
      <c r="J365" s="49"/>
      <c r="K365" s="48">
        <f t="shared" si="35"/>
        <v>92.678269897843023</v>
      </c>
    </row>
    <row r="366" spans="1:11" ht="48.75" x14ac:dyDescent="0.25">
      <c r="A366" s="3" t="s">
        <v>298</v>
      </c>
      <c r="B366" s="2" t="s">
        <v>71</v>
      </c>
      <c r="C366" s="2" t="s">
        <v>53</v>
      </c>
      <c r="D366" s="2" t="s">
        <v>60</v>
      </c>
      <c r="E366" s="2" t="s">
        <v>299</v>
      </c>
      <c r="F366" s="2"/>
      <c r="G366" s="247">
        <f t="shared" ref="G366:H368" si="41">G367</f>
        <v>17282.934119999998</v>
      </c>
      <c r="H366" s="247">
        <f t="shared" si="41"/>
        <v>16017.52433</v>
      </c>
      <c r="I366" s="56">
        <f t="shared" si="34"/>
        <v>92.678269897843023</v>
      </c>
      <c r="J366" s="49"/>
      <c r="K366" s="48">
        <f t="shared" si="35"/>
        <v>92.678269897843023</v>
      </c>
    </row>
    <row r="367" spans="1:11" ht="24.75" x14ac:dyDescent="0.25">
      <c r="A367" s="3" t="s">
        <v>362</v>
      </c>
      <c r="B367" s="2" t="s">
        <v>71</v>
      </c>
      <c r="C367" s="2" t="s">
        <v>53</v>
      </c>
      <c r="D367" s="2" t="s">
        <v>60</v>
      </c>
      <c r="E367" s="2" t="s">
        <v>300</v>
      </c>
      <c r="F367" s="2"/>
      <c r="G367" s="247">
        <f>G368+G370</f>
        <v>17282.934119999998</v>
      </c>
      <c r="H367" s="247">
        <f>H368+H370</f>
        <v>16017.52433</v>
      </c>
      <c r="I367" s="56">
        <f t="shared" si="34"/>
        <v>92.678269897843023</v>
      </c>
      <c r="J367" s="49"/>
      <c r="K367" s="48">
        <f t="shared" si="35"/>
        <v>92.678269897843023</v>
      </c>
    </row>
    <row r="368" spans="1:11" ht="24.75" x14ac:dyDescent="0.25">
      <c r="A368" s="3" t="s">
        <v>361</v>
      </c>
      <c r="B368" s="2" t="s">
        <v>71</v>
      </c>
      <c r="C368" s="2" t="s">
        <v>53</v>
      </c>
      <c r="D368" s="2" t="s">
        <v>60</v>
      </c>
      <c r="E368" s="2" t="s">
        <v>301</v>
      </c>
      <c r="F368" s="2"/>
      <c r="G368" s="247">
        <f t="shared" si="41"/>
        <v>6859.5208499999999</v>
      </c>
      <c r="H368" s="247">
        <f t="shared" si="41"/>
        <v>5594.1110600000002</v>
      </c>
      <c r="I368" s="56">
        <f t="shared" ref="I368:I425" si="42">H368/G368*100</f>
        <v>81.552504647609609</v>
      </c>
      <c r="J368" s="49"/>
      <c r="K368" s="48">
        <f t="shared" si="35"/>
        <v>81.552504647609609</v>
      </c>
    </row>
    <row r="369" spans="1:11" ht="24.75" x14ac:dyDescent="0.25">
      <c r="A369" s="3" t="s">
        <v>41</v>
      </c>
      <c r="B369" s="2" t="s">
        <v>71</v>
      </c>
      <c r="C369" s="2" t="s">
        <v>53</v>
      </c>
      <c r="D369" s="2" t="s">
        <v>60</v>
      </c>
      <c r="E369" s="2" t="s">
        <v>301</v>
      </c>
      <c r="F369" s="2" t="s">
        <v>45</v>
      </c>
      <c r="G369" s="247">
        <v>6859.5208499999999</v>
      </c>
      <c r="H369" s="247">
        <v>5594.1110600000002</v>
      </c>
      <c r="I369" s="56">
        <f t="shared" si="42"/>
        <v>81.552504647609609</v>
      </c>
      <c r="J369" s="49">
        <f>6932.91085</f>
        <v>6932.9108500000002</v>
      </c>
      <c r="K369" s="48">
        <f>J369-I369</f>
        <v>6851.3583453523906</v>
      </c>
    </row>
    <row r="370" spans="1:11" ht="24" x14ac:dyDescent="0.25">
      <c r="A370" s="6" t="s">
        <v>489</v>
      </c>
      <c r="B370" s="2" t="s">
        <v>71</v>
      </c>
      <c r="C370" s="2" t="s">
        <v>53</v>
      </c>
      <c r="D370" s="2" t="s">
        <v>60</v>
      </c>
      <c r="E370" s="2" t="s">
        <v>490</v>
      </c>
      <c r="F370" s="2"/>
      <c r="G370" s="247">
        <f>G371</f>
        <v>10423.413269999999</v>
      </c>
      <c r="H370" s="247">
        <f>H371</f>
        <v>10423.413269999999</v>
      </c>
      <c r="I370" s="56">
        <f t="shared" si="42"/>
        <v>100</v>
      </c>
      <c r="J370" s="49"/>
      <c r="K370" s="48">
        <f t="shared" si="35"/>
        <v>100</v>
      </c>
    </row>
    <row r="371" spans="1:11" ht="24.75" x14ac:dyDescent="0.25">
      <c r="A371" s="3" t="s">
        <v>41</v>
      </c>
      <c r="B371" s="2" t="s">
        <v>71</v>
      </c>
      <c r="C371" s="2" t="s">
        <v>53</v>
      </c>
      <c r="D371" s="2" t="s">
        <v>60</v>
      </c>
      <c r="E371" s="2" t="s">
        <v>490</v>
      </c>
      <c r="F371" s="2" t="s">
        <v>45</v>
      </c>
      <c r="G371" s="247">
        <v>10423.413269999999</v>
      </c>
      <c r="H371" s="247">
        <v>10423.413269999999</v>
      </c>
      <c r="I371" s="56">
        <f t="shared" si="42"/>
        <v>100</v>
      </c>
      <c r="J371" s="49">
        <v>10423.413269999999</v>
      </c>
      <c r="K371" s="48">
        <f>J371-I371</f>
        <v>10323.413269999999</v>
      </c>
    </row>
    <row r="372" spans="1:11" ht="12.75" x14ac:dyDescent="0.2">
      <c r="A372" s="6" t="s">
        <v>92</v>
      </c>
      <c r="B372" s="2" t="s">
        <v>71</v>
      </c>
      <c r="C372" s="2" t="s">
        <v>53</v>
      </c>
      <c r="D372" s="2" t="s">
        <v>25</v>
      </c>
      <c r="E372" s="2"/>
      <c r="F372" s="2"/>
      <c r="G372" s="241">
        <f>G378+G395+G400+G374+G386+G404</f>
        <v>26468.56378</v>
      </c>
      <c r="H372" s="241">
        <f>H378+H395+H400+H374+H386+H404</f>
        <v>24938.868630000001</v>
      </c>
      <c r="I372" s="56">
        <f t="shared" si="42"/>
        <v>94.220709658769408</v>
      </c>
      <c r="J372" s="49">
        <v>26468.56378</v>
      </c>
      <c r="K372" s="48">
        <f t="shared" si="35"/>
        <v>-26374.34307034123</v>
      </c>
    </row>
    <row r="373" spans="1:11" ht="36" x14ac:dyDescent="0.2">
      <c r="A373" s="3" t="s">
        <v>431</v>
      </c>
      <c r="B373" s="2" t="s">
        <v>71</v>
      </c>
      <c r="C373" s="2" t="s">
        <v>53</v>
      </c>
      <c r="D373" s="2" t="s">
        <v>25</v>
      </c>
      <c r="E373" s="2" t="s">
        <v>4</v>
      </c>
      <c r="F373" s="2"/>
      <c r="G373" s="241">
        <f>G374+G378</f>
        <v>617.29999999999995</v>
      </c>
      <c r="H373" s="241">
        <f>H374+H378</f>
        <v>571.29999999999995</v>
      </c>
      <c r="I373" s="56">
        <f t="shared" si="42"/>
        <v>92.548193746962582</v>
      </c>
      <c r="J373" s="49"/>
      <c r="K373" s="48">
        <f t="shared" si="35"/>
        <v>92.548193746962582</v>
      </c>
    </row>
    <row r="374" spans="1:11" ht="60" x14ac:dyDescent="0.2">
      <c r="A374" s="6" t="s">
        <v>224</v>
      </c>
      <c r="B374" s="2" t="s">
        <v>71</v>
      </c>
      <c r="C374" s="2" t="s">
        <v>53</v>
      </c>
      <c r="D374" s="2" t="s">
        <v>25</v>
      </c>
      <c r="E374" s="2" t="s">
        <v>27</v>
      </c>
      <c r="F374" s="2"/>
      <c r="G374" s="242">
        <f t="shared" ref="G374:H376" si="43">G375</f>
        <v>60.3</v>
      </c>
      <c r="H374" s="242">
        <f t="shared" si="43"/>
        <v>60.3</v>
      </c>
      <c r="I374" s="56">
        <f t="shared" si="42"/>
        <v>100</v>
      </c>
      <c r="J374" s="49"/>
      <c r="K374" s="48">
        <f t="shared" si="35"/>
        <v>100</v>
      </c>
    </row>
    <row r="375" spans="1:11" ht="48" x14ac:dyDescent="0.2">
      <c r="A375" s="3" t="s">
        <v>225</v>
      </c>
      <c r="B375" s="2" t="s">
        <v>71</v>
      </c>
      <c r="C375" s="2" t="s">
        <v>53</v>
      </c>
      <c r="D375" s="2" t="s">
        <v>25</v>
      </c>
      <c r="E375" s="2" t="s">
        <v>226</v>
      </c>
      <c r="F375" s="2"/>
      <c r="G375" s="242">
        <f t="shared" si="43"/>
        <v>60.3</v>
      </c>
      <c r="H375" s="242">
        <f t="shared" si="43"/>
        <v>60.3</v>
      </c>
      <c r="I375" s="56">
        <f t="shared" si="42"/>
        <v>100</v>
      </c>
      <c r="J375" s="49"/>
      <c r="K375" s="48">
        <f t="shared" si="35"/>
        <v>100</v>
      </c>
    </row>
    <row r="376" spans="1:11" ht="24" x14ac:dyDescent="0.2">
      <c r="A376" s="3" t="s">
        <v>113</v>
      </c>
      <c r="B376" s="2" t="s">
        <v>71</v>
      </c>
      <c r="C376" s="2" t="s">
        <v>53</v>
      </c>
      <c r="D376" s="2" t="s">
        <v>25</v>
      </c>
      <c r="E376" s="2" t="s">
        <v>112</v>
      </c>
      <c r="F376" s="2"/>
      <c r="G376" s="242">
        <f t="shared" si="43"/>
        <v>60.3</v>
      </c>
      <c r="H376" s="242">
        <f t="shared" si="43"/>
        <v>60.3</v>
      </c>
      <c r="I376" s="56">
        <f t="shared" si="42"/>
        <v>100</v>
      </c>
      <c r="J376" s="49"/>
      <c r="K376" s="48">
        <f t="shared" si="35"/>
        <v>100</v>
      </c>
    </row>
    <row r="377" spans="1:11" ht="24" x14ac:dyDescent="0.2">
      <c r="A377" s="3" t="s">
        <v>41</v>
      </c>
      <c r="B377" s="2" t="s">
        <v>71</v>
      </c>
      <c r="C377" s="2" t="s">
        <v>53</v>
      </c>
      <c r="D377" s="2" t="s">
        <v>25</v>
      </c>
      <c r="E377" s="2" t="s">
        <v>112</v>
      </c>
      <c r="F377" s="2">
        <v>200</v>
      </c>
      <c r="G377" s="242">
        <v>60.3</v>
      </c>
      <c r="H377" s="242">
        <v>60.3</v>
      </c>
      <c r="I377" s="56">
        <f t="shared" si="42"/>
        <v>100</v>
      </c>
      <c r="J377" s="49">
        <v>60.3</v>
      </c>
      <c r="K377" s="48">
        <f>J377-I377</f>
        <v>-39.700000000000003</v>
      </c>
    </row>
    <row r="378" spans="1:11" ht="48" x14ac:dyDescent="0.2">
      <c r="A378" s="3" t="s">
        <v>237</v>
      </c>
      <c r="B378" s="2" t="s">
        <v>71</v>
      </c>
      <c r="C378" s="2" t="s">
        <v>53</v>
      </c>
      <c r="D378" s="2" t="s">
        <v>25</v>
      </c>
      <c r="E378" s="2" t="s">
        <v>91</v>
      </c>
      <c r="F378" s="2"/>
      <c r="G378" s="244">
        <f>G379+G382</f>
        <v>557</v>
      </c>
      <c r="H378" s="244">
        <f>H379+H382</f>
        <v>511</v>
      </c>
      <c r="I378" s="56">
        <f t="shared" si="42"/>
        <v>91.741472172351891</v>
      </c>
      <c r="J378" s="49"/>
      <c r="K378" s="48">
        <f t="shared" ref="K378:K445" si="44">I378-J378</f>
        <v>91.741472172351891</v>
      </c>
    </row>
    <row r="379" spans="1:11" ht="36" x14ac:dyDescent="0.2">
      <c r="A379" s="3" t="s">
        <v>194</v>
      </c>
      <c r="B379" s="2" t="s">
        <v>71</v>
      </c>
      <c r="C379" s="2" t="s">
        <v>53</v>
      </c>
      <c r="D379" s="2" t="s">
        <v>25</v>
      </c>
      <c r="E379" s="2" t="s">
        <v>238</v>
      </c>
      <c r="F379" s="2"/>
      <c r="G379" s="244">
        <f>G380</f>
        <v>500</v>
      </c>
      <c r="H379" s="244">
        <f>H380</f>
        <v>454</v>
      </c>
      <c r="I379" s="56">
        <f t="shared" si="42"/>
        <v>90.8</v>
      </c>
      <c r="J379" s="49"/>
      <c r="K379" s="48">
        <f t="shared" si="44"/>
        <v>90.8</v>
      </c>
    </row>
    <row r="380" spans="1:11" ht="36" x14ac:dyDescent="0.2">
      <c r="A380" s="3" t="s">
        <v>239</v>
      </c>
      <c r="B380" s="2" t="s">
        <v>71</v>
      </c>
      <c r="C380" s="2" t="s">
        <v>53</v>
      </c>
      <c r="D380" s="2" t="s">
        <v>25</v>
      </c>
      <c r="E380" s="2" t="s">
        <v>90</v>
      </c>
      <c r="F380" s="2"/>
      <c r="G380" s="244">
        <f>G381</f>
        <v>500</v>
      </c>
      <c r="H380" s="244">
        <f>H381</f>
        <v>454</v>
      </c>
      <c r="I380" s="56">
        <f t="shared" si="42"/>
        <v>90.8</v>
      </c>
      <c r="J380" s="49"/>
      <c r="K380" s="48">
        <f t="shared" si="44"/>
        <v>90.8</v>
      </c>
    </row>
    <row r="381" spans="1:11" ht="24" x14ac:dyDescent="0.2">
      <c r="A381" s="3" t="s">
        <v>65</v>
      </c>
      <c r="B381" s="2" t="s">
        <v>71</v>
      </c>
      <c r="C381" s="2" t="s">
        <v>53</v>
      </c>
      <c r="D381" s="2" t="s">
        <v>25</v>
      </c>
      <c r="E381" s="2" t="s">
        <v>90</v>
      </c>
      <c r="F381" s="2" t="s">
        <v>71</v>
      </c>
      <c r="G381" s="244">
        <v>500</v>
      </c>
      <c r="H381" s="244">
        <v>454</v>
      </c>
      <c r="I381" s="56">
        <f t="shared" si="42"/>
        <v>90.8</v>
      </c>
      <c r="J381" s="49">
        <v>500</v>
      </c>
      <c r="K381" s="48">
        <f>J381-I381</f>
        <v>409.2</v>
      </c>
    </row>
    <row r="382" spans="1:11" ht="36" x14ac:dyDescent="0.2">
      <c r="A382" s="6" t="s">
        <v>242</v>
      </c>
      <c r="B382" s="2" t="s">
        <v>71</v>
      </c>
      <c r="C382" s="2" t="s">
        <v>53</v>
      </c>
      <c r="D382" s="2" t="s">
        <v>25</v>
      </c>
      <c r="E382" s="2" t="s">
        <v>240</v>
      </c>
      <c r="F382" s="2"/>
      <c r="G382" s="244">
        <f>G383</f>
        <v>57</v>
      </c>
      <c r="H382" s="244">
        <f>H383</f>
        <v>57</v>
      </c>
      <c r="I382" s="56">
        <f t="shared" si="42"/>
        <v>100</v>
      </c>
      <c r="J382" s="49"/>
      <c r="K382" s="48">
        <f t="shared" si="44"/>
        <v>100</v>
      </c>
    </row>
    <row r="383" spans="1:11" ht="24" x14ac:dyDescent="0.2">
      <c r="A383" s="3" t="s">
        <v>243</v>
      </c>
      <c r="B383" s="2" t="s">
        <v>71</v>
      </c>
      <c r="C383" s="2" t="s">
        <v>53</v>
      </c>
      <c r="D383" s="2" t="s">
        <v>25</v>
      </c>
      <c r="E383" s="2" t="s">
        <v>241</v>
      </c>
      <c r="F383" s="2"/>
      <c r="G383" s="244">
        <f>G384</f>
        <v>57</v>
      </c>
      <c r="H383" s="244">
        <f>H384</f>
        <v>57</v>
      </c>
      <c r="I383" s="56">
        <f t="shared" si="42"/>
        <v>100</v>
      </c>
      <c r="J383" s="49"/>
      <c r="K383" s="48">
        <f t="shared" si="44"/>
        <v>100</v>
      </c>
    </row>
    <row r="384" spans="1:11" ht="24" x14ac:dyDescent="0.2">
      <c r="A384" s="3" t="s">
        <v>41</v>
      </c>
      <c r="B384" s="2" t="s">
        <v>71</v>
      </c>
      <c r="C384" s="2" t="s">
        <v>53</v>
      </c>
      <c r="D384" s="2" t="s">
        <v>25</v>
      </c>
      <c r="E384" s="2" t="s">
        <v>241</v>
      </c>
      <c r="F384" s="2" t="s">
        <v>45</v>
      </c>
      <c r="G384" s="244">
        <v>57</v>
      </c>
      <c r="H384" s="244">
        <v>57</v>
      </c>
      <c r="I384" s="56">
        <f t="shared" si="42"/>
        <v>100</v>
      </c>
      <c r="J384" s="49">
        <v>57</v>
      </c>
      <c r="K384" s="48">
        <f>J384-I384</f>
        <v>-43</v>
      </c>
    </row>
    <row r="385" spans="1:11" ht="36" x14ac:dyDescent="0.2">
      <c r="A385" s="3" t="s">
        <v>432</v>
      </c>
      <c r="B385" s="3" t="s">
        <v>71</v>
      </c>
      <c r="C385" s="3" t="s">
        <v>53</v>
      </c>
      <c r="D385" s="3" t="s">
        <v>25</v>
      </c>
      <c r="E385" s="57" t="s">
        <v>311</v>
      </c>
      <c r="F385" s="2"/>
      <c r="G385" s="244">
        <f>G386+G395+G400</f>
        <v>25245.263780000001</v>
      </c>
      <c r="H385" s="244">
        <f>H386+H395+H400</f>
        <v>23767.768629999999</v>
      </c>
      <c r="I385" s="56">
        <f t="shared" si="42"/>
        <v>94.147436276064923</v>
      </c>
      <c r="J385" s="49"/>
      <c r="K385" s="48">
        <f t="shared" si="44"/>
        <v>94.147436276064923</v>
      </c>
    </row>
    <row r="386" spans="1:11" ht="84.75" x14ac:dyDescent="0.25">
      <c r="A386" s="3" t="s">
        <v>469</v>
      </c>
      <c r="B386" s="3" t="s">
        <v>71</v>
      </c>
      <c r="C386" s="3" t="s">
        <v>53</v>
      </c>
      <c r="D386" s="3" t="s">
        <v>25</v>
      </c>
      <c r="E386" s="3" t="s">
        <v>422</v>
      </c>
      <c r="F386" s="3"/>
      <c r="G386" s="250">
        <f>G387+G393</f>
        <v>9155.27</v>
      </c>
      <c r="H386" s="250">
        <f>H387+H393</f>
        <v>8939.7873799999998</v>
      </c>
      <c r="I386" s="56">
        <f t="shared" si="42"/>
        <v>97.646354285564485</v>
      </c>
      <c r="J386" s="49"/>
      <c r="K386" s="48">
        <f t="shared" si="44"/>
        <v>97.646354285564485</v>
      </c>
    </row>
    <row r="387" spans="1:11" ht="48.75" x14ac:dyDescent="0.25">
      <c r="A387" s="3" t="s">
        <v>480</v>
      </c>
      <c r="B387" s="3" t="s">
        <v>71</v>
      </c>
      <c r="C387" s="3" t="s">
        <v>53</v>
      </c>
      <c r="D387" s="3" t="s">
        <v>25</v>
      </c>
      <c r="E387" s="3" t="s">
        <v>423</v>
      </c>
      <c r="F387" s="3"/>
      <c r="G387" s="250">
        <f>G388+G390</f>
        <v>7545.87</v>
      </c>
      <c r="H387" s="250">
        <f>H388+H390</f>
        <v>7330.3873800000001</v>
      </c>
      <c r="I387" s="56">
        <f t="shared" si="42"/>
        <v>97.144363472999146</v>
      </c>
      <c r="J387" s="49"/>
      <c r="K387" s="48">
        <f t="shared" si="44"/>
        <v>97.144363472999146</v>
      </c>
    </row>
    <row r="388" spans="1:11" ht="48.75" x14ac:dyDescent="0.25">
      <c r="A388" s="3" t="s">
        <v>481</v>
      </c>
      <c r="B388" s="3" t="s">
        <v>71</v>
      </c>
      <c r="C388" s="3" t="s">
        <v>53</v>
      </c>
      <c r="D388" s="3" t="s">
        <v>25</v>
      </c>
      <c r="E388" s="3" t="s">
        <v>424</v>
      </c>
      <c r="F388" s="3"/>
      <c r="G388" s="250">
        <f>G389</f>
        <v>4308.5913799999998</v>
      </c>
      <c r="H388" s="250">
        <f>H389</f>
        <v>4308.5913799999998</v>
      </c>
      <c r="I388" s="56">
        <f t="shared" si="42"/>
        <v>100</v>
      </c>
      <c r="J388" s="49"/>
      <c r="K388" s="48">
        <f t="shared" si="44"/>
        <v>100</v>
      </c>
    </row>
    <row r="389" spans="1:11" ht="48.75" x14ac:dyDescent="0.25">
      <c r="A389" s="3" t="s">
        <v>33</v>
      </c>
      <c r="B389" s="3" t="s">
        <v>71</v>
      </c>
      <c r="C389" s="3" t="s">
        <v>53</v>
      </c>
      <c r="D389" s="3" t="s">
        <v>25</v>
      </c>
      <c r="E389" s="3" t="s">
        <v>424</v>
      </c>
      <c r="F389" s="3" t="s">
        <v>30</v>
      </c>
      <c r="G389" s="250">
        <f>3323.39124+2+983.20014</f>
        <v>4308.5913799999998</v>
      </c>
      <c r="H389" s="250">
        <f>3323.39124+2+983.20014</f>
        <v>4308.5913799999998</v>
      </c>
      <c r="I389" s="56">
        <f t="shared" si="42"/>
        <v>100</v>
      </c>
      <c r="J389" s="49">
        <f>3323.39124+2+983.20014</f>
        <v>4308.5913799999998</v>
      </c>
      <c r="K389" s="48">
        <f>J389-I389</f>
        <v>4208.5913799999998</v>
      </c>
    </row>
    <row r="390" spans="1:11" ht="48.75" x14ac:dyDescent="0.25">
      <c r="A390" s="3" t="s">
        <v>482</v>
      </c>
      <c r="B390" s="3" t="s">
        <v>71</v>
      </c>
      <c r="C390" s="3" t="s">
        <v>53</v>
      </c>
      <c r="D390" s="3" t="s">
        <v>25</v>
      </c>
      <c r="E390" s="3" t="s">
        <v>425</v>
      </c>
      <c r="F390" s="3"/>
      <c r="G390" s="250">
        <f>G391+G392</f>
        <v>3237.27862</v>
      </c>
      <c r="H390" s="250">
        <f>H391+H392</f>
        <v>3021.7960000000003</v>
      </c>
      <c r="I390" s="56">
        <f t="shared" si="42"/>
        <v>93.343711021079798</v>
      </c>
      <c r="J390" s="49"/>
      <c r="K390" s="48">
        <f t="shared" si="44"/>
        <v>93.343711021079798</v>
      </c>
    </row>
    <row r="391" spans="1:11" ht="24.75" x14ac:dyDescent="0.25">
      <c r="A391" s="3" t="s">
        <v>41</v>
      </c>
      <c r="B391" s="3" t="s">
        <v>71</v>
      </c>
      <c r="C391" s="3" t="s">
        <v>53</v>
      </c>
      <c r="D391" s="3" t="s">
        <v>25</v>
      </c>
      <c r="E391" s="3" t="s">
        <v>425</v>
      </c>
      <c r="F391" s="3" t="s">
        <v>45</v>
      </c>
      <c r="G391" s="250">
        <v>3228.7286199999999</v>
      </c>
      <c r="H391" s="250">
        <v>3013.2460000000001</v>
      </c>
      <c r="I391" s="56">
        <f t="shared" si="42"/>
        <v>93.326084494521567</v>
      </c>
      <c r="J391" s="49">
        <f>3228.72862</f>
        <v>3228.7286199999999</v>
      </c>
      <c r="K391" s="48">
        <f>J391-I391</f>
        <v>3135.4025355054782</v>
      </c>
    </row>
    <row r="392" spans="1:11" ht="24.75" x14ac:dyDescent="0.25">
      <c r="A392" s="3" t="s">
        <v>65</v>
      </c>
      <c r="B392" s="3" t="s">
        <v>71</v>
      </c>
      <c r="C392" s="3" t="s">
        <v>53</v>
      </c>
      <c r="D392" s="3" t="s">
        <v>25</v>
      </c>
      <c r="E392" s="3" t="s">
        <v>425</v>
      </c>
      <c r="F392" s="3" t="s">
        <v>71</v>
      </c>
      <c r="G392" s="250">
        <v>8.5500000000000007</v>
      </c>
      <c r="H392" s="250">
        <v>8.5500000000000007</v>
      </c>
      <c r="I392" s="56">
        <f t="shared" si="42"/>
        <v>100</v>
      </c>
      <c r="J392" s="49">
        <v>8.5500000000000007</v>
      </c>
      <c r="K392" s="48">
        <f>J392-I392</f>
        <v>-91.45</v>
      </c>
    </row>
    <row r="393" spans="1:11" x14ac:dyDescent="0.25">
      <c r="A393" s="3" t="s">
        <v>389</v>
      </c>
      <c r="B393" s="2" t="s">
        <v>71</v>
      </c>
      <c r="C393" s="2" t="s">
        <v>53</v>
      </c>
      <c r="D393" s="2" t="s">
        <v>25</v>
      </c>
      <c r="E393" s="2" t="s">
        <v>426</v>
      </c>
      <c r="F393" s="2"/>
      <c r="G393" s="247">
        <f>G394</f>
        <v>1609.4</v>
      </c>
      <c r="H393" s="247">
        <f>H394</f>
        <v>1609.4</v>
      </c>
      <c r="I393" s="56">
        <f t="shared" si="42"/>
        <v>100</v>
      </c>
      <c r="J393" s="49"/>
      <c r="K393" s="48">
        <f t="shared" si="44"/>
        <v>100</v>
      </c>
    </row>
    <row r="394" spans="1:11" ht="48.75" x14ac:dyDescent="0.25">
      <c r="A394" s="3" t="s">
        <v>33</v>
      </c>
      <c r="B394" s="2" t="s">
        <v>71</v>
      </c>
      <c r="C394" s="2" t="s">
        <v>53</v>
      </c>
      <c r="D394" s="2" t="s">
        <v>25</v>
      </c>
      <c r="E394" s="2" t="s">
        <v>426</v>
      </c>
      <c r="F394" s="2">
        <v>100</v>
      </c>
      <c r="G394" s="247">
        <v>1609.4</v>
      </c>
      <c r="H394" s="247">
        <f>1236.1114+373.2886</f>
        <v>1609.4</v>
      </c>
      <c r="I394" s="56">
        <f t="shared" si="42"/>
        <v>100</v>
      </c>
      <c r="J394" s="49">
        <f>1236.1114+373.2886</f>
        <v>1609.4</v>
      </c>
      <c r="K394" s="48">
        <f>J394-I394</f>
        <v>1509.4</v>
      </c>
    </row>
    <row r="395" spans="1:11" ht="60" x14ac:dyDescent="0.2">
      <c r="A395" s="3" t="s">
        <v>302</v>
      </c>
      <c r="B395" s="2" t="s">
        <v>71</v>
      </c>
      <c r="C395" s="2" t="s">
        <v>53</v>
      </c>
      <c r="D395" s="2" t="s">
        <v>25</v>
      </c>
      <c r="E395" s="2" t="s">
        <v>303</v>
      </c>
      <c r="F395" s="2"/>
      <c r="G395" s="244">
        <f>G396</f>
        <v>15382.65625</v>
      </c>
      <c r="H395" s="244">
        <f>H396</f>
        <v>14289.31603</v>
      </c>
      <c r="I395" s="56">
        <f t="shared" si="42"/>
        <v>92.89238345945617</v>
      </c>
      <c r="J395" s="49"/>
      <c r="K395" s="48">
        <f t="shared" si="44"/>
        <v>92.89238345945617</v>
      </c>
    </row>
    <row r="396" spans="1:11" ht="24" x14ac:dyDescent="0.2">
      <c r="A396" s="3" t="s">
        <v>459</v>
      </c>
      <c r="B396" s="2" t="s">
        <v>71</v>
      </c>
      <c r="C396" s="2" t="s">
        <v>53</v>
      </c>
      <c r="D396" s="2" t="s">
        <v>25</v>
      </c>
      <c r="E396" s="2" t="s">
        <v>304</v>
      </c>
      <c r="F396" s="2"/>
      <c r="G396" s="244">
        <f>G397</f>
        <v>15382.65625</v>
      </c>
      <c r="H396" s="244">
        <f>H397</f>
        <v>14289.31603</v>
      </c>
      <c r="I396" s="56">
        <f t="shared" si="42"/>
        <v>92.89238345945617</v>
      </c>
      <c r="J396" s="49"/>
      <c r="K396" s="48">
        <f t="shared" si="44"/>
        <v>92.89238345945617</v>
      </c>
    </row>
    <row r="397" spans="1:11" ht="36" x14ac:dyDescent="0.2">
      <c r="A397" s="3" t="s">
        <v>460</v>
      </c>
      <c r="B397" s="2" t="s">
        <v>71</v>
      </c>
      <c r="C397" s="2" t="s">
        <v>53</v>
      </c>
      <c r="D397" s="2" t="s">
        <v>25</v>
      </c>
      <c r="E397" s="2" t="s">
        <v>305</v>
      </c>
      <c r="F397" s="2"/>
      <c r="G397" s="244">
        <f>G398+G399</f>
        <v>15382.65625</v>
      </c>
      <c r="H397" s="244">
        <f>H398+H399</f>
        <v>14289.31603</v>
      </c>
      <c r="I397" s="56">
        <f t="shared" si="42"/>
        <v>92.89238345945617</v>
      </c>
      <c r="J397" s="49"/>
      <c r="K397" s="48">
        <f t="shared" si="44"/>
        <v>92.89238345945617</v>
      </c>
    </row>
    <row r="398" spans="1:11" ht="24" x14ac:dyDescent="0.2">
      <c r="A398" s="3" t="s">
        <v>41</v>
      </c>
      <c r="B398" s="2" t="s">
        <v>71</v>
      </c>
      <c r="C398" s="2" t="s">
        <v>53</v>
      </c>
      <c r="D398" s="2" t="s">
        <v>25</v>
      </c>
      <c r="E398" s="2" t="s">
        <v>305</v>
      </c>
      <c r="F398" s="2" t="s">
        <v>45</v>
      </c>
      <c r="G398" s="244">
        <v>14078.766250000001</v>
      </c>
      <c r="H398" s="244">
        <v>13008.78203</v>
      </c>
      <c r="I398" s="56">
        <f t="shared" si="42"/>
        <v>92.400014312333653</v>
      </c>
      <c r="J398" s="49">
        <v>14673.766250000001</v>
      </c>
      <c r="K398" s="48">
        <f>J398-I398</f>
        <v>14581.366235687667</v>
      </c>
    </row>
    <row r="399" spans="1:11" ht="12.75" customHeight="1" x14ac:dyDescent="0.2">
      <c r="A399" s="6" t="s">
        <v>65</v>
      </c>
      <c r="B399" s="2" t="s">
        <v>71</v>
      </c>
      <c r="C399" s="2" t="s">
        <v>53</v>
      </c>
      <c r="D399" s="2" t="s">
        <v>25</v>
      </c>
      <c r="E399" s="2" t="s">
        <v>305</v>
      </c>
      <c r="F399" s="2" t="s">
        <v>71</v>
      </c>
      <c r="G399" s="244">
        <v>1303.8900000000001</v>
      </c>
      <c r="H399" s="244">
        <f>1213.6+66.934</f>
        <v>1280.5339999999999</v>
      </c>
      <c r="I399" s="56">
        <f t="shared" si="42"/>
        <v>98.208744602688853</v>
      </c>
      <c r="J399" s="49">
        <f>1213.6+70.45+19.84</f>
        <v>1303.8899999999999</v>
      </c>
      <c r="K399" s="48">
        <f>J399-I399</f>
        <v>1205.6812553973109</v>
      </c>
    </row>
    <row r="400" spans="1:11" ht="60" x14ac:dyDescent="0.2">
      <c r="A400" s="3" t="s">
        <v>458</v>
      </c>
      <c r="B400" s="2" t="s">
        <v>71</v>
      </c>
      <c r="C400" s="2" t="s">
        <v>53</v>
      </c>
      <c r="D400" s="2" t="s">
        <v>25</v>
      </c>
      <c r="E400" s="2" t="s">
        <v>306</v>
      </c>
      <c r="F400" s="2"/>
      <c r="G400" s="244">
        <f t="shared" ref="G400:H402" si="45">G401</f>
        <v>707.33753000000002</v>
      </c>
      <c r="H400" s="244">
        <f t="shared" si="45"/>
        <v>538.66521999999998</v>
      </c>
      <c r="I400" s="56">
        <f t="shared" si="42"/>
        <v>76.153914807828727</v>
      </c>
      <c r="J400" s="49"/>
      <c r="K400" s="48">
        <f t="shared" si="44"/>
        <v>76.153914807828727</v>
      </c>
    </row>
    <row r="401" spans="1:13" ht="24" x14ac:dyDescent="0.2">
      <c r="A401" s="3" t="s">
        <v>89</v>
      </c>
      <c r="B401" s="2" t="s">
        <v>71</v>
      </c>
      <c r="C401" s="2" t="s">
        <v>53</v>
      </c>
      <c r="D401" s="2" t="s">
        <v>25</v>
      </c>
      <c r="E401" s="2" t="s">
        <v>307</v>
      </c>
      <c r="F401" s="2"/>
      <c r="G401" s="244">
        <f t="shared" si="45"/>
        <v>707.33753000000002</v>
      </c>
      <c r="H401" s="244">
        <f t="shared" si="45"/>
        <v>538.66521999999998</v>
      </c>
      <c r="I401" s="56">
        <f t="shared" si="42"/>
        <v>76.153914807828727</v>
      </c>
      <c r="J401" s="49"/>
      <c r="K401" s="48">
        <f t="shared" si="44"/>
        <v>76.153914807828727</v>
      </c>
    </row>
    <row r="402" spans="1:13" ht="36" x14ac:dyDescent="0.2">
      <c r="A402" s="3" t="s">
        <v>461</v>
      </c>
      <c r="B402" s="2" t="s">
        <v>71</v>
      </c>
      <c r="C402" s="2" t="s">
        <v>53</v>
      </c>
      <c r="D402" s="2" t="s">
        <v>25</v>
      </c>
      <c r="E402" s="2" t="s">
        <v>308</v>
      </c>
      <c r="F402" s="2"/>
      <c r="G402" s="244">
        <f t="shared" si="45"/>
        <v>707.33753000000002</v>
      </c>
      <c r="H402" s="244">
        <f t="shared" si="45"/>
        <v>538.66521999999998</v>
      </c>
      <c r="I402" s="56">
        <f t="shared" si="42"/>
        <v>76.153914807828727</v>
      </c>
      <c r="J402" s="49"/>
      <c r="K402" s="48">
        <f t="shared" si="44"/>
        <v>76.153914807828727</v>
      </c>
    </row>
    <row r="403" spans="1:13" ht="24" x14ac:dyDescent="0.2">
      <c r="A403" s="3" t="s">
        <v>41</v>
      </c>
      <c r="B403" s="2" t="s">
        <v>71</v>
      </c>
      <c r="C403" s="2" t="s">
        <v>53</v>
      </c>
      <c r="D403" s="2" t="s">
        <v>25</v>
      </c>
      <c r="E403" s="2" t="s">
        <v>308</v>
      </c>
      <c r="F403" s="2" t="s">
        <v>45</v>
      </c>
      <c r="G403" s="244">
        <v>707.33753000000002</v>
      </c>
      <c r="H403" s="244">
        <v>538.66521999999998</v>
      </c>
      <c r="I403" s="56">
        <f t="shared" si="42"/>
        <v>76.153914807828727</v>
      </c>
      <c r="J403" s="49">
        <f>707.33753</f>
        <v>707.33753000000002</v>
      </c>
      <c r="K403" s="48">
        <f>J403-I403</f>
        <v>631.18361519217126</v>
      </c>
    </row>
    <row r="404" spans="1:13" ht="12.75" x14ac:dyDescent="0.2">
      <c r="A404" s="3" t="s">
        <v>491</v>
      </c>
      <c r="B404" s="2" t="s">
        <v>71</v>
      </c>
      <c r="C404" s="2" t="s">
        <v>53</v>
      </c>
      <c r="D404" s="2" t="s">
        <v>25</v>
      </c>
      <c r="E404" s="2" t="s">
        <v>0</v>
      </c>
      <c r="F404" s="2"/>
      <c r="G404" s="252">
        <f>G406+G407</f>
        <v>606</v>
      </c>
      <c r="H404" s="252">
        <f>H406+H407</f>
        <v>599.79999999999995</v>
      </c>
      <c r="I404" s="56">
        <f t="shared" si="42"/>
        <v>98.976897689768975</v>
      </c>
      <c r="J404" s="76"/>
      <c r="K404" s="76">
        <v>-20</v>
      </c>
      <c r="L404" s="1">
        <f>J404+K404</f>
        <v>-20</v>
      </c>
    </row>
    <row r="405" spans="1:13" ht="24" x14ac:dyDescent="0.2">
      <c r="A405" s="6" t="s">
        <v>493</v>
      </c>
      <c r="B405" s="2" t="s">
        <v>71</v>
      </c>
      <c r="C405" s="2" t="s">
        <v>53</v>
      </c>
      <c r="D405" s="2" t="s">
        <v>25</v>
      </c>
      <c r="E405" s="2" t="s">
        <v>492</v>
      </c>
      <c r="F405" s="2"/>
      <c r="G405" s="252">
        <f>G406</f>
        <v>256</v>
      </c>
      <c r="H405" s="252">
        <f>H406</f>
        <v>256</v>
      </c>
      <c r="I405" s="56">
        <f t="shared" si="42"/>
        <v>100</v>
      </c>
      <c r="J405" s="58"/>
      <c r="K405" s="58">
        <v>150</v>
      </c>
      <c r="L405" s="1">
        <f>J405+K405</f>
        <v>150</v>
      </c>
    </row>
    <row r="406" spans="1:13" ht="16.5" customHeight="1" x14ac:dyDescent="0.2">
      <c r="A406" s="6" t="s">
        <v>65</v>
      </c>
      <c r="B406" s="2" t="s">
        <v>71</v>
      </c>
      <c r="C406" s="2" t="s">
        <v>53</v>
      </c>
      <c r="D406" s="2" t="s">
        <v>25</v>
      </c>
      <c r="E406" s="2" t="s">
        <v>492</v>
      </c>
      <c r="F406" s="2" t="s">
        <v>71</v>
      </c>
      <c r="G406" s="252">
        <v>256</v>
      </c>
      <c r="H406" s="252">
        <f>36+220</f>
        <v>256</v>
      </c>
      <c r="I406" s="56">
        <f t="shared" si="42"/>
        <v>100</v>
      </c>
      <c r="J406" s="49">
        <f>36+220</f>
        <v>256</v>
      </c>
      <c r="K406" s="49" t="e">
        <f>SUBTOTAL(9,K328:K405)</f>
        <v>#DIV/0!</v>
      </c>
      <c r="L406" s="49">
        <f>SUBTOTAL(9,L328:L405)</f>
        <v>399.96800000000002</v>
      </c>
      <c r="M406" s="49">
        <f>SUBTOTAL(9,M328:M405)</f>
        <v>0</v>
      </c>
    </row>
    <row r="407" spans="1:13" ht="12.75" x14ac:dyDescent="0.2">
      <c r="A407" s="3" t="s">
        <v>40</v>
      </c>
      <c r="B407" s="2" t="s">
        <v>71</v>
      </c>
      <c r="C407" s="2" t="s">
        <v>53</v>
      </c>
      <c r="D407" s="2" t="s">
        <v>25</v>
      </c>
      <c r="E407" s="2" t="s">
        <v>38</v>
      </c>
      <c r="F407" s="2"/>
      <c r="G407" s="252">
        <f>G408+G409</f>
        <v>350</v>
      </c>
      <c r="H407" s="252">
        <f>H408+H409</f>
        <v>343.8</v>
      </c>
      <c r="I407" s="56">
        <f t="shared" si="42"/>
        <v>98.228571428571428</v>
      </c>
      <c r="J407" s="49"/>
      <c r="K407" s="48"/>
    </row>
    <row r="408" spans="1:13" ht="24" x14ac:dyDescent="0.2">
      <c r="A408" s="3" t="s">
        <v>41</v>
      </c>
      <c r="B408" s="2" t="s">
        <v>71</v>
      </c>
      <c r="C408" s="2" t="s">
        <v>53</v>
      </c>
      <c r="D408" s="2" t="s">
        <v>25</v>
      </c>
      <c r="E408" s="2" t="s">
        <v>38</v>
      </c>
      <c r="F408" s="2" t="s">
        <v>45</v>
      </c>
      <c r="G408" s="252">
        <v>300</v>
      </c>
      <c r="H408" s="252">
        <v>293.8</v>
      </c>
      <c r="I408" s="56">
        <f t="shared" si="42"/>
        <v>97.933333333333337</v>
      </c>
      <c r="J408" s="49">
        <v>300</v>
      </c>
      <c r="K408" s="48"/>
    </row>
    <row r="409" spans="1:13" ht="24" x14ac:dyDescent="0.2">
      <c r="A409" s="3" t="s">
        <v>512</v>
      </c>
      <c r="B409" s="2" t="s">
        <v>71</v>
      </c>
      <c r="C409" s="2" t="s">
        <v>53</v>
      </c>
      <c r="D409" s="2" t="s">
        <v>25</v>
      </c>
      <c r="E409" s="2" t="s">
        <v>513</v>
      </c>
      <c r="F409" s="2"/>
      <c r="G409" s="252">
        <f>G410</f>
        <v>50</v>
      </c>
      <c r="H409" s="252">
        <f>H410</f>
        <v>50</v>
      </c>
      <c r="I409" s="56">
        <f t="shared" si="42"/>
        <v>100</v>
      </c>
      <c r="J409" s="49"/>
      <c r="K409" s="48"/>
    </row>
    <row r="410" spans="1:13" ht="24" x14ac:dyDescent="0.2">
      <c r="A410" s="3" t="s">
        <v>41</v>
      </c>
      <c r="B410" s="2" t="s">
        <v>71</v>
      </c>
      <c r="C410" s="2" t="s">
        <v>53</v>
      </c>
      <c r="D410" s="2" t="s">
        <v>25</v>
      </c>
      <c r="E410" s="2" t="s">
        <v>513</v>
      </c>
      <c r="F410" s="2" t="s">
        <v>45</v>
      </c>
      <c r="G410" s="252">
        <v>50</v>
      </c>
      <c r="H410" s="252">
        <v>50</v>
      </c>
      <c r="I410" s="56">
        <f t="shared" si="42"/>
        <v>100</v>
      </c>
      <c r="J410" s="49">
        <v>50</v>
      </c>
      <c r="K410" s="48"/>
    </row>
    <row r="411" spans="1:13" ht="12.75" x14ac:dyDescent="0.2">
      <c r="A411" s="3" t="s">
        <v>88</v>
      </c>
      <c r="B411" s="2" t="s">
        <v>71</v>
      </c>
      <c r="C411" s="2" t="s">
        <v>31</v>
      </c>
      <c r="D411" s="2"/>
      <c r="E411" s="2"/>
      <c r="F411" s="2"/>
      <c r="G411" s="255">
        <f>G417+G453+G412</f>
        <v>23099.060180000004</v>
      </c>
      <c r="H411" s="255">
        <f>H417+H453+H412</f>
        <v>20387.412210000002</v>
      </c>
      <c r="I411" s="56">
        <f t="shared" si="42"/>
        <v>88.260786591015318</v>
      </c>
      <c r="J411" s="49"/>
      <c r="K411" s="48">
        <f t="shared" si="44"/>
        <v>88.260786591015318</v>
      </c>
    </row>
    <row r="412" spans="1:13" ht="12.75" x14ac:dyDescent="0.2">
      <c r="A412" s="3" t="s">
        <v>87</v>
      </c>
      <c r="B412" s="2" t="s">
        <v>71</v>
      </c>
      <c r="C412" s="2" t="s">
        <v>31</v>
      </c>
      <c r="D412" s="2" t="s">
        <v>13</v>
      </c>
      <c r="E412" s="2"/>
      <c r="F412" s="2"/>
      <c r="G412" s="255">
        <f t="shared" ref="G412:H414" si="46">G413</f>
        <v>3000</v>
      </c>
      <c r="H412" s="255">
        <f t="shared" si="46"/>
        <v>3000</v>
      </c>
      <c r="I412" s="56">
        <f t="shared" si="42"/>
        <v>100</v>
      </c>
      <c r="J412" s="49">
        <v>3000</v>
      </c>
      <c r="K412" s="48">
        <f t="shared" si="44"/>
        <v>-2900</v>
      </c>
    </row>
    <row r="413" spans="1:13" ht="48.75" x14ac:dyDescent="0.25">
      <c r="A413" s="3" t="s">
        <v>312</v>
      </c>
      <c r="B413" s="2" t="s">
        <v>71</v>
      </c>
      <c r="C413" s="2" t="s">
        <v>31</v>
      </c>
      <c r="D413" s="2" t="s">
        <v>13</v>
      </c>
      <c r="E413" s="2" t="s">
        <v>81</v>
      </c>
      <c r="F413" s="2"/>
      <c r="G413" s="256">
        <f t="shared" si="46"/>
        <v>3000</v>
      </c>
      <c r="H413" s="256">
        <f t="shared" si="46"/>
        <v>3000</v>
      </c>
      <c r="I413" s="56">
        <f t="shared" si="42"/>
        <v>100</v>
      </c>
      <c r="J413" s="49"/>
      <c r="K413" s="48">
        <f t="shared" si="44"/>
        <v>100</v>
      </c>
    </row>
    <row r="414" spans="1:13" ht="24.75" x14ac:dyDescent="0.25">
      <c r="A414" s="3" t="s">
        <v>380</v>
      </c>
      <c r="B414" s="2" t="s">
        <v>71</v>
      </c>
      <c r="C414" s="2" t="s">
        <v>31</v>
      </c>
      <c r="D414" s="2" t="s">
        <v>13</v>
      </c>
      <c r="E414" s="2" t="s">
        <v>382</v>
      </c>
      <c r="F414" s="2"/>
      <c r="G414" s="256">
        <f>G415</f>
        <v>3000</v>
      </c>
      <c r="H414" s="256">
        <f t="shared" si="46"/>
        <v>3000</v>
      </c>
      <c r="I414" s="56">
        <f t="shared" si="42"/>
        <v>100</v>
      </c>
      <c r="J414" s="49"/>
      <c r="K414" s="48">
        <f t="shared" si="44"/>
        <v>100</v>
      </c>
    </row>
    <row r="415" spans="1:13" s="29" customFormat="1" x14ac:dyDescent="0.25">
      <c r="A415" s="3" t="s">
        <v>494</v>
      </c>
      <c r="B415" s="2" t="s">
        <v>71</v>
      </c>
      <c r="C415" s="2" t="s">
        <v>31</v>
      </c>
      <c r="D415" s="2" t="s">
        <v>13</v>
      </c>
      <c r="E415" s="2" t="s">
        <v>495</v>
      </c>
      <c r="F415" s="2"/>
      <c r="G415" s="72">
        <f>G416</f>
        <v>3000</v>
      </c>
      <c r="H415" s="72">
        <f>H416</f>
        <v>3000</v>
      </c>
      <c r="I415" s="56">
        <f t="shared" si="42"/>
        <v>100</v>
      </c>
      <c r="J415" s="48"/>
      <c r="K415" s="48">
        <f t="shared" si="44"/>
        <v>100</v>
      </c>
    </row>
    <row r="416" spans="1:13" s="29" customFormat="1" ht="24.75" x14ac:dyDescent="0.25">
      <c r="A416" s="3" t="s">
        <v>62</v>
      </c>
      <c r="B416" s="2" t="s">
        <v>71</v>
      </c>
      <c r="C416" s="2" t="s">
        <v>31</v>
      </c>
      <c r="D416" s="2" t="s">
        <v>13</v>
      </c>
      <c r="E416" s="2" t="s">
        <v>495</v>
      </c>
      <c r="F416" s="2" t="s">
        <v>421</v>
      </c>
      <c r="G416" s="72">
        <v>3000</v>
      </c>
      <c r="H416" s="72">
        <v>3000</v>
      </c>
      <c r="I416" s="56">
        <f t="shared" si="42"/>
        <v>100</v>
      </c>
      <c r="J416" s="48">
        <v>3000</v>
      </c>
      <c r="K416" s="48">
        <f>J416-I416</f>
        <v>2900</v>
      </c>
    </row>
    <row r="417" spans="1:11" ht="12.75" x14ac:dyDescent="0.2">
      <c r="A417" s="3" t="s">
        <v>86</v>
      </c>
      <c r="B417" s="2" t="s">
        <v>71</v>
      </c>
      <c r="C417" s="2" t="s">
        <v>31</v>
      </c>
      <c r="D417" s="2" t="s">
        <v>24</v>
      </c>
      <c r="E417" s="2"/>
      <c r="F417" s="2"/>
      <c r="G417" s="241">
        <f>G428+G419+G449</f>
        <v>19217.090340000002</v>
      </c>
      <c r="H417" s="241">
        <f>H428+H419+H449</f>
        <v>16505.442370000001</v>
      </c>
      <c r="I417" s="56">
        <f t="shared" si="42"/>
        <v>85.889393648965893</v>
      </c>
      <c r="J417" s="49">
        <v>19812.086729999999</v>
      </c>
      <c r="K417" s="48">
        <f t="shared" si="44"/>
        <v>-19726.197336351033</v>
      </c>
    </row>
    <row r="418" spans="1:11" ht="36" x14ac:dyDescent="0.2">
      <c r="A418" s="3" t="s">
        <v>431</v>
      </c>
      <c r="B418" s="2" t="s">
        <v>71</v>
      </c>
      <c r="C418" s="2" t="s">
        <v>31</v>
      </c>
      <c r="D418" s="2" t="s">
        <v>24</v>
      </c>
      <c r="E418" s="2" t="s">
        <v>4</v>
      </c>
      <c r="F418" s="2"/>
      <c r="G418" s="241">
        <f>G419</f>
        <v>6592.4443400000009</v>
      </c>
      <c r="H418" s="241">
        <f>H419</f>
        <v>6592.4443400000009</v>
      </c>
      <c r="I418" s="56">
        <f t="shared" si="42"/>
        <v>100</v>
      </c>
      <c r="J418" s="49"/>
      <c r="K418" s="48">
        <f t="shared" si="44"/>
        <v>100</v>
      </c>
    </row>
    <row r="419" spans="1:11" ht="48" x14ac:dyDescent="0.2">
      <c r="A419" s="3" t="s">
        <v>223</v>
      </c>
      <c r="B419" s="2">
        <v>800</v>
      </c>
      <c r="C419" s="2" t="s">
        <v>31</v>
      </c>
      <c r="D419" s="2" t="s">
        <v>24</v>
      </c>
      <c r="E419" s="2" t="s">
        <v>56</v>
      </c>
      <c r="F419" s="2"/>
      <c r="G419" s="243">
        <f>G420</f>
        <v>6592.4443400000009</v>
      </c>
      <c r="H419" s="243">
        <f>H420</f>
        <v>6592.4443400000009</v>
      </c>
      <c r="I419" s="56">
        <f t="shared" si="42"/>
        <v>100</v>
      </c>
      <c r="J419" s="49"/>
      <c r="K419" s="48">
        <f t="shared" si="44"/>
        <v>100</v>
      </c>
    </row>
    <row r="420" spans="1:11" ht="24" x14ac:dyDescent="0.2">
      <c r="A420" s="3" t="s">
        <v>77</v>
      </c>
      <c r="B420" s="2">
        <v>800</v>
      </c>
      <c r="C420" s="2" t="s">
        <v>31</v>
      </c>
      <c r="D420" s="2" t="s">
        <v>24</v>
      </c>
      <c r="E420" s="2" t="s">
        <v>244</v>
      </c>
      <c r="F420" s="2"/>
      <c r="G420" s="242">
        <f>G423+G425+G421</f>
        <v>6592.4443400000009</v>
      </c>
      <c r="H420" s="242">
        <f>H423+H425+H421</f>
        <v>6592.4443400000009</v>
      </c>
      <c r="I420" s="56">
        <f t="shared" si="42"/>
        <v>100</v>
      </c>
      <c r="J420" s="49"/>
      <c r="K420" s="48">
        <f t="shared" si="44"/>
        <v>100</v>
      </c>
    </row>
    <row r="421" spans="1:11" ht="24" x14ac:dyDescent="0.2">
      <c r="A421" s="6" t="s">
        <v>557</v>
      </c>
      <c r="B421" s="2">
        <v>800</v>
      </c>
      <c r="C421" s="2" t="s">
        <v>31</v>
      </c>
      <c r="D421" s="2" t="s">
        <v>24</v>
      </c>
      <c r="E421" s="2" t="s">
        <v>556</v>
      </c>
      <c r="F421" s="2"/>
      <c r="G421" s="243">
        <f>G422</f>
        <v>2.2339999999999999E-2</v>
      </c>
      <c r="H421" s="243">
        <f>H422</f>
        <v>2.2339999999999999E-2</v>
      </c>
      <c r="I421" s="56">
        <f t="shared" si="42"/>
        <v>100</v>
      </c>
      <c r="J421" s="49"/>
      <c r="K421" s="48"/>
    </row>
    <row r="422" spans="1:11" ht="24" x14ac:dyDescent="0.2">
      <c r="A422" s="3" t="s">
        <v>62</v>
      </c>
      <c r="B422" s="2">
        <v>800</v>
      </c>
      <c r="C422" s="2" t="s">
        <v>31</v>
      </c>
      <c r="D422" s="2" t="s">
        <v>24</v>
      </c>
      <c r="E422" s="2" t="s">
        <v>556</v>
      </c>
      <c r="F422" s="2">
        <v>400</v>
      </c>
      <c r="G422" s="56">
        <v>2.2339999999999999E-2</v>
      </c>
      <c r="H422" s="243">
        <v>2.2339999999999999E-2</v>
      </c>
      <c r="I422" s="56">
        <f t="shared" si="42"/>
        <v>100</v>
      </c>
      <c r="J422" s="49"/>
      <c r="K422" s="48"/>
    </row>
    <row r="423" spans="1:11" ht="36" x14ac:dyDescent="0.2">
      <c r="A423" s="3" t="s">
        <v>313</v>
      </c>
      <c r="B423" s="2">
        <v>800</v>
      </c>
      <c r="C423" s="2" t="s">
        <v>31</v>
      </c>
      <c r="D423" s="2" t="s">
        <v>24</v>
      </c>
      <c r="E423" s="2" t="s">
        <v>496</v>
      </c>
      <c r="F423" s="2"/>
      <c r="G423" s="243">
        <f t="shared" ref="G423:H425" si="47">G424</f>
        <v>5934.8587900000002</v>
      </c>
      <c r="H423" s="243">
        <f t="shared" si="47"/>
        <v>5934.8587900000002</v>
      </c>
      <c r="I423" s="56">
        <f t="shared" si="42"/>
        <v>100</v>
      </c>
      <c r="J423" s="49"/>
      <c r="K423" s="48">
        <f t="shared" si="44"/>
        <v>100</v>
      </c>
    </row>
    <row r="424" spans="1:11" ht="24" x14ac:dyDescent="0.2">
      <c r="A424" s="3" t="s">
        <v>62</v>
      </c>
      <c r="B424" s="2">
        <v>800</v>
      </c>
      <c r="C424" s="2" t="s">
        <v>31</v>
      </c>
      <c r="D424" s="2" t="s">
        <v>24</v>
      </c>
      <c r="E424" s="2" t="s">
        <v>496</v>
      </c>
      <c r="F424" s="2">
        <v>400</v>
      </c>
      <c r="G424" s="56">
        <v>5934.8587900000002</v>
      </c>
      <c r="H424" s="243">
        <v>5934.8587900000002</v>
      </c>
      <c r="I424" s="56">
        <f t="shared" si="42"/>
        <v>100</v>
      </c>
      <c r="J424" s="49">
        <v>5934.8587900000002</v>
      </c>
      <c r="K424" s="48">
        <f>J424-I424</f>
        <v>5834.8587900000002</v>
      </c>
    </row>
    <row r="425" spans="1:11" ht="24" x14ac:dyDescent="0.2">
      <c r="A425" s="3" t="s">
        <v>553</v>
      </c>
      <c r="B425" s="2">
        <v>800</v>
      </c>
      <c r="C425" s="2" t="s">
        <v>31</v>
      </c>
      <c r="D425" s="2" t="s">
        <v>24</v>
      </c>
      <c r="E425" s="2" t="s">
        <v>552</v>
      </c>
      <c r="F425" s="2"/>
      <c r="G425" s="243">
        <f t="shared" si="47"/>
        <v>657.56321000000003</v>
      </c>
      <c r="H425" s="243">
        <f t="shared" si="47"/>
        <v>657.56321000000003</v>
      </c>
      <c r="I425" s="56">
        <f t="shared" si="42"/>
        <v>100</v>
      </c>
      <c r="J425" s="49"/>
      <c r="K425" s="48">
        <f>J425-I425</f>
        <v>-100</v>
      </c>
    </row>
    <row r="426" spans="1:11" ht="24" x14ac:dyDescent="0.2">
      <c r="A426" s="3" t="s">
        <v>62</v>
      </c>
      <c r="B426" s="2">
        <v>800</v>
      </c>
      <c r="C426" s="2" t="s">
        <v>31</v>
      </c>
      <c r="D426" s="2" t="s">
        <v>24</v>
      </c>
      <c r="E426" s="2" t="s">
        <v>552</v>
      </c>
      <c r="F426" s="2">
        <v>400</v>
      </c>
      <c r="G426" s="56">
        <v>657.56321000000003</v>
      </c>
      <c r="H426" s="243">
        <v>657.56321000000003</v>
      </c>
      <c r="I426" s="56">
        <f t="shared" ref="I426:I489" si="48">H426/G426*100</f>
        <v>100</v>
      </c>
      <c r="J426" s="49">
        <v>657.56321000000003</v>
      </c>
      <c r="K426" s="48">
        <f>J426-I426</f>
        <v>557.56321000000003</v>
      </c>
    </row>
    <row r="427" spans="1:11" ht="36" x14ac:dyDescent="0.2">
      <c r="A427" s="3" t="s">
        <v>207</v>
      </c>
      <c r="B427" s="2" t="s">
        <v>71</v>
      </c>
      <c r="C427" s="2" t="s">
        <v>31</v>
      </c>
      <c r="D427" s="2" t="s">
        <v>24</v>
      </c>
      <c r="E427" s="2" t="s">
        <v>1</v>
      </c>
      <c r="F427" s="2"/>
      <c r="G427" s="242">
        <f>G428</f>
        <v>12536.907999999999</v>
      </c>
      <c r="H427" s="242">
        <f>H428</f>
        <v>9825.2600299999995</v>
      </c>
      <c r="I427" s="56">
        <f t="shared" si="48"/>
        <v>78.370679835889362</v>
      </c>
      <c r="J427" s="49"/>
      <c r="K427" s="48">
        <f>J427-I427</f>
        <v>-78.370679835889362</v>
      </c>
    </row>
    <row r="428" spans="1:11" ht="48.75" x14ac:dyDescent="0.25">
      <c r="A428" s="3" t="s">
        <v>314</v>
      </c>
      <c r="B428" s="2" t="s">
        <v>71</v>
      </c>
      <c r="C428" s="2" t="s">
        <v>31</v>
      </c>
      <c r="D428" s="2" t="s">
        <v>24</v>
      </c>
      <c r="E428" s="2" t="s">
        <v>81</v>
      </c>
      <c r="F428" s="2"/>
      <c r="G428" s="250">
        <f>G429+G435+G444</f>
        <v>12536.907999999999</v>
      </c>
      <c r="H428" s="250">
        <f>H429+H435+H444</f>
        <v>9825.2600299999995</v>
      </c>
      <c r="I428" s="56">
        <f t="shared" si="48"/>
        <v>78.370679835889362</v>
      </c>
      <c r="J428" s="49"/>
      <c r="K428" s="48">
        <f t="shared" si="44"/>
        <v>78.370679835889362</v>
      </c>
    </row>
    <row r="429" spans="1:11" ht="23.25" customHeight="1" x14ac:dyDescent="0.25">
      <c r="A429" s="3" t="s">
        <v>83</v>
      </c>
      <c r="B429" s="2" t="s">
        <v>71</v>
      </c>
      <c r="C429" s="2" t="s">
        <v>31</v>
      </c>
      <c r="D429" s="2" t="s">
        <v>24</v>
      </c>
      <c r="E429" s="2" t="s">
        <v>315</v>
      </c>
      <c r="F429" s="2"/>
      <c r="G429" s="250">
        <f>G433+G430</f>
        <v>3776.8</v>
      </c>
      <c r="H429" s="250">
        <f>H433+H430</f>
        <v>2684.7779899999996</v>
      </c>
      <c r="I429" s="56">
        <f t="shared" si="48"/>
        <v>71.086051419190838</v>
      </c>
      <c r="J429" s="49"/>
      <c r="K429" s="48">
        <f t="shared" si="44"/>
        <v>71.086051419190838</v>
      </c>
    </row>
    <row r="430" spans="1:11" ht="24.75" x14ac:dyDescent="0.25">
      <c r="A430" s="3" t="s">
        <v>449</v>
      </c>
      <c r="B430" s="2" t="s">
        <v>71</v>
      </c>
      <c r="C430" s="2" t="s">
        <v>31</v>
      </c>
      <c r="D430" s="2" t="s">
        <v>24</v>
      </c>
      <c r="E430" s="2" t="s">
        <v>450</v>
      </c>
      <c r="F430" s="2"/>
      <c r="G430" s="250">
        <f>G432+G431</f>
        <v>2104</v>
      </c>
      <c r="H430" s="250">
        <f>H432+H431</f>
        <v>1260.2179999999998</v>
      </c>
      <c r="I430" s="56">
        <f t="shared" si="48"/>
        <v>59.896292775665394</v>
      </c>
      <c r="J430" s="49"/>
      <c r="K430" s="48">
        <f t="shared" si="44"/>
        <v>59.896292775665394</v>
      </c>
    </row>
    <row r="431" spans="1:11" ht="24.75" x14ac:dyDescent="0.25">
      <c r="A431" s="3" t="s">
        <v>41</v>
      </c>
      <c r="B431" s="2" t="s">
        <v>71</v>
      </c>
      <c r="C431" s="2" t="s">
        <v>31</v>
      </c>
      <c r="D431" s="2" t="s">
        <v>24</v>
      </c>
      <c r="E431" s="2" t="s">
        <v>450</v>
      </c>
      <c r="F431" s="2" t="s">
        <v>45</v>
      </c>
      <c r="G431" s="250">
        <v>500</v>
      </c>
      <c r="H431" s="250">
        <v>500</v>
      </c>
      <c r="I431" s="56">
        <f t="shared" si="48"/>
        <v>100</v>
      </c>
      <c r="J431" s="49">
        <v>500</v>
      </c>
      <c r="K431" s="48">
        <f>J431-I431</f>
        <v>400</v>
      </c>
    </row>
    <row r="432" spans="1:11" ht="24.75" x14ac:dyDescent="0.25">
      <c r="A432" s="3" t="s">
        <v>62</v>
      </c>
      <c r="B432" s="2" t="s">
        <v>71</v>
      </c>
      <c r="C432" s="2" t="s">
        <v>31</v>
      </c>
      <c r="D432" s="2" t="s">
        <v>24</v>
      </c>
      <c r="E432" s="2" t="s">
        <v>450</v>
      </c>
      <c r="F432" s="2" t="s">
        <v>421</v>
      </c>
      <c r="G432" s="250">
        <v>1604</v>
      </c>
      <c r="H432" s="250">
        <v>760.21799999999996</v>
      </c>
      <c r="I432" s="56">
        <f t="shared" si="48"/>
        <v>47.395137157107229</v>
      </c>
      <c r="J432" s="49">
        <v>1604</v>
      </c>
      <c r="K432" s="48">
        <f>J432-I432</f>
        <v>1556.6048628428928</v>
      </c>
    </row>
    <row r="433" spans="1:11" ht="36.75" x14ac:dyDescent="0.25">
      <c r="A433" s="3" t="s">
        <v>245</v>
      </c>
      <c r="B433" s="2" t="s">
        <v>71</v>
      </c>
      <c r="C433" s="2" t="s">
        <v>31</v>
      </c>
      <c r="D433" s="2" t="s">
        <v>24</v>
      </c>
      <c r="E433" s="2" t="s">
        <v>316</v>
      </c>
      <c r="F433" s="2"/>
      <c r="G433" s="250">
        <f>G434</f>
        <v>1672.8</v>
      </c>
      <c r="H433" s="250">
        <f>H434</f>
        <v>1424.55999</v>
      </c>
      <c r="I433" s="56">
        <f t="shared" si="48"/>
        <v>85.160209827833583</v>
      </c>
      <c r="J433" s="49"/>
      <c r="K433" s="48">
        <f t="shared" si="44"/>
        <v>85.160209827833583</v>
      </c>
    </row>
    <row r="434" spans="1:11" ht="24.75" x14ac:dyDescent="0.25">
      <c r="A434" s="3" t="s">
        <v>41</v>
      </c>
      <c r="B434" s="2" t="s">
        <v>71</v>
      </c>
      <c r="C434" s="2" t="s">
        <v>31</v>
      </c>
      <c r="D434" s="2" t="s">
        <v>24</v>
      </c>
      <c r="E434" s="2" t="s">
        <v>316</v>
      </c>
      <c r="F434" s="2" t="s">
        <v>45</v>
      </c>
      <c r="G434" s="250">
        <v>1672.8</v>
      </c>
      <c r="H434" s="250">
        <v>1424.55999</v>
      </c>
      <c r="I434" s="56">
        <f t="shared" si="48"/>
        <v>85.160209827833583</v>
      </c>
      <c r="J434" s="49">
        <v>1672.8</v>
      </c>
      <c r="K434" s="48">
        <f>J434-I434</f>
        <v>1587.6397901721664</v>
      </c>
    </row>
    <row r="435" spans="1:11" ht="24.75" x14ac:dyDescent="0.25">
      <c r="A435" s="3" t="s">
        <v>246</v>
      </c>
      <c r="B435" s="2" t="s">
        <v>71</v>
      </c>
      <c r="C435" s="2" t="s">
        <v>31</v>
      </c>
      <c r="D435" s="2" t="s">
        <v>24</v>
      </c>
      <c r="E435" s="2" t="s">
        <v>247</v>
      </c>
      <c r="F435" s="2"/>
      <c r="G435" s="250">
        <f>G438+G440+G442+G436</f>
        <v>6126.4949999999999</v>
      </c>
      <c r="H435" s="250">
        <f>H438+H440+H442+H436</f>
        <v>6116.4913900000001</v>
      </c>
      <c r="I435" s="56">
        <f t="shared" si="48"/>
        <v>99.836715609822591</v>
      </c>
      <c r="J435" s="49"/>
      <c r="K435" s="48">
        <f t="shared" si="44"/>
        <v>99.836715609822591</v>
      </c>
    </row>
    <row r="436" spans="1:11" ht="12.75" customHeight="1" x14ac:dyDescent="0.25">
      <c r="A436" s="3" t="s">
        <v>551</v>
      </c>
      <c r="B436" s="2" t="s">
        <v>71</v>
      </c>
      <c r="C436" s="2" t="s">
        <v>31</v>
      </c>
      <c r="D436" s="2" t="s">
        <v>24</v>
      </c>
      <c r="E436" s="2" t="s">
        <v>550</v>
      </c>
      <c r="F436" s="2"/>
      <c r="G436" s="250">
        <f>G437</f>
        <v>1367</v>
      </c>
      <c r="H436" s="250">
        <f>H437</f>
        <v>1357</v>
      </c>
      <c r="I436" s="56">
        <f t="shared" si="48"/>
        <v>99.268471104608636</v>
      </c>
      <c r="J436" s="49"/>
      <c r="K436" s="48"/>
    </row>
    <row r="437" spans="1:11" ht="24.75" x14ac:dyDescent="0.25">
      <c r="A437" s="3" t="s">
        <v>65</v>
      </c>
      <c r="B437" s="2" t="s">
        <v>71</v>
      </c>
      <c r="C437" s="2" t="s">
        <v>31</v>
      </c>
      <c r="D437" s="2" t="s">
        <v>24</v>
      </c>
      <c r="E437" s="2" t="s">
        <v>550</v>
      </c>
      <c r="F437" s="2" t="s">
        <v>71</v>
      </c>
      <c r="G437" s="250">
        <v>1367</v>
      </c>
      <c r="H437" s="250">
        <v>1357</v>
      </c>
      <c r="I437" s="56">
        <f t="shared" si="48"/>
        <v>99.268471104608636</v>
      </c>
      <c r="J437" s="49">
        <v>1367</v>
      </c>
      <c r="K437" s="48"/>
    </row>
    <row r="438" spans="1:11" ht="48" x14ac:dyDescent="0.25">
      <c r="A438" s="6" t="s">
        <v>274</v>
      </c>
      <c r="B438" s="2" t="s">
        <v>71</v>
      </c>
      <c r="C438" s="2" t="s">
        <v>31</v>
      </c>
      <c r="D438" s="2" t="s">
        <v>24</v>
      </c>
      <c r="E438" s="2" t="s">
        <v>357</v>
      </c>
      <c r="F438" s="2"/>
      <c r="G438" s="250">
        <f>G439</f>
        <v>2470.0650000000001</v>
      </c>
      <c r="H438" s="250">
        <f>H439</f>
        <v>2470.0650000000001</v>
      </c>
      <c r="I438" s="56">
        <f t="shared" si="48"/>
        <v>100</v>
      </c>
      <c r="J438" s="49"/>
      <c r="K438" s="48">
        <f t="shared" si="44"/>
        <v>100</v>
      </c>
    </row>
    <row r="439" spans="1:11" ht="24.75" x14ac:dyDescent="0.25">
      <c r="A439" s="3" t="s">
        <v>65</v>
      </c>
      <c r="B439" s="2" t="s">
        <v>71</v>
      </c>
      <c r="C439" s="2" t="s">
        <v>31</v>
      </c>
      <c r="D439" s="2" t="s">
        <v>24</v>
      </c>
      <c r="E439" s="2" t="s">
        <v>357</v>
      </c>
      <c r="F439" s="2" t="s">
        <v>71</v>
      </c>
      <c r="G439" s="250">
        <v>2470.0650000000001</v>
      </c>
      <c r="H439" s="250">
        <v>2470.0650000000001</v>
      </c>
      <c r="I439" s="56">
        <f t="shared" si="48"/>
        <v>100</v>
      </c>
      <c r="J439" s="49">
        <v>2470.0650000000001</v>
      </c>
      <c r="K439" s="48">
        <f>J439-I439</f>
        <v>2370.0650000000001</v>
      </c>
    </row>
    <row r="440" spans="1:11" ht="60.75" x14ac:dyDescent="0.25">
      <c r="A440" s="3" t="s">
        <v>271</v>
      </c>
      <c r="B440" s="2" t="s">
        <v>71</v>
      </c>
      <c r="C440" s="2" t="s">
        <v>31</v>
      </c>
      <c r="D440" s="2" t="s">
        <v>24</v>
      </c>
      <c r="E440" s="2" t="s">
        <v>82</v>
      </c>
      <c r="F440" s="2"/>
      <c r="G440" s="250">
        <f>G441</f>
        <v>289.43</v>
      </c>
      <c r="H440" s="250">
        <f>H441</f>
        <v>289.42639000000003</v>
      </c>
      <c r="I440" s="56">
        <f t="shared" si="48"/>
        <v>99.998752720865156</v>
      </c>
      <c r="J440" s="49"/>
      <c r="K440" s="48">
        <f t="shared" si="44"/>
        <v>99.998752720865156</v>
      </c>
    </row>
    <row r="441" spans="1:11" ht="24.75" x14ac:dyDescent="0.25">
      <c r="A441" s="3" t="s">
        <v>65</v>
      </c>
      <c r="B441" s="2" t="s">
        <v>71</v>
      </c>
      <c r="C441" s="2" t="s">
        <v>31</v>
      </c>
      <c r="D441" s="2" t="s">
        <v>24</v>
      </c>
      <c r="E441" s="2" t="s">
        <v>82</v>
      </c>
      <c r="F441" s="2" t="s">
        <v>71</v>
      </c>
      <c r="G441" s="250">
        <v>289.43</v>
      </c>
      <c r="H441" s="250">
        <v>289.42639000000003</v>
      </c>
      <c r="I441" s="56">
        <f t="shared" si="48"/>
        <v>99.998752720865156</v>
      </c>
      <c r="J441" s="49">
        <v>289.42639000000003</v>
      </c>
      <c r="K441" s="48">
        <f>J441-I441</f>
        <v>189.42763727913487</v>
      </c>
    </row>
    <row r="442" spans="1:11" ht="36" x14ac:dyDescent="0.25">
      <c r="A442" s="6" t="s">
        <v>533</v>
      </c>
      <c r="B442" s="2" t="s">
        <v>71</v>
      </c>
      <c r="C442" s="2" t="s">
        <v>31</v>
      </c>
      <c r="D442" s="2" t="s">
        <v>24</v>
      </c>
      <c r="E442" s="2" t="s">
        <v>534</v>
      </c>
      <c r="F442" s="2"/>
      <c r="G442" s="250">
        <f>G443</f>
        <v>2000</v>
      </c>
      <c r="H442" s="250">
        <f>H443</f>
        <v>2000</v>
      </c>
      <c r="I442" s="56">
        <f t="shared" si="48"/>
        <v>100</v>
      </c>
      <c r="J442" s="49"/>
      <c r="K442" s="48"/>
    </row>
    <row r="443" spans="1:11" ht="24.75" x14ac:dyDescent="0.25">
      <c r="A443" s="3" t="s">
        <v>65</v>
      </c>
      <c r="B443" s="2" t="s">
        <v>71</v>
      </c>
      <c r="C443" s="2" t="s">
        <v>31</v>
      </c>
      <c r="D443" s="2" t="s">
        <v>24</v>
      </c>
      <c r="E443" s="2" t="s">
        <v>534</v>
      </c>
      <c r="F443" s="2" t="s">
        <v>71</v>
      </c>
      <c r="G443" s="250">
        <v>2000</v>
      </c>
      <c r="H443" s="250">
        <v>2000</v>
      </c>
      <c r="I443" s="56">
        <f t="shared" si="48"/>
        <v>100</v>
      </c>
      <c r="J443" s="49">
        <v>2000</v>
      </c>
      <c r="K443" s="48">
        <f>J443-I443</f>
        <v>1900</v>
      </c>
    </row>
    <row r="444" spans="1:11" ht="24.75" x14ac:dyDescent="0.25">
      <c r="A444" s="3" t="s">
        <v>415</v>
      </c>
      <c r="B444" s="2" t="s">
        <v>71</v>
      </c>
      <c r="C444" s="2" t="s">
        <v>31</v>
      </c>
      <c r="D444" s="2" t="s">
        <v>24</v>
      </c>
      <c r="E444" s="2" t="s">
        <v>416</v>
      </c>
      <c r="F444" s="2"/>
      <c r="G444" s="248">
        <f>G445+G447</f>
        <v>2633.6130000000003</v>
      </c>
      <c r="H444" s="248">
        <f>H445+H447</f>
        <v>1023.99065</v>
      </c>
      <c r="I444" s="56">
        <f t="shared" si="48"/>
        <v>38.881591562617587</v>
      </c>
      <c r="J444" s="49"/>
      <c r="K444" s="48">
        <f t="shared" si="44"/>
        <v>38.881591562617587</v>
      </c>
    </row>
    <row r="445" spans="1:11" x14ac:dyDescent="0.25">
      <c r="A445" s="3" t="s">
        <v>417</v>
      </c>
      <c r="B445" s="2" t="s">
        <v>71</v>
      </c>
      <c r="C445" s="2" t="s">
        <v>31</v>
      </c>
      <c r="D445" s="2" t="s">
        <v>24</v>
      </c>
      <c r="E445" s="2" t="s">
        <v>418</v>
      </c>
      <c r="F445" s="2"/>
      <c r="G445" s="248">
        <f>G446</f>
        <v>1033.6130000000001</v>
      </c>
      <c r="H445" s="248">
        <f>H446</f>
        <v>1023.99065</v>
      </c>
      <c r="I445" s="56">
        <f t="shared" si="48"/>
        <v>99.069056793983805</v>
      </c>
      <c r="J445" s="49"/>
      <c r="K445" s="48">
        <f t="shared" si="44"/>
        <v>99.069056793983805</v>
      </c>
    </row>
    <row r="446" spans="1:11" ht="24.75" x14ac:dyDescent="0.25">
      <c r="A446" s="3" t="s">
        <v>41</v>
      </c>
      <c r="B446" s="2" t="s">
        <v>71</v>
      </c>
      <c r="C446" s="2" t="s">
        <v>31</v>
      </c>
      <c r="D446" s="2" t="s">
        <v>24</v>
      </c>
      <c r="E446" s="2" t="s">
        <v>418</v>
      </c>
      <c r="F446" s="2" t="s">
        <v>45</v>
      </c>
      <c r="G446" s="248">
        <v>1033.6130000000001</v>
      </c>
      <c r="H446" s="248">
        <v>1023.99065</v>
      </c>
      <c r="I446" s="56">
        <f t="shared" si="48"/>
        <v>99.069056793983805</v>
      </c>
      <c r="J446" s="49">
        <v>1628.6130000000001</v>
      </c>
      <c r="K446" s="48">
        <f>J446-I446</f>
        <v>1529.5439432060161</v>
      </c>
    </row>
    <row r="447" spans="1:11" ht="36" x14ac:dyDescent="0.25">
      <c r="A447" s="6" t="s">
        <v>559</v>
      </c>
      <c r="B447" s="2" t="s">
        <v>71</v>
      </c>
      <c r="C447" s="2" t="s">
        <v>31</v>
      </c>
      <c r="D447" s="2" t="s">
        <v>24</v>
      </c>
      <c r="E447" s="2" t="s">
        <v>558</v>
      </c>
      <c r="F447" s="2"/>
      <c r="G447" s="248">
        <f>G448</f>
        <v>1600</v>
      </c>
      <c r="H447" s="248">
        <f>H448</f>
        <v>0</v>
      </c>
      <c r="I447" s="56">
        <f t="shared" si="48"/>
        <v>0</v>
      </c>
      <c r="J447" s="49"/>
      <c r="K447" s="48"/>
    </row>
    <row r="448" spans="1:11" ht="24.75" x14ac:dyDescent="0.25">
      <c r="A448" s="3" t="s">
        <v>41</v>
      </c>
      <c r="B448" s="2" t="s">
        <v>71</v>
      </c>
      <c r="C448" s="2" t="s">
        <v>31</v>
      </c>
      <c r="D448" s="2" t="s">
        <v>24</v>
      </c>
      <c r="E448" s="2" t="s">
        <v>558</v>
      </c>
      <c r="F448" s="2" t="s">
        <v>45</v>
      </c>
      <c r="G448" s="248">
        <v>1600</v>
      </c>
      <c r="H448" s="248">
        <v>0</v>
      </c>
      <c r="I448" s="56">
        <f t="shared" si="48"/>
        <v>0</v>
      </c>
      <c r="J448" s="49">
        <v>1600</v>
      </c>
      <c r="K448" s="48"/>
    </row>
    <row r="449" spans="1:11" ht="15" customHeight="1" x14ac:dyDescent="0.2">
      <c r="A449" s="3" t="s">
        <v>491</v>
      </c>
      <c r="B449" s="2" t="s">
        <v>71</v>
      </c>
      <c r="C449" s="2" t="s">
        <v>31</v>
      </c>
      <c r="D449" s="2" t="s">
        <v>24</v>
      </c>
      <c r="E449" s="2" t="s">
        <v>0</v>
      </c>
      <c r="F449" s="2"/>
      <c r="G449" s="252">
        <f>G450</f>
        <v>87.738</v>
      </c>
      <c r="H449" s="252">
        <f>H450</f>
        <v>87.738</v>
      </c>
      <c r="I449" s="56">
        <f t="shared" si="48"/>
        <v>100</v>
      </c>
      <c r="J449" s="49"/>
      <c r="K449" s="48"/>
    </row>
    <row r="450" spans="1:11" ht="12.75" x14ac:dyDescent="0.2">
      <c r="A450" s="3" t="s">
        <v>40</v>
      </c>
      <c r="B450" s="2" t="s">
        <v>71</v>
      </c>
      <c r="C450" s="2" t="s">
        <v>31</v>
      </c>
      <c r="D450" s="2" t="s">
        <v>24</v>
      </c>
      <c r="E450" s="2" t="s">
        <v>38</v>
      </c>
      <c r="F450" s="2"/>
      <c r="G450" s="252">
        <f>G451</f>
        <v>87.738</v>
      </c>
      <c r="H450" s="252">
        <f>H451</f>
        <v>87.738</v>
      </c>
      <c r="I450" s="56">
        <f t="shared" si="48"/>
        <v>100</v>
      </c>
      <c r="J450" s="49"/>
      <c r="K450" s="48"/>
    </row>
    <row r="451" spans="1:11" ht="24" x14ac:dyDescent="0.2">
      <c r="A451" s="3" t="s">
        <v>41</v>
      </c>
      <c r="B451" s="2" t="s">
        <v>71</v>
      </c>
      <c r="C451" s="2" t="s">
        <v>31</v>
      </c>
      <c r="D451" s="2" t="s">
        <v>24</v>
      </c>
      <c r="E451" s="2" t="s">
        <v>38</v>
      </c>
      <c r="F451" s="2" t="s">
        <v>45</v>
      </c>
      <c r="G451" s="252">
        <v>87.738</v>
      </c>
      <c r="H451" s="252">
        <v>87.738</v>
      </c>
      <c r="I451" s="56">
        <f t="shared" si="48"/>
        <v>100</v>
      </c>
      <c r="J451" s="49">
        <v>87.738</v>
      </c>
      <c r="K451" s="48"/>
    </row>
    <row r="452" spans="1:11" ht="36" x14ac:dyDescent="0.2">
      <c r="A452" s="3" t="s">
        <v>207</v>
      </c>
      <c r="B452" s="2" t="s">
        <v>71</v>
      </c>
      <c r="C452" s="2" t="s">
        <v>31</v>
      </c>
      <c r="D452" s="2" t="s">
        <v>6</v>
      </c>
      <c r="E452" s="2" t="s">
        <v>1</v>
      </c>
      <c r="F452" s="2"/>
      <c r="G452" s="242">
        <f>G453</f>
        <v>881.96983999999998</v>
      </c>
      <c r="H452" s="242">
        <f>H453</f>
        <v>881.96983999999998</v>
      </c>
      <c r="I452" s="56">
        <f t="shared" si="48"/>
        <v>100</v>
      </c>
      <c r="J452" s="49">
        <v>881.96983999999998</v>
      </c>
      <c r="K452" s="48">
        <f t="shared" ref="K452:K498" si="49">I452-J452</f>
        <v>-781.96983999999998</v>
      </c>
    </row>
    <row r="453" spans="1:11" ht="48.75" x14ac:dyDescent="0.25">
      <c r="A453" s="3" t="s">
        <v>314</v>
      </c>
      <c r="B453" s="2" t="s">
        <v>71</v>
      </c>
      <c r="C453" s="2" t="s">
        <v>31</v>
      </c>
      <c r="D453" s="2" t="s">
        <v>6</v>
      </c>
      <c r="E453" s="2" t="s">
        <v>81</v>
      </c>
      <c r="F453" s="2"/>
      <c r="G453" s="248">
        <f t="shared" ref="G453:H455" si="50">G454</f>
        <v>881.96983999999998</v>
      </c>
      <c r="H453" s="248">
        <f t="shared" si="50"/>
        <v>881.96983999999998</v>
      </c>
      <c r="I453" s="56">
        <f t="shared" si="48"/>
        <v>100</v>
      </c>
      <c r="J453" s="49"/>
      <c r="K453" s="48">
        <f t="shared" si="49"/>
        <v>100</v>
      </c>
    </row>
    <row r="454" spans="1:11" ht="24.75" x14ac:dyDescent="0.25">
      <c r="A454" s="3" t="s">
        <v>415</v>
      </c>
      <c r="B454" s="2" t="s">
        <v>71</v>
      </c>
      <c r="C454" s="2" t="s">
        <v>31</v>
      </c>
      <c r="D454" s="2" t="s">
        <v>6</v>
      </c>
      <c r="E454" s="2" t="s">
        <v>416</v>
      </c>
      <c r="F454" s="2"/>
      <c r="G454" s="248">
        <f t="shared" si="50"/>
        <v>881.96983999999998</v>
      </c>
      <c r="H454" s="248">
        <f t="shared" si="50"/>
        <v>881.96983999999998</v>
      </c>
      <c r="I454" s="56">
        <f t="shared" si="48"/>
        <v>100</v>
      </c>
      <c r="J454" s="49"/>
      <c r="K454" s="48">
        <f t="shared" si="49"/>
        <v>100</v>
      </c>
    </row>
    <row r="455" spans="1:11" ht="24.75" x14ac:dyDescent="0.25">
      <c r="A455" s="3" t="s">
        <v>419</v>
      </c>
      <c r="B455" s="2" t="s">
        <v>71</v>
      </c>
      <c r="C455" s="2" t="s">
        <v>31</v>
      </c>
      <c r="D455" s="2" t="s">
        <v>6</v>
      </c>
      <c r="E455" s="2" t="s">
        <v>420</v>
      </c>
      <c r="F455" s="2"/>
      <c r="G455" s="248">
        <f>G456</f>
        <v>881.96983999999998</v>
      </c>
      <c r="H455" s="248">
        <f t="shared" si="50"/>
        <v>881.96983999999998</v>
      </c>
      <c r="I455" s="56">
        <f t="shared" si="48"/>
        <v>100</v>
      </c>
      <c r="J455" s="49"/>
      <c r="K455" s="48">
        <f t="shared" si="49"/>
        <v>100</v>
      </c>
    </row>
    <row r="456" spans="1:11" ht="24.75" x14ac:dyDescent="0.25">
      <c r="A456" s="3" t="s">
        <v>41</v>
      </c>
      <c r="B456" s="2" t="s">
        <v>71</v>
      </c>
      <c r="C456" s="2" t="s">
        <v>31</v>
      </c>
      <c r="D456" s="2" t="s">
        <v>6</v>
      </c>
      <c r="E456" s="2" t="s">
        <v>420</v>
      </c>
      <c r="F456" s="2" t="s">
        <v>45</v>
      </c>
      <c r="G456" s="72">
        <v>881.96983999999998</v>
      </c>
      <c r="H456" s="248">
        <v>881.96983999999998</v>
      </c>
      <c r="I456" s="56">
        <f t="shared" si="48"/>
        <v>100</v>
      </c>
      <c r="J456" s="49">
        <v>911.96983999999998</v>
      </c>
      <c r="K456" s="48">
        <f>J456-I456</f>
        <v>811.96983999999998</v>
      </c>
    </row>
    <row r="457" spans="1:11" ht="12.75" x14ac:dyDescent="0.2">
      <c r="A457" s="3" t="s">
        <v>168</v>
      </c>
      <c r="B457" s="2" t="s">
        <v>71</v>
      </c>
      <c r="C457" s="2" t="s">
        <v>70</v>
      </c>
      <c r="D457" s="2"/>
      <c r="E457" s="2"/>
      <c r="F457" s="2"/>
      <c r="G457" s="56">
        <f>G458</f>
        <v>38801.958999999995</v>
      </c>
      <c r="H457" s="56">
        <f>H458</f>
        <v>38319.52188</v>
      </c>
      <c r="I457" s="56">
        <f t="shared" si="48"/>
        <v>98.756668136266029</v>
      </c>
      <c r="J457" s="49"/>
      <c r="K457" s="48">
        <f t="shared" si="49"/>
        <v>98.756668136266029</v>
      </c>
    </row>
    <row r="458" spans="1:11" ht="12.75" x14ac:dyDescent="0.2">
      <c r="A458" s="3" t="s">
        <v>78</v>
      </c>
      <c r="B458" s="2" t="s">
        <v>71</v>
      </c>
      <c r="C458" s="2" t="s">
        <v>70</v>
      </c>
      <c r="D458" s="2" t="s">
        <v>24</v>
      </c>
      <c r="E458" s="2"/>
      <c r="F458" s="2"/>
      <c r="G458" s="56">
        <f>G459+G469</f>
        <v>38801.958999999995</v>
      </c>
      <c r="H458" s="56">
        <f>H459+H469</f>
        <v>38319.52188</v>
      </c>
      <c r="I458" s="56">
        <f t="shared" si="48"/>
        <v>98.756668136266029</v>
      </c>
      <c r="J458" s="49">
        <v>38801.959000000003</v>
      </c>
      <c r="K458" s="48">
        <f t="shared" si="49"/>
        <v>-38703.202331863737</v>
      </c>
    </row>
    <row r="459" spans="1:11" ht="36" x14ac:dyDescent="0.2">
      <c r="A459" s="3" t="s">
        <v>276</v>
      </c>
      <c r="B459" s="2" t="s">
        <v>71</v>
      </c>
      <c r="C459" s="2" t="s">
        <v>70</v>
      </c>
      <c r="D459" s="2" t="s">
        <v>24</v>
      </c>
      <c r="E459" s="2" t="s">
        <v>325</v>
      </c>
      <c r="F459" s="2"/>
      <c r="G459" s="56">
        <f>G460+G466</f>
        <v>38771.058999999994</v>
      </c>
      <c r="H459" s="56">
        <f>H460+H466</f>
        <v>38288.621879999999</v>
      </c>
      <c r="I459" s="56">
        <f t="shared" si="48"/>
        <v>98.755677217895965</v>
      </c>
      <c r="J459" s="49"/>
      <c r="K459" s="48">
        <f t="shared" si="49"/>
        <v>98.755677217895965</v>
      </c>
    </row>
    <row r="460" spans="1:11" ht="24" x14ac:dyDescent="0.2">
      <c r="A460" s="6" t="s">
        <v>451</v>
      </c>
      <c r="B460" s="2" t="s">
        <v>71</v>
      </c>
      <c r="C460" s="2" t="s">
        <v>70</v>
      </c>
      <c r="D460" s="2" t="s">
        <v>24</v>
      </c>
      <c r="E460" s="2" t="s">
        <v>452</v>
      </c>
      <c r="F460" s="2"/>
      <c r="G460" s="56">
        <f>G461+G464</f>
        <v>18447.458999999999</v>
      </c>
      <c r="H460" s="56">
        <f>H461+H464</f>
        <v>17965.058999999997</v>
      </c>
      <c r="I460" s="56">
        <f t="shared" si="48"/>
        <v>97.385005707290091</v>
      </c>
      <c r="J460" s="49"/>
      <c r="K460" s="48">
        <f t="shared" si="49"/>
        <v>97.385005707290091</v>
      </c>
    </row>
    <row r="461" spans="1:11" ht="36" x14ac:dyDescent="0.2">
      <c r="A461" s="6" t="s">
        <v>453</v>
      </c>
      <c r="B461" s="2" t="s">
        <v>71</v>
      </c>
      <c r="C461" s="2" t="s">
        <v>70</v>
      </c>
      <c r="D461" s="2" t="s">
        <v>24</v>
      </c>
      <c r="E461" s="2" t="s">
        <v>454</v>
      </c>
      <c r="F461" s="2"/>
      <c r="G461" s="243">
        <f>G463+G462</f>
        <v>841.5</v>
      </c>
      <c r="H461" s="243">
        <f>H463+H462</f>
        <v>359.1</v>
      </c>
      <c r="I461" s="56">
        <f t="shared" si="48"/>
        <v>42.673796791443849</v>
      </c>
      <c r="J461" s="49"/>
      <c r="K461" s="48">
        <f t="shared" si="49"/>
        <v>42.673796791443849</v>
      </c>
    </row>
    <row r="462" spans="1:11" ht="24" x14ac:dyDescent="0.2">
      <c r="A462" s="3" t="s">
        <v>41</v>
      </c>
      <c r="B462" s="2" t="s">
        <v>71</v>
      </c>
      <c r="C462" s="2" t="s">
        <v>70</v>
      </c>
      <c r="D462" s="2" t="s">
        <v>24</v>
      </c>
      <c r="E462" s="2" t="s">
        <v>454</v>
      </c>
      <c r="F462" s="2" t="s">
        <v>45</v>
      </c>
      <c r="G462" s="243">
        <v>260</v>
      </c>
      <c r="H462" s="243">
        <v>260</v>
      </c>
      <c r="I462" s="56">
        <f t="shared" si="48"/>
        <v>100</v>
      </c>
      <c r="J462" s="49">
        <f>260</f>
        <v>260</v>
      </c>
      <c r="K462" s="48">
        <f>J462-I462</f>
        <v>160</v>
      </c>
    </row>
    <row r="463" spans="1:11" ht="24" x14ac:dyDescent="0.2">
      <c r="A463" s="3" t="s">
        <v>62</v>
      </c>
      <c r="B463" s="2" t="s">
        <v>71</v>
      </c>
      <c r="C463" s="2" t="s">
        <v>70</v>
      </c>
      <c r="D463" s="2" t="s">
        <v>24</v>
      </c>
      <c r="E463" s="2" t="s">
        <v>454</v>
      </c>
      <c r="F463" s="2" t="s">
        <v>421</v>
      </c>
      <c r="G463" s="56">
        <v>581.5</v>
      </c>
      <c r="H463" s="243">
        <v>99.1</v>
      </c>
      <c r="I463" s="56">
        <f t="shared" si="48"/>
        <v>17.042132416165089</v>
      </c>
      <c r="J463" s="49">
        <v>581.5</v>
      </c>
      <c r="K463" s="48">
        <f>J463-I463</f>
        <v>564.45786758383497</v>
      </c>
    </row>
    <row r="464" spans="1:11" ht="60" x14ac:dyDescent="0.2">
      <c r="A464" s="3" t="s">
        <v>503</v>
      </c>
      <c r="B464" s="2" t="s">
        <v>71</v>
      </c>
      <c r="C464" s="2" t="s">
        <v>70</v>
      </c>
      <c r="D464" s="2" t="s">
        <v>24</v>
      </c>
      <c r="E464" s="2" t="s">
        <v>497</v>
      </c>
      <c r="F464" s="2"/>
      <c r="G464" s="56">
        <f>G465</f>
        <v>17605.958999999999</v>
      </c>
      <c r="H464" s="56">
        <f>H465</f>
        <v>17605.958999999999</v>
      </c>
      <c r="I464" s="56">
        <f t="shared" si="48"/>
        <v>100</v>
      </c>
      <c r="J464" s="49"/>
      <c r="K464" s="48">
        <f t="shared" si="49"/>
        <v>100</v>
      </c>
    </row>
    <row r="465" spans="1:11" ht="24" x14ac:dyDescent="0.2">
      <c r="A465" s="3" t="s">
        <v>62</v>
      </c>
      <c r="B465" s="2" t="s">
        <v>71</v>
      </c>
      <c r="C465" s="2" t="s">
        <v>70</v>
      </c>
      <c r="D465" s="2" t="s">
        <v>24</v>
      </c>
      <c r="E465" s="2" t="s">
        <v>497</v>
      </c>
      <c r="F465" s="2" t="s">
        <v>421</v>
      </c>
      <c r="G465" s="56">
        <v>17605.958999999999</v>
      </c>
      <c r="H465" s="243">
        <v>17605.958999999999</v>
      </c>
      <c r="I465" s="56">
        <f t="shared" si="48"/>
        <v>100</v>
      </c>
      <c r="J465" s="49">
        <f>17605.959</f>
        <v>17605.958999999999</v>
      </c>
      <c r="K465" s="48">
        <f>J465-I465</f>
        <v>17505.958999999999</v>
      </c>
    </row>
    <row r="466" spans="1:11" ht="36" x14ac:dyDescent="0.2">
      <c r="A466" s="6" t="s">
        <v>535</v>
      </c>
      <c r="B466" s="2" t="s">
        <v>71</v>
      </c>
      <c r="C466" s="2" t="s">
        <v>70</v>
      </c>
      <c r="D466" s="2" t="s">
        <v>24</v>
      </c>
      <c r="E466" s="2" t="s">
        <v>518</v>
      </c>
      <c r="F466" s="2"/>
      <c r="G466" s="56">
        <f>G467</f>
        <v>20323.599999999999</v>
      </c>
      <c r="H466" s="56">
        <f>H467</f>
        <v>20323.562880000001</v>
      </c>
      <c r="I466" s="56">
        <f t="shared" si="48"/>
        <v>99.999817355192988</v>
      </c>
      <c r="J466" s="49"/>
      <c r="K466" s="48"/>
    </row>
    <row r="467" spans="1:11" ht="12.75" x14ac:dyDescent="0.2">
      <c r="A467" s="3" t="s">
        <v>519</v>
      </c>
      <c r="B467" s="2" t="s">
        <v>71</v>
      </c>
      <c r="C467" s="2" t="s">
        <v>70</v>
      </c>
      <c r="D467" s="2" t="s">
        <v>24</v>
      </c>
      <c r="E467" s="2" t="s">
        <v>539</v>
      </c>
      <c r="F467" s="2"/>
      <c r="G467" s="56">
        <f>G468</f>
        <v>20323.599999999999</v>
      </c>
      <c r="H467" s="56">
        <f>H468</f>
        <v>20323.562880000001</v>
      </c>
      <c r="I467" s="56">
        <f t="shared" si="48"/>
        <v>99.999817355192988</v>
      </c>
      <c r="J467" s="49"/>
      <c r="K467" s="48"/>
    </row>
    <row r="468" spans="1:11" ht="24" x14ac:dyDescent="0.2">
      <c r="A468" s="6" t="s">
        <v>62</v>
      </c>
      <c r="B468" s="2" t="s">
        <v>71</v>
      </c>
      <c r="C468" s="2" t="s">
        <v>70</v>
      </c>
      <c r="D468" s="2" t="s">
        <v>24</v>
      </c>
      <c r="E468" s="2" t="s">
        <v>539</v>
      </c>
      <c r="F468" s="2" t="s">
        <v>421</v>
      </c>
      <c r="G468" s="56">
        <v>20323.599999999999</v>
      </c>
      <c r="H468" s="243">
        <v>20323.562880000001</v>
      </c>
      <c r="I468" s="56">
        <f t="shared" si="48"/>
        <v>99.999817355192988</v>
      </c>
      <c r="J468" s="49">
        <v>20323.599999999999</v>
      </c>
      <c r="K468" s="48"/>
    </row>
    <row r="469" spans="1:11" ht="15" customHeight="1" x14ac:dyDescent="0.2">
      <c r="A469" s="3" t="s">
        <v>491</v>
      </c>
      <c r="B469" s="2" t="s">
        <v>71</v>
      </c>
      <c r="C469" s="2" t="s">
        <v>70</v>
      </c>
      <c r="D469" s="2" t="s">
        <v>24</v>
      </c>
      <c r="E469" s="2" t="s">
        <v>0</v>
      </c>
      <c r="F469" s="2"/>
      <c r="G469" s="252">
        <f>G470</f>
        <v>30.9</v>
      </c>
      <c r="H469" s="252">
        <f>H470</f>
        <v>30.9</v>
      </c>
      <c r="I469" s="56">
        <f t="shared" si="48"/>
        <v>100</v>
      </c>
      <c r="J469" s="49"/>
      <c r="K469" s="48"/>
    </row>
    <row r="470" spans="1:11" ht="12.75" x14ac:dyDescent="0.2">
      <c r="A470" s="3" t="s">
        <v>40</v>
      </c>
      <c r="B470" s="2" t="s">
        <v>71</v>
      </c>
      <c r="C470" s="2" t="s">
        <v>70</v>
      </c>
      <c r="D470" s="2" t="s">
        <v>24</v>
      </c>
      <c r="E470" s="2" t="s">
        <v>38</v>
      </c>
      <c r="F470" s="2"/>
      <c r="G470" s="252">
        <f>G471</f>
        <v>30.9</v>
      </c>
      <c r="H470" s="252">
        <f>H471</f>
        <v>30.9</v>
      </c>
      <c r="I470" s="56">
        <f t="shared" si="48"/>
        <v>100</v>
      </c>
      <c r="J470" s="49"/>
      <c r="K470" s="48"/>
    </row>
    <row r="471" spans="1:11" ht="24" x14ac:dyDescent="0.2">
      <c r="A471" s="3" t="s">
        <v>41</v>
      </c>
      <c r="B471" s="2" t="s">
        <v>71</v>
      </c>
      <c r="C471" s="2" t="s">
        <v>70</v>
      </c>
      <c r="D471" s="2" t="s">
        <v>24</v>
      </c>
      <c r="E471" s="2" t="s">
        <v>38</v>
      </c>
      <c r="F471" s="2" t="s">
        <v>45</v>
      </c>
      <c r="G471" s="252">
        <v>30.9</v>
      </c>
      <c r="H471" s="252">
        <v>30.9</v>
      </c>
      <c r="I471" s="56">
        <f t="shared" si="48"/>
        <v>100</v>
      </c>
      <c r="J471" s="49">
        <v>30.9</v>
      </c>
      <c r="K471" s="48"/>
    </row>
    <row r="472" spans="1:11" ht="12.75" x14ac:dyDescent="0.2">
      <c r="A472" s="3" t="s">
        <v>59</v>
      </c>
      <c r="B472" s="2" t="s">
        <v>71</v>
      </c>
      <c r="C472" s="2" t="s">
        <v>48</v>
      </c>
      <c r="D472" s="2" t="s">
        <v>16</v>
      </c>
      <c r="E472" s="2"/>
      <c r="F472" s="2"/>
      <c r="G472" s="56">
        <f>G479+G473</f>
        <v>4243.2932599999995</v>
      </c>
      <c r="H472" s="56">
        <f>H479+H473</f>
        <v>4243.2932599999995</v>
      </c>
      <c r="I472" s="56">
        <f t="shared" si="48"/>
        <v>100</v>
      </c>
      <c r="J472" s="49"/>
      <c r="K472" s="48">
        <f t="shared" si="49"/>
        <v>100</v>
      </c>
    </row>
    <row r="473" spans="1:11" ht="12.75" x14ac:dyDescent="0.2">
      <c r="A473" s="3" t="s">
        <v>58</v>
      </c>
      <c r="B473" s="2" t="s">
        <v>71</v>
      </c>
      <c r="C473" s="2" t="s">
        <v>48</v>
      </c>
      <c r="D473" s="2" t="s">
        <v>13</v>
      </c>
      <c r="E473" s="2"/>
      <c r="F473" s="2"/>
      <c r="G473" s="56">
        <f>G475</f>
        <v>741.62963999999999</v>
      </c>
      <c r="H473" s="56">
        <f>H475</f>
        <v>741.62963999999999</v>
      </c>
      <c r="I473" s="56">
        <f t="shared" si="48"/>
        <v>100</v>
      </c>
      <c r="J473" s="49">
        <v>741.62962000000005</v>
      </c>
      <c r="K473" s="48">
        <f t="shared" si="49"/>
        <v>-641.62962000000005</v>
      </c>
    </row>
    <row r="474" spans="1:11" ht="24" x14ac:dyDescent="0.2">
      <c r="A474" s="3" t="s">
        <v>428</v>
      </c>
      <c r="B474" s="2" t="s">
        <v>71</v>
      </c>
      <c r="C474" s="2" t="s">
        <v>13</v>
      </c>
      <c r="D474" s="2" t="s">
        <v>21</v>
      </c>
      <c r="E474" s="2" t="s">
        <v>3</v>
      </c>
      <c r="F474" s="2"/>
      <c r="G474" s="56">
        <f>G475</f>
        <v>741.62963999999999</v>
      </c>
      <c r="H474" s="56">
        <f>H475</f>
        <v>741.62963999999999</v>
      </c>
      <c r="I474" s="56">
        <f t="shared" si="48"/>
        <v>100</v>
      </c>
      <c r="J474" s="49"/>
      <c r="K474" s="48">
        <f t="shared" si="49"/>
        <v>100</v>
      </c>
    </row>
    <row r="475" spans="1:11" ht="36" x14ac:dyDescent="0.2">
      <c r="A475" s="3" t="s">
        <v>248</v>
      </c>
      <c r="B475" s="2" t="s">
        <v>71</v>
      </c>
      <c r="C475" s="2" t="s">
        <v>48</v>
      </c>
      <c r="D475" s="2" t="s">
        <v>13</v>
      </c>
      <c r="E475" s="2" t="s">
        <v>51</v>
      </c>
      <c r="F475" s="2"/>
      <c r="G475" s="56">
        <f t="shared" ref="G475:H477" si="51">G476</f>
        <v>741.62963999999999</v>
      </c>
      <c r="H475" s="56">
        <f t="shared" si="51"/>
        <v>741.62963999999999</v>
      </c>
      <c r="I475" s="56">
        <f t="shared" si="48"/>
        <v>100</v>
      </c>
      <c r="J475" s="49"/>
      <c r="K475" s="48">
        <f t="shared" si="49"/>
        <v>100</v>
      </c>
    </row>
    <row r="476" spans="1:11" ht="36" x14ac:dyDescent="0.2">
      <c r="A476" s="3" t="s">
        <v>215</v>
      </c>
      <c r="B476" s="2" t="s">
        <v>71</v>
      </c>
      <c r="C476" s="2" t="s">
        <v>48</v>
      </c>
      <c r="D476" s="2" t="s">
        <v>13</v>
      </c>
      <c r="E476" s="2" t="s">
        <v>249</v>
      </c>
      <c r="F476" s="2"/>
      <c r="G476" s="56">
        <f t="shared" si="51"/>
        <v>741.62963999999999</v>
      </c>
      <c r="H476" s="56">
        <f t="shared" si="51"/>
        <v>741.62963999999999</v>
      </c>
      <c r="I476" s="56">
        <f t="shared" si="48"/>
        <v>100</v>
      </c>
      <c r="J476" s="49"/>
      <c r="K476" s="48">
        <f t="shared" si="49"/>
        <v>100</v>
      </c>
    </row>
    <row r="477" spans="1:11" ht="24" x14ac:dyDescent="0.2">
      <c r="A477" s="6" t="s">
        <v>250</v>
      </c>
      <c r="B477" s="2" t="s">
        <v>71</v>
      </c>
      <c r="C477" s="2" t="s">
        <v>48</v>
      </c>
      <c r="D477" s="2" t="s">
        <v>13</v>
      </c>
      <c r="E477" s="2" t="s">
        <v>251</v>
      </c>
      <c r="F477" s="2"/>
      <c r="G477" s="56">
        <f t="shared" si="51"/>
        <v>741.62963999999999</v>
      </c>
      <c r="H477" s="56">
        <f t="shared" si="51"/>
        <v>741.62963999999999</v>
      </c>
      <c r="I477" s="56">
        <f t="shared" si="48"/>
        <v>100</v>
      </c>
      <c r="J477" s="49"/>
      <c r="K477" s="48">
        <f t="shared" si="49"/>
        <v>100</v>
      </c>
    </row>
    <row r="478" spans="1:11" ht="12.75" x14ac:dyDescent="0.2">
      <c r="A478" s="6" t="s">
        <v>39</v>
      </c>
      <c r="B478" s="2" t="s">
        <v>71</v>
      </c>
      <c r="C478" s="2" t="s">
        <v>48</v>
      </c>
      <c r="D478" s="2" t="s">
        <v>13</v>
      </c>
      <c r="E478" s="2" t="s">
        <v>251</v>
      </c>
      <c r="F478" s="2" t="s">
        <v>37</v>
      </c>
      <c r="G478" s="245">
        <v>741.62963999999999</v>
      </c>
      <c r="H478" s="245">
        <v>741.62963999999999</v>
      </c>
      <c r="I478" s="56">
        <f t="shared" si="48"/>
        <v>100</v>
      </c>
      <c r="J478" s="49">
        <v>741.62963999999999</v>
      </c>
      <c r="K478" s="48">
        <f>J478-I478</f>
        <v>641.62963999999999</v>
      </c>
    </row>
    <row r="479" spans="1:11" s="24" customFormat="1" ht="12.75" x14ac:dyDescent="0.2">
      <c r="A479" s="3" t="s">
        <v>57</v>
      </c>
      <c r="B479" s="2" t="s">
        <v>71</v>
      </c>
      <c r="C479" s="2" t="s">
        <v>48</v>
      </c>
      <c r="D479" s="2" t="s">
        <v>6</v>
      </c>
      <c r="E479" s="2"/>
      <c r="F479" s="2"/>
      <c r="G479" s="56">
        <f>G481+G486+G490</f>
        <v>3501.6636199999998</v>
      </c>
      <c r="H479" s="56">
        <f>H481+H486+H490</f>
        <v>3501.6636199999998</v>
      </c>
      <c r="I479" s="56">
        <f t="shared" si="48"/>
        <v>100</v>
      </c>
      <c r="J479" s="50">
        <v>3501.6636199999998</v>
      </c>
      <c r="K479" s="48">
        <f t="shared" si="49"/>
        <v>-3401.6636199999998</v>
      </c>
    </row>
    <row r="480" spans="1:11" ht="36" x14ac:dyDescent="0.2">
      <c r="A480" s="3" t="s">
        <v>431</v>
      </c>
      <c r="B480" s="2" t="s">
        <v>71</v>
      </c>
      <c r="C480" s="2" t="s">
        <v>48</v>
      </c>
      <c r="D480" s="2" t="s">
        <v>6</v>
      </c>
      <c r="E480" s="2" t="s">
        <v>4</v>
      </c>
      <c r="F480" s="2"/>
      <c r="G480" s="241">
        <f t="shared" ref="G480:H483" si="52">G481</f>
        <v>2182.1522199999999</v>
      </c>
      <c r="H480" s="241">
        <f t="shared" si="52"/>
        <v>2182.1522199999999</v>
      </c>
      <c r="I480" s="56">
        <f t="shared" si="48"/>
        <v>100</v>
      </c>
      <c r="J480" s="49"/>
      <c r="K480" s="48">
        <f t="shared" si="49"/>
        <v>100</v>
      </c>
    </row>
    <row r="481" spans="1:11" s="24" customFormat="1" ht="48" x14ac:dyDescent="0.2">
      <c r="A481" s="3" t="s">
        <v>223</v>
      </c>
      <c r="B481" s="2" t="s">
        <v>71</v>
      </c>
      <c r="C481" s="2" t="s">
        <v>48</v>
      </c>
      <c r="D481" s="2" t="s">
        <v>6</v>
      </c>
      <c r="E481" s="2" t="s">
        <v>56</v>
      </c>
      <c r="F481" s="2"/>
      <c r="G481" s="242">
        <f t="shared" si="52"/>
        <v>2182.1522199999999</v>
      </c>
      <c r="H481" s="242">
        <f t="shared" si="52"/>
        <v>2182.1522199999999</v>
      </c>
      <c r="I481" s="56">
        <f t="shared" si="48"/>
        <v>100</v>
      </c>
      <c r="J481" s="50"/>
      <c r="K481" s="48">
        <f t="shared" si="49"/>
        <v>100</v>
      </c>
    </row>
    <row r="482" spans="1:11" s="24" customFormat="1" ht="24" x14ac:dyDescent="0.2">
      <c r="A482" s="3" t="s">
        <v>252</v>
      </c>
      <c r="B482" s="2" t="s">
        <v>71</v>
      </c>
      <c r="C482" s="2" t="s">
        <v>48</v>
      </c>
      <c r="D482" s="2" t="s">
        <v>6</v>
      </c>
      <c r="E482" s="2" t="s">
        <v>244</v>
      </c>
      <c r="F482" s="2"/>
      <c r="G482" s="242">
        <f t="shared" si="52"/>
        <v>2182.1522199999999</v>
      </c>
      <c r="H482" s="242">
        <f t="shared" si="52"/>
        <v>2182.1522199999999</v>
      </c>
      <c r="I482" s="56">
        <f t="shared" si="48"/>
        <v>100</v>
      </c>
      <c r="J482" s="50"/>
      <c r="K482" s="48">
        <f t="shared" si="49"/>
        <v>100</v>
      </c>
    </row>
    <row r="483" spans="1:11" s="24" customFormat="1" ht="48" x14ac:dyDescent="0.2">
      <c r="A483" s="3" t="s">
        <v>317</v>
      </c>
      <c r="B483" s="2" t="s">
        <v>71</v>
      </c>
      <c r="C483" s="2" t="s">
        <v>48</v>
      </c>
      <c r="D483" s="2" t="s">
        <v>6</v>
      </c>
      <c r="E483" s="2" t="s">
        <v>498</v>
      </c>
      <c r="F483" s="2"/>
      <c r="G483" s="242">
        <f t="shared" si="52"/>
        <v>2182.1522199999999</v>
      </c>
      <c r="H483" s="242">
        <f t="shared" si="52"/>
        <v>2182.1522199999999</v>
      </c>
      <c r="I483" s="56">
        <f t="shared" si="48"/>
        <v>100</v>
      </c>
      <c r="J483" s="50"/>
      <c r="K483" s="48">
        <f t="shared" si="49"/>
        <v>100</v>
      </c>
    </row>
    <row r="484" spans="1:11" s="24" customFormat="1" ht="12.75" x14ac:dyDescent="0.2">
      <c r="A484" s="3" t="s">
        <v>39</v>
      </c>
      <c r="B484" s="2" t="s">
        <v>71</v>
      </c>
      <c r="C484" s="2" t="s">
        <v>48</v>
      </c>
      <c r="D484" s="2" t="s">
        <v>6</v>
      </c>
      <c r="E484" s="2" t="s">
        <v>498</v>
      </c>
      <c r="F484" s="2" t="s">
        <v>37</v>
      </c>
      <c r="G484" s="242">
        <v>2182.1522199999999</v>
      </c>
      <c r="H484" s="242">
        <v>2182.1522199999999</v>
      </c>
      <c r="I484" s="56">
        <f t="shared" si="48"/>
        <v>100</v>
      </c>
      <c r="J484" s="50">
        <v>2182.1522199999999</v>
      </c>
      <c r="K484" s="48">
        <f>J484-I484</f>
        <v>2082.1522199999999</v>
      </c>
    </row>
    <row r="485" spans="1:11" ht="24" x14ac:dyDescent="0.2">
      <c r="A485" s="3" t="s">
        <v>428</v>
      </c>
      <c r="B485" s="2" t="s">
        <v>71</v>
      </c>
      <c r="C485" s="2" t="s">
        <v>48</v>
      </c>
      <c r="D485" s="2" t="s">
        <v>6</v>
      </c>
      <c r="E485" s="2" t="s">
        <v>3</v>
      </c>
      <c r="F485" s="2"/>
      <c r="G485" s="56">
        <f t="shared" ref="G485:H488" si="53">G486</f>
        <v>825.66539999999998</v>
      </c>
      <c r="H485" s="56">
        <f t="shared" si="53"/>
        <v>825.66539999999998</v>
      </c>
      <c r="I485" s="56">
        <f t="shared" si="48"/>
        <v>100</v>
      </c>
      <c r="J485" s="49"/>
      <c r="K485" s="48">
        <f t="shared" si="49"/>
        <v>100</v>
      </c>
    </row>
    <row r="486" spans="1:11" s="24" customFormat="1" ht="36" x14ac:dyDescent="0.2">
      <c r="A486" s="46" t="s">
        <v>319</v>
      </c>
      <c r="B486" s="2" t="s">
        <v>71</v>
      </c>
      <c r="C486" s="2" t="s">
        <v>48</v>
      </c>
      <c r="D486" s="2" t="s">
        <v>6</v>
      </c>
      <c r="E486" s="2" t="s">
        <v>349</v>
      </c>
      <c r="F486" s="2"/>
      <c r="G486" s="56">
        <f t="shared" si="53"/>
        <v>825.66539999999998</v>
      </c>
      <c r="H486" s="56">
        <f t="shared" si="53"/>
        <v>825.66539999999998</v>
      </c>
      <c r="I486" s="56">
        <f t="shared" si="48"/>
        <v>100</v>
      </c>
      <c r="J486" s="50"/>
      <c r="K486" s="48">
        <f t="shared" si="49"/>
        <v>100</v>
      </c>
    </row>
    <row r="487" spans="1:11" s="24" customFormat="1" ht="12.75" x14ac:dyDescent="0.2">
      <c r="A487" s="46" t="s">
        <v>320</v>
      </c>
      <c r="B487" s="2" t="s">
        <v>71</v>
      </c>
      <c r="C487" s="2" t="s">
        <v>48</v>
      </c>
      <c r="D487" s="2" t="s">
        <v>6</v>
      </c>
      <c r="E487" s="2" t="s">
        <v>350</v>
      </c>
      <c r="F487" s="2"/>
      <c r="G487" s="56">
        <f t="shared" si="53"/>
        <v>825.66539999999998</v>
      </c>
      <c r="H487" s="56">
        <f t="shared" si="53"/>
        <v>825.66539999999998</v>
      </c>
      <c r="I487" s="56">
        <f t="shared" si="48"/>
        <v>100</v>
      </c>
      <c r="J487" s="50"/>
      <c r="K487" s="48">
        <f t="shared" si="49"/>
        <v>100</v>
      </c>
    </row>
    <row r="488" spans="1:11" s="24" customFormat="1" ht="12.75" x14ac:dyDescent="0.2">
      <c r="A488" s="46" t="s">
        <v>560</v>
      </c>
      <c r="B488" s="2" t="s">
        <v>71</v>
      </c>
      <c r="C488" s="2" t="s">
        <v>48</v>
      </c>
      <c r="D488" s="2" t="s">
        <v>6</v>
      </c>
      <c r="E488" s="2" t="s">
        <v>375</v>
      </c>
      <c r="F488" s="2"/>
      <c r="G488" s="56">
        <f t="shared" si="53"/>
        <v>825.66539999999998</v>
      </c>
      <c r="H488" s="56">
        <f t="shared" si="53"/>
        <v>825.66539999999998</v>
      </c>
      <c r="I488" s="56">
        <f t="shared" si="48"/>
        <v>100</v>
      </c>
      <c r="J488" s="50"/>
      <c r="K488" s="48">
        <f t="shared" si="49"/>
        <v>100</v>
      </c>
    </row>
    <row r="489" spans="1:11" s="24" customFormat="1" ht="12.75" x14ac:dyDescent="0.2">
      <c r="A489" s="6" t="s">
        <v>39</v>
      </c>
      <c r="B489" s="2" t="s">
        <v>71</v>
      </c>
      <c r="C489" s="2" t="s">
        <v>48</v>
      </c>
      <c r="D489" s="2" t="s">
        <v>6</v>
      </c>
      <c r="E489" s="2" t="s">
        <v>375</v>
      </c>
      <c r="F489" s="2" t="s">
        <v>37</v>
      </c>
      <c r="G489" s="56">
        <v>825.66539999999998</v>
      </c>
      <c r="H489" s="242">
        <v>825.66539999999998</v>
      </c>
      <c r="I489" s="56">
        <f t="shared" si="48"/>
        <v>100</v>
      </c>
      <c r="J489" s="50">
        <v>825.66539999999998</v>
      </c>
      <c r="K489" s="48">
        <f>J489-I489</f>
        <v>725.66539999999998</v>
      </c>
    </row>
    <row r="490" spans="1:11" ht="15" customHeight="1" x14ac:dyDescent="0.2">
      <c r="A490" s="3" t="s">
        <v>491</v>
      </c>
      <c r="B490" s="2" t="s">
        <v>71</v>
      </c>
      <c r="C490" s="2" t="s">
        <v>48</v>
      </c>
      <c r="D490" s="2" t="s">
        <v>6</v>
      </c>
      <c r="E490" s="2" t="s">
        <v>0</v>
      </c>
      <c r="F490" s="2"/>
      <c r="G490" s="252">
        <f>G491</f>
        <v>493.846</v>
      </c>
      <c r="H490" s="252">
        <f>H491</f>
        <v>493.846</v>
      </c>
      <c r="I490" s="56">
        <f t="shared" ref="I490:I550" si="54">H490/G490*100</f>
        <v>100</v>
      </c>
      <c r="J490" s="49"/>
      <c r="K490" s="48"/>
    </row>
    <row r="491" spans="1:11" ht="12.75" x14ac:dyDescent="0.2">
      <c r="A491" s="3" t="s">
        <v>40</v>
      </c>
      <c r="B491" s="2" t="s">
        <v>71</v>
      </c>
      <c r="C491" s="2" t="s">
        <v>48</v>
      </c>
      <c r="D491" s="2" t="s">
        <v>6</v>
      </c>
      <c r="E491" s="2" t="s">
        <v>38</v>
      </c>
      <c r="F491" s="2"/>
      <c r="G491" s="252">
        <f>G492</f>
        <v>493.846</v>
      </c>
      <c r="H491" s="252">
        <f>H492</f>
        <v>493.846</v>
      </c>
      <c r="I491" s="56">
        <f t="shared" si="54"/>
        <v>100</v>
      </c>
      <c r="J491" s="49"/>
      <c r="K491" s="48"/>
    </row>
    <row r="492" spans="1:11" ht="12.75" x14ac:dyDescent="0.2">
      <c r="A492" s="6" t="s">
        <v>39</v>
      </c>
      <c r="B492" s="2" t="s">
        <v>71</v>
      </c>
      <c r="C492" s="2" t="s">
        <v>48</v>
      </c>
      <c r="D492" s="2" t="s">
        <v>6</v>
      </c>
      <c r="E492" s="2" t="s">
        <v>38</v>
      </c>
      <c r="F492" s="2" t="s">
        <v>37</v>
      </c>
      <c r="G492" s="252">
        <v>493.846</v>
      </c>
      <c r="H492" s="252">
        <v>493.846</v>
      </c>
      <c r="I492" s="56">
        <f t="shared" si="54"/>
        <v>100</v>
      </c>
      <c r="J492" s="49">
        <v>493.846</v>
      </c>
      <c r="K492" s="48"/>
    </row>
    <row r="493" spans="1:11" s="24" customFormat="1" ht="12.75" x14ac:dyDescent="0.2">
      <c r="A493" s="3" t="s">
        <v>29</v>
      </c>
      <c r="B493" s="2" t="s">
        <v>71</v>
      </c>
      <c r="C493" s="2" t="s">
        <v>25</v>
      </c>
      <c r="D493" s="2"/>
      <c r="E493" s="2"/>
      <c r="F493" s="2"/>
      <c r="G493" s="241">
        <f t="shared" ref="G493:H498" si="55">G494</f>
        <v>1980.75</v>
      </c>
      <c r="H493" s="241">
        <f t="shared" si="55"/>
        <v>1980.75</v>
      </c>
      <c r="I493" s="56">
        <f t="shared" si="54"/>
        <v>100</v>
      </c>
      <c r="J493" s="50"/>
      <c r="K493" s="48">
        <f t="shared" si="49"/>
        <v>100</v>
      </c>
    </row>
    <row r="494" spans="1:11" s="24" customFormat="1" ht="12.75" x14ac:dyDescent="0.2">
      <c r="A494" s="3" t="s">
        <v>28</v>
      </c>
      <c r="B494" s="2" t="s">
        <v>71</v>
      </c>
      <c r="C494" s="2" t="s">
        <v>25</v>
      </c>
      <c r="D494" s="2" t="s">
        <v>24</v>
      </c>
      <c r="E494" s="2"/>
      <c r="F494" s="2"/>
      <c r="G494" s="241">
        <f>G496</f>
        <v>1980.75</v>
      </c>
      <c r="H494" s="241">
        <f>H496</f>
        <v>1980.75</v>
      </c>
      <c r="I494" s="56">
        <f t="shared" si="54"/>
        <v>100</v>
      </c>
      <c r="J494" s="50">
        <v>1980.75</v>
      </c>
      <c r="K494" s="48">
        <f t="shared" si="49"/>
        <v>-1880.75</v>
      </c>
    </row>
    <row r="495" spans="1:11" ht="36" x14ac:dyDescent="0.2">
      <c r="A495" s="3" t="s">
        <v>431</v>
      </c>
      <c r="B495" s="2" t="s">
        <v>71</v>
      </c>
      <c r="C495" s="2" t="s">
        <v>25</v>
      </c>
      <c r="D495" s="2" t="s">
        <v>24</v>
      </c>
      <c r="E495" s="2" t="s">
        <v>4</v>
      </c>
      <c r="F495" s="2"/>
      <c r="G495" s="241">
        <f>G496</f>
        <v>1980.75</v>
      </c>
      <c r="H495" s="241">
        <f>H496</f>
        <v>1980.75</v>
      </c>
      <c r="I495" s="56">
        <f t="shared" si="54"/>
        <v>100</v>
      </c>
      <c r="J495" s="49"/>
      <c r="K495" s="48">
        <f t="shared" si="49"/>
        <v>100</v>
      </c>
    </row>
    <row r="496" spans="1:11" s="24" customFormat="1" ht="48" x14ac:dyDescent="0.2">
      <c r="A496" s="3" t="s">
        <v>408</v>
      </c>
      <c r="B496" s="2" t="s">
        <v>71</v>
      </c>
      <c r="C496" s="2" t="s">
        <v>25</v>
      </c>
      <c r="D496" s="2" t="s">
        <v>24</v>
      </c>
      <c r="E496" s="2" t="s">
        <v>409</v>
      </c>
      <c r="F496" s="2"/>
      <c r="G496" s="242">
        <f t="shared" si="55"/>
        <v>1980.75</v>
      </c>
      <c r="H496" s="242">
        <f t="shared" si="55"/>
        <v>1980.75</v>
      </c>
      <c r="I496" s="56">
        <f t="shared" si="54"/>
        <v>100</v>
      </c>
      <c r="J496" s="50"/>
      <c r="K496" s="48">
        <f t="shared" si="49"/>
        <v>100</v>
      </c>
    </row>
    <row r="497" spans="1:12" s="24" customFormat="1" ht="24" x14ac:dyDescent="0.2">
      <c r="A497" s="3" t="s">
        <v>406</v>
      </c>
      <c r="B497" s="2" t="s">
        <v>71</v>
      </c>
      <c r="C497" s="2" t="s">
        <v>25</v>
      </c>
      <c r="D497" s="2" t="s">
        <v>24</v>
      </c>
      <c r="E497" s="2" t="s">
        <v>410</v>
      </c>
      <c r="F497" s="2"/>
      <c r="G497" s="242">
        <f>G498+G500</f>
        <v>1980.75</v>
      </c>
      <c r="H497" s="242">
        <f>H498+H500</f>
        <v>1980.75</v>
      </c>
      <c r="I497" s="56">
        <f t="shared" si="54"/>
        <v>100</v>
      </c>
      <c r="J497" s="50"/>
      <c r="K497" s="48">
        <f t="shared" si="49"/>
        <v>100</v>
      </c>
    </row>
    <row r="498" spans="1:12" s="24" customFormat="1" ht="24" x14ac:dyDescent="0.2">
      <c r="A498" s="3" t="s">
        <v>407</v>
      </c>
      <c r="B498" s="2" t="s">
        <v>71</v>
      </c>
      <c r="C498" s="2" t="s">
        <v>25</v>
      </c>
      <c r="D498" s="2" t="s">
        <v>24</v>
      </c>
      <c r="E498" s="2" t="s">
        <v>411</v>
      </c>
      <c r="F498" s="2"/>
      <c r="G498" s="242">
        <f t="shared" si="55"/>
        <v>1255.8900000000001</v>
      </c>
      <c r="H498" s="242">
        <f t="shared" si="55"/>
        <v>1255.8900000000001</v>
      </c>
      <c r="I498" s="56">
        <f t="shared" si="54"/>
        <v>100</v>
      </c>
      <c r="J498" s="50"/>
      <c r="K498" s="48">
        <f t="shared" si="49"/>
        <v>100</v>
      </c>
    </row>
    <row r="499" spans="1:12" s="24" customFormat="1" ht="24" x14ac:dyDescent="0.2">
      <c r="A499" s="3" t="s">
        <v>26</v>
      </c>
      <c r="B499" s="2" t="s">
        <v>71</v>
      </c>
      <c r="C499" s="2" t="s">
        <v>25</v>
      </c>
      <c r="D499" s="2" t="s">
        <v>24</v>
      </c>
      <c r="E499" s="2" t="s">
        <v>411</v>
      </c>
      <c r="F499" s="2" t="s">
        <v>23</v>
      </c>
      <c r="G499" s="242">
        <v>1255.8900000000001</v>
      </c>
      <c r="H499" s="242">
        <v>1255.8900000000001</v>
      </c>
      <c r="I499" s="56">
        <f t="shared" si="54"/>
        <v>100</v>
      </c>
      <c r="J499" s="50">
        <v>1255.8900000000001</v>
      </c>
      <c r="K499" s="48">
        <f>J499-I499</f>
        <v>1155.8900000000001</v>
      </c>
    </row>
    <row r="500" spans="1:12" s="24" customFormat="1" ht="12.75" x14ac:dyDescent="0.2">
      <c r="A500" s="3" t="s">
        <v>389</v>
      </c>
      <c r="B500" s="2" t="s">
        <v>71</v>
      </c>
      <c r="C500" s="2" t="s">
        <v>25</v>
      </c>
      <c r="D500" s="2" t="s">
        <v>24</v>
      </c>
      <c r="E500" s="2" t="s">
        <v>442</v>
      </c>
      <c r="F500" s="2"/>
      <c r="G500" s="242">
        <f>G501</f>
        <v>724.86</v>
      </c>
      <c r="H500" s="242">
        <f>H501</f>
        <v>724.86</v>
      </c>
      <c r="I500" s="56">
        <f t="shared" si="54"/>
        <v>100</v>
      </c>
      <c r="J500" s="50"/>
      <c r="K500" s="48">
        <f t="shared" ref="K500:K558" si="56">I500-J500</f>
        <v>100</v>
      </c>
    </row>
    <row r="501" spans="1:12" s="24" customFormat="1" ht="24" x14ac:dyDescent="0.2">
      <c r="A501" s="3" t="s">
        <v>26</v>
      </c>
      <c r="B501" s="2" t="s">
        <v>71</v>
      </c>
      <c r="C501" s="2" t="s">
        <v>25</v>
      </c>
      <c r="D501" s="2" t="s">
        <v>24</v>
      </c>
      <c r="E501" s="2" t="s">
        <v>442</v>
      </c>
      <c r="F501" s="2" t="s">
        <v>23</v>
      </c>
      <c r="G501" s="242">
        <v>724.86</v>
      </c>
      <c r="H501" s="242">
        <v>724.86</v>
      </c>
      <c r="I501" s="56">
        <f t="shared" si="54"/>
        <v>100</v>
      </c>
      <c r="J501" s="50">
        <v>724.86</v>
      </c>
      <c r="K501" s="48">
        <f>J501-I501</f>
        <v>624.86</v>
      </c>
    </row>
    <row r="502" spans="1:12" s="24" customFormat="1" ht="12.75" x14ac:dyDescent="0.2">
      <c r="A502" s="3" t="s">
        <v>151</v>
      </c>
      <c r="B502" s="2" t="s">
        <v>71</v>
      </c>
      <c r="C502" s="2" t="s">
        <v>21</v>
      </c>
      <c r="D502" s="2"/>
      <c r="E502" s="2"/>
      <c r="F502" s="2"/>
      <c r="G502" s="56">
        <f>G503</f>
        <v>1.6</v>
      </c>
      <c r="H502" s="56">
        <f>H503</f>
        <v>0</v>
      </c>
      <c r="I502" s="56">
        <f t="shared" si="54"/>
        <v>0</v>
      </c>
      <c r="J502" s="50"/>
      <c r="K502" s="48">
        <f t="shared" si="56"/>
        <v>0</v>
      </c>
    </row>
    <row r="503" spans="1:12" s="24" customFormat="1" ht="24" x14ac:dyDescent="0.2">
      <c r="A503" s="3" t="s">
        <v>22</v>
      </c>
      <c r="B503" s="2" t="s">
        <v>71</v>
      </c>
      <c r="C503" s="2" t="s">
        <v>21</v>
      </c>
      <c r="D503" s="2" t="s">
        <v>13</v>
      </c>
      <c r="E503" s="2"/>
      <c r="F503" s="2"/>
      <c r="G503" s="56">
        <f>G505</f>
        <v>1.6</v>
      </c>
      <c r="H503" s="56">
        <f>H505</f>
        <v>0</v>
      </c>
      <c r="I503" s="56">
        <f t="shared" si="54"/>
        <v>0</v>
      </c>
      <c r="J503" s="50"/>
      <c r="K503" s="48">
        <f t="shared" si="56"/>
        <v>0</v>
      </c>
    </row>
    <row r="504" spans="1:12" ht="24" x14ac:dyDescent="0.2">
      <c r="A504" s="3" t="s">
        <v>429</v>
      </c>
      <c r="B504" s="2" t="s">
        <v>71</v>
      </c>
      <c r="C504" s="2" t="s">
        <v>13</v>
      </c>
      <c r="D504" s="2" t="s">
        <v>21</v>
      </c>
      <c r="E504" s="2" t="s">
        <v>2</v>
      </c>
      <c r="F504" s="2"/>
      <c r="G504" s="56">
        <f>G505</f>
        <v>1.6</v>
      </c>
      <c r="H504" s="56">
        <f>H505</f>
        <v>0</v>
      </c>
      <c r="I504" s="56">
        <f t="shared" si="54"/>
        <v>0</v>
      </c>
      <c r="J504" s="49">
        <v>1.6</v>
      </c>
      <c r="K504" s="48">
        <f t="shared" si="56"/>
        <v>-1.6</v>
      </c>
    </row>
    <row r="505" spans="1:12" ht="60" x14ac:dyDescent="0.2">
      <c r="A505" s="3" t="s">
        <v>286</v>
      </c>
      <c r="B505" s="2" t="s">
        <v>71</v>
      </c>
      <c r="C505" s="2">
        <v>13</v>
      </c>
      <c r="D505" s="2" t="s">
        <v>13</v>
      </c>
      <c r="E505" s="2" t="s">
        <v>11</v>
      </c>
      <c r="F505" s="2"/>
      <c r="G505" s="245">
        <f t="shared" ref="G505:H507" si="57">G506</f>
        <v>1.6</v>
      </c>
      <c r="H505" s="245">
        <f t="shared" si="57"/>
        <v>0</v>
      </c>
      <c r="I505" s="56">
        <f t="shared" si="54"/>
        <v>0</v>
      </c>
      <c r="J505" s="49"/>
      <c r="K505" s="48">
        <f t="shared" si="56"/>
        <v>0</v>
      </c>
    </row>
    <row r="506" spans="1:12" ht="36" x14ac:dyDescent="0.2">
      <c r="A506" s="3" t="s">
        <v>10</v>
      </c>
      <c r="B506" s="2" t="s">
        <v>71</v>
      </c>
      <c r="C506" s="2">
        <v>13</v>
      </c>
      <c r="D506" s="2" t="s">
        <v>13</v>
      </c>
      <c r="E506" s="2" t="s">
        <v>9</v>
      </c>
      <c r="F506" s="2"/>
      <c r="G506" s="245">
        <f t="shared" si="57"/>
        <v>1.6</v>
      </c>
      <c r="H506" s="245">
        <f t="shared" si="57"/>
        <v>0</v>
      </c>
      <c r="I506" s="56">
        <f t="shared" si="54"/>
        <v>0</v>
      </c>
      <c r="J506" s="49"/>
      <c r="K506" s="48">
        <f t="shared" si="56"/>
        <v>0</v>
      </c>
    </row>
    <row r="507" spans="1:12" ht="12.75" x14ac:dyDescent="0.2">
      <c r="A507" s="3" t="s">
        <v>287</v>
      </c>
      <c r="B507" s="2" t="s">
        <v>71</v>
      </c>
      <c r="C507" s="2">
        <v>13</v>
      </c>
      <c r="D507" s="2" t="s">
        <v>13</v>
      </c>
      <c r="E507" s="2" t="s">
        <v>20</v>
      </c>
      <c r="F507" s="2"/>
      <c r="G507" s="245">
        <f t="shared" si="57"/>
        <v>1.6</v>
      </c>
      <c r="H507" s="245">
        <f t="shared" si="57"/>
        <v>0</v>
      </c>
      <c r="I507" s="56">
        <f t="shared" si="54"/>
        <v>0</v>
      </c>
      <c r="J507" s="49"/>
      <c r="K507" s="48">
        <f t="shared" si="56"/>
        <v>0</v>
      </c>
    </row>
    <row r="508" spans="1:12" ht="12.75" x14ac:dyDescent="0.2">
      <c r="A508" s="3" t="s">
        <v>19</v>
      </c>
      <c r="B508" s="2" t="s">
        <v>71</v>
      </c>
      <c r="C508" s="2">
        <v>13</v>
      </c>
      <c r="D508" s="2" t="s">
        <v>13</v>
      </c>
      <c r="E508" s="2" t="s">
        <v>20</v>
      </c>
      <c r="F508" s="2" t="s">
        <v>18</v>
      </c>
      <c r="G508" s="245">
        <v>1.6</v>
      </c>
      <c r="H508" s="245">
        <v>0</v>
      </c>
      <c r="I508" s="56">
        <f t="shared" si="54"/>
        <v>0</v>
      </c>
      <c r="J508" s="49">
        <v>1.6</v>
      </c>
      <c r="K508" s="48">
        <f>J508-I508</f>
        <v>1.6</v>
      </c>
    </row>
    <row r="509" spans="1:12" s="24" customFormat="1" ht="36" x14ac:dyDescent="0.2">
      <c r="A509" s="47" t="s">
        <v>486</v>
      </c>
      <c r="B509" s="4" t="s">
        <v>193</v>
      </c>
      <c r="C509" s="4"/>
      <c r="D509" s="4"/>
      <c r="E509" s="4"/>
      <c r="F509" s="2"/>
      <c r="G509" s="70">
        <f>G510+G527+G582+G572</f>
        <v>63652.845390000002</v>
      </c>
      <c r="H509" s="70">
        <f>H510+H527+H582+H572</f>
        <v>63652.845390000002</v>
      </c>
      <c r="I509" s="70">
        <f t="shared" si="54"/>
        <v>100</v>
      </c>
      <c r="J509" s="50">
        <v>63652.845390000002</v>
      </c>
      <c r="K509" s="48">
        <f>H509-J509</f>
        <v>0</v>
      </c>
      <c r="L509" s="24">
        <v>57632.097300000001</v>
      </c>
    </row>
    <row r="510" spans="1:12" s="24" customFormat="1" ht="12.75" x14ac:dyDescent="0.2">
      <c r="A510" s="3" t="s">
        <v>168</v>
      </c>
      <c r="B510" s="2" t="s">
        <v>193</v>
      </c>
      <c r="C510" s="2" t="s">
        <v>70</v>
      </c>
      <c r="D510" s="2"/>
      <c r="E510" s="2"/>
      <c r="F510" s="2"/>
      <c r="G510" s="56">
        <f>G521+G511</f>
        <v>9412.6115400000017</v>
      </c>
      <c r="H510" s="56">
        <f>H521+H511</f>
        <v>9412.6115399999999</v>
      </c>
      <c r="I510" s="56">
        <f t="shared" si="54"/>
        <v>99.999999999999972</v>
      </c>
      <c r="J510" s="50"/>
      <c r="K510" s="48">
        <f t="shared" si="56"/>
        <v>99.999999999999972</v>
      </c>
      <c r="L510" s="24">
        <f>I509-L509</f>
        <v>-57532.097300000001</v>
      </c>
    </row>
    <row r="511" spans="1:12" s="24" customFormat="1" ht="12.75" x14ac:dyDescent="0.2">
      <c r="A511" s="3" t="s">
        <v>211</v>
      </c>
      <c r="B511" s="2" t="s">
        <v>193</v>
      </c>
      <c r="C511" s="2" t="s">
        <v>70</v>
      </c>
      <c r="D511" s="2" t="s">
        <v>6</v>
      </c>
      <c r="E511" s="2"/>
      <c r="F511" s="2"/>
      <c r="G511" s="56">
        <f>G513</f>
        <v>9332.6115400000017</v>
      </c>
      <c r="H511" s="56">
        <f>H513</f>
        <v>9332.6115399999999</v>
      </c>
      <c r="I511" s="56">
        <f t="shared" si="54"/>
        <v>99.999999999999972</v>
      </c>
      <c r="J511" s="50"/>
      <c r="K511" s="48">
        <f t="shared" si="56"/>
        <v>99.999999999999972</v>
      </c>
    </row>
    <row r="512" spans="1:12" ht="24" x14ac:dyDescent="0.2">
      <c r="A512" s="3" t="s">
        <v>427</v>
      </c>
      <c r="B512" s="2" t="s">
        <v>193</v>
      </c>
      <c r="C512" s="2" t="s">
        <v>70</v>
      </c>
      <c r="D512" s="2" t="s">
        <v>6</v>
      </c>
      <c r="E512" s="2" t="s">
        <v>348</v>
      </c>
      <c r="F512" s="2"/>
      <c r="G512" s="56">
        <f>G513</f>
        <v>9332.6115400000017</v>
      </c>
      <c r="H512" s="56">
        <f>H513</f>
        <v>9332.6115399999999</v>
      </c>
      <c r="I512" s="56">
        <f t="shared" si="54"/>
        <v>99.999999999999972</v>
      </c>
      <c r="J512" s="49"/>
      <c r="K512" s="48">
        <f t="shared" si="56"/>
        <v>99.999999999999972</v>
      </c>
    </row>
    <row r="513" spans="1:11" ht="48" x14ac:dyDescent="0.2">
      <c r="A513" s="3" t="s">
        <v>280</v>
      </c>
      <c r="B513" s="2" t="s">
        <v>193</v>
      </c>
      <c r="C513" s="2" t="s">
        <v>70</v>
      </c>
      <c r="D513" s="2" t="s">
        <v>6</v>
      </c>
      <c r="E513" s="2" t="s">
        <v>332</v>
      </c>
      <c r="F513" s="2"/>
      <c r="G513" s="56">
        <f>G514</f>
        <v>9332.6115400000017</v>
      </c>
      <c r="H513" s="56">
        <f>H514</f>
        <v>9332.6115399999999</v>
      </c>
      <c r="I513" s="56">
        <f t="shared" si="54"/>
        <v>99.999999999999972</v>
      </c>
      <c r="J513" s="49"/>
      <c r="K513" s="48">
        <f t="shared" si="56"/>
        <v>99.999999999999972</v>
      </c>
    </row>
    <row r="514" spans="1:11" ht="12.75" x14ac:dyDescent="0.2">
      <c r="A514" s="3" t="s">
        <v>75</v>
      </c>
      <c r="B514" s="2" t="s">
        <v>193</v>
      </c>
      <c r="C514" s="2" t="s">
        <v>70</v>
      </c>
      <c r="D514" s="2" t="s">
        <v>6</v>
      </c>
      <c r="E514" s="2" t="s">
        <v>333</v>
      </c>
      <c r="F514" s="2"/>
      <c r="G514" s="56">
        <f>G515+G517+G519</f>
        <v>9332.6115400000017</v>
      </c>
      <c r="H514" s="56">
        <f>H515+H517+H519</f>
        <v>9332.6115399999999</v>
      </c>
      <c r="I514" s="56">
        <f t="shared" si="54"/>
        <v>99.999999999999972</v>
      </c>
      <c r="J514" s="49"/>
      <c r="K514" s="48">
        <f t="shared" si="56"/>
        <v>99.999999999999972</v>
      </c>
    </row>
    <row r="515" spans="1:11" ht="24" x14ac:dyDescent="0.2">
      <c r="A515" s="3" t="s">
        <v>318</v>
      </c>
      <c r="B515" s="2" t="s">
        <v>193</v>
      </c>
      <c r="C515" s="2" t="s">
        <v>70</v>
      </c>
      <c r="D515" s="2" t="s">
        <v>6</v>
      </c>
      <c r="E515" s="2" t="s">
        <v>344</v>
      </c>
      <c r="F515" s="2"/>
      <c r="G515" s="56">
        <f>G516</f>
        <v>7803.3711300000004</v>
      </c>
      <c r="H515" s="56">
        <f>H516</f>
        <v>7803.3711299999995</v>
      </c>
      <c r="I515" s="56">
        <f t="shared" si="54"/>
        <v>99.999999999999986</v>
      </c>
      <c r="J515" s="49"/>
      <c r="K515" s="48">
        <f t="shared" si="56"/>
        <v>99.999999999999986</v>
      </c>
    </row>
    <row r="516" spans="1:11" ht="24" x14ac:dyDescent="0.2">
      <c r="A516" s="3" t="s">
        <v>26</v>
      </c>
      <c r="B516" s="2" t="s">
        <v>193</v>
      </c>
      <c r="C516" s="2" t="s">
        <v>70</v>
      </c>
      <c r="D516" s="2" t="s">
        <v>6</v>
      </c>
      <c r="E516" s="2" t="s">
        <v>344</v>
      </c>
      <c r="F516" s="2" t="s">
        <v>23</v>
      </c>
      <c r="G516" s="56">
        <v>7803.3711300000004</v>
      </c>
      <c r="H516" s="56">
        <f>7559.79113+243.58</f>
        <v>7803.3711299999995</v>
      </c>
      <c r="I516" s="56">
        <f t="shared" si="54"/>
        <v>99.999999999999986</v>
      </c>
      <c r="J516" s="49">
        <f>7524.78113+278.59</f>
        <v>7803.3711300000004</v>
      </c>
      <c r="K516" s="48">
        <f>J516-I516</f>
        <v>7703.3711300000004</v>
      </c>
    </row>
    <row r="517" spans="1:11" ht="12.75" x14ac:dyDescent="0.2">
      <c r="A517" s="3" t="s">
        <v>389</v>
      </c>
      <c r="B517" s="2" t="s">
        <v>193</v>
      </c>
      <c r="C517" s="2" t="s">
        <v>70</v>
      </c>
      <c r="D517" s="2" t="s">
        <v>6</v>
      </c>
      <c r="E517" s="2" t="s">
        <v>392</v>
      </c>
      <c r="F517" s="2"/>
      <c r="G517" s="56">
        <f>G518</f>
        <v>1125.48</v>
      </c>
      <c r="H517" s="56">
        <f>H518</f>
        <v>1125.48</v>
      </c>
      <c r="I517" s="56">
        <f t="shared" si="54"/>
        <v>100</v>
      </c>
      <c r="J517" s="49"/>
      <c r="K517" s="48">
        <f t="shared" si="56"/>
        <v>100</v>
      </c>
    </row>
    <row r="518" spans="1:11" ht="24" x14ac:dyDescent="0.2">
      <c r="A518" s="3" t="s">
        <v>26</v>
      </c>
      <c r="B518" s="2" t="s">
        <v>193</v>
      </c>
      <c r="C518" s="2" t="s">
        <v>70</v>
      </c>
      <c r="D518" s="2" t="s">
        <v>6</v>
      </c>
      <c r="E518" s="2" t="s">
        <v>392</v>
      </c>
      <c r="F518" s="2" t="s">
        <v>23</v>
      </c>
      <c r="G518" s="56">
        <v>1125.48</v>
      </c>
      <c r="H518" s="56">
        <v>1125.48</v>
      </c>
      <c r="I518" s="56">
        <f t="shared" si="54"/>
        <v>100</v>
      </c>
      <c r="J518" s="49">
        <v>1125.48</v>
      </c>
      <c r="K518" s="48">
        <f>J518-I518</f>
        <v>1025.48</v>
      </c>
    </row>
    <row r="519" spans="1:11" ht="24" x14ac:dyDescent="0.2">
      <c r="A519" s="6" t="s">
        <v>555</v>
      </c>
      <c r="B519" s="2" t="s">
        <v>193</v>
      </c>
      <c r="C519" s="2" t="s">
        <v>70</v>
      </c>
      <c r="D519" s="2" t="s">
        <v>6</v>
      </c>
      <c r="E519" s="2" t="s">
        <v>554</v>
      </c>
      <c r="F519" s="2"/>
      <c r="G519" s="56">
        <f>G520</f>
        <v>403.76040999999998</v>
      </c>
      <c r="H519" s="56">
        <f>H520</f>
        <v>403.76040999999998</v>
      </c>
      <c r="I519" s="56">
        <f t="shared" si="54"/>
        <v>100</v>
      </c>
      <c r="J519" s="49"/>
      <c r="K519" s="48">
        <f>J519-I519</f>
        <v>-100</v>
      </c>
    </row>
    <row r="520" spans="1:11" ht="24" x14ac:dyDescent="0.2">
      <c r="A520" s="3" t="s">
        <v>26</v>
      </c>
      <c r="B520" s="2" t="s">
        <v>193</v>
      </c>
      <c r="C520" s="2" t="s">
        <v>70</v>
      </c>
      <c r="D520" s="2" t="s">
        <v>6</v>
      </c>
      <c r="E520" s="2" t="s">
        <v>554</v>
      </c>
      <c r="F520" s="2" t="s">
        <v>23</v>
      </c>
      <c r="G520" s="56">
        <v>403.76040999999998</v>
      </c>
      <c r="H520" s="56">
        <v>403.76040999999998</v>
      </c>
      <c r="I520" s="56">
        <f t="shared" si="54"/>
        <v>100</v>
      </c>
      <c r="J520" s="49">
        <v>403.76040999999998</v>
      </c>
      <c r="K520" s="48">
        <f>J520-I520</f>
        <v>303.76040999999998</v>
      </c>
    </row>
    <row r="521" spans="1:11" s="24" customFormat="1" ht="12.75" x14ac:dyDescent="0.2">
      <c r="A521" s="3" t="s">
        <v>74</v>
      </c>
      <c r="B521" s="2" t="s">
        <v>193</v>
      </c>
      <c r="C521" s="2" t="s">
        <v>70</v>
      </c>
      <c r="D521" s="2" t="s">
        <v>70</v>
      </c>
      <c r="E521" s="2"/>
      <c r="F521" s="2"/>
      <c r="G521" s="56">
        <f>G523</f>
        <v>80</v>
      </c>
      <c r="H521" s="56">
        <f>H523</f>
        <v>80</v>
      </c>
      <c r="I521" s="56">
        <f t="shared" si="54"/>
        <v>100</v>
      </c>
      <c r="J521" s="50"/>
      <c r="K521" s="48">
        <f t="shared" si="56"/>
        <v>100</v>
      </c>
    </row>
    <row r="522" spans="1:11" ht="24" x14ac:dyDescent="0.2">
      <c r="A522" s="3" t="s">
        <v>428</v>
      </c>
      <c r="B522" s="2" t="s">
        <v>193</v>
      </c>
      <c r="C522" s="2" t="s">
        <v>70</v>
      </c>
      <c r="D522" s="2" t="s">
        <v>70</v>
      </c>
      <c r="E522" s="2" t="s">
        <v>3</v>
      </c>
      <c r="F522" s="2"/>
      <c r="G522" s="56">
        <f t="shared" ref="G522:H525" si="58">G523</f>
        <v>80</v>
      </c>
      <c r="H522" s="56">
        <f t="shared" si="58"/>
        <v>80</v>
      </c>
      <c r="I522" s="56">
        <f t="shared" si="54"/>
        <v>100</v>
      </c>
      <c r="J522" s="49"/>
      <c r="K522" s="48">
        <f t="shared" si="56"/>
        <v>100</v>
      </c>
    </row>
    <row r="523" spans="1:11" s="24" customFormat="1" ht="36" x14ac:dyDescent="0.2">
      <c r="A523" s="3" t="s">
        <v>319</v>
      </c>
      <c r="B523" s="2" t="s">
        <v>193</v>
      </c>
      <c r="C523" s="2" t="s">
        <v>70</v>
      </c>
      <c r="D523" s="2" t="s">
        <v>70</v>
      </c>
      <c r="E523" s="2" t="s">
        <v>349</v>
      </c>
      <c r="F523" s="2"/>
      <c r="G523" s="245">
        <f t="shared" si="58"/>
        <v>80</v>
      </c>
      <c r="H523" s="245">
        <f t="shared" si="58"/>
        <v>80</v>
      </c>
      <c r="I523" s="56">
        <f t="shared" si="54"/>
        <v>100</v>
      </c>
      <c r="J523" s="50"/>
      <c r="K523" s="48">
        <f t="shared" si="56"/>
        <v>100</v>
      </c>
    </row>
    <row r="524" spans="1:11" s="24" customFormat="1" ht="12.75" x14ac:dyDescent="0.2">
      <c r="A524" s="3" t="s">
        <v>320</v>
      </c>
      <c r="B524" s="2" t="s">
        <v>193</v>
      </c>
      <c r="C524" s="2" t="s">
        <v>70</v>
      </c>
      <c r="D524" s="2" t="s">
        <v>70</v>
      </c>
      <c r="E524" s="2" t="s">
        <v>350</v>
      </c>
      <c r="F524" s="2"/>
      <c r="G524" s="245">
        <f t="shared" si="58"/>
        <v>80</v>
      </c>
      <c r="H524" s="245">
        <f t="shared" si="58"/>
        <v>80</v>
      </c>
      <c r="I524" s="56">
        <f t="shared" si="54"/>
        <v>100</v>
      </c>
      <c r="J524" s="50"/>
      <c r="K524" s="48">
        <f t="shared" si="56"/>
        <v>100</v>
      </c>
    </row>
    <row r="525" spans="1:11" s="24" customFormat="1" ht="24" x14ac:dyDescent="0.2">
      <c r="A525" s="3" t="s">
        <v>254</v>
      </c>
      <c r="B525" s="2" t="s">
        <v>193</v>
      </c>
      <c r="C525" s="2" t="s">
        <v>70</v>
      </c>
      <c r="D525" s="2" t="s">
        <v>70</v>
      </c>
      <c r="E525" s="2" t="s">
        <v>351</v>
      </c>
      <c r="F525" s="2"/>
      <c r="G525" s="245">
        <f t="shared" si="58"/>
        <v>80</v>
      </c>
      <c r="H525" s="245">
        <f t="shared" si="58"/>
        <v>80</v>
      </c>
      <c r="I525" s="56">
        <f t="shared" si="54"/>
        <v>100</v>
      </c>
      <c r="J525" s="50"/>
      <c r="K525" s="48">
        <f t="shared" si="56"/>
        <v>100</v>
      </c>
    </row>
    <row r="526" spans="1:11" s="24" customFormat="1" ht="24" x14ac:dyDescent="0.2">
      <c r="A526" s="3" t="s">
        <v>41</v>
      </c>
      <c r="B526" s="2" t="s">
        <v>193</v>
      </c>
      <c r="C526" s="2" t="s">
        <v>70</v>
      </c>
      <c r="D526" s="2" t="s">
        <v>70</v>
      </c>
      <c r="E526" s="2" t="s">
        <v>351</v>
      </c>
      <c r="F526" s="2" t="s">
        <v>45</v>
      </c>
      <c r="G526" s="245">
        <v>80</v>
      </c>
      <c r="H526" s="245">
        <v>80</v>
      </c>
      <c r="I526" s="56">
        <f t="shared" si="54"/>
        <v>100</v>
      </c>
      <c r="J526" s="50">
        <v>80</v>
      </c>
      <c r="K526" s="48">
        <f>J526-I526</f>
        <v>-20</v>
      </c>
    </row>
    <row r="527" spans="1:11" s="24" customFormat="1" ht="12.75" x14ac:dyDescent="0.2">
      <c r="A527" s="3" t="s">
        <v>69</v>
      </c>
      <c r="B527" s="2" t="s">
        <v>193</v>
      </c>
      <c r="C527" s="2" t="s">
        <v>64</v>
      </c>
      <c r="D527" s="2"/>
      <c r="E527" s="2"/>
      <c r="F527" s="2"/>
      <c r="G527" s="56">
        <f>G528+G552</f>
        <v>53430.233850000004</v>
      </c>
      <c r="H527" s="56">
        <f>H528+H552</f>
        <v>53430.233850000004</v>
      </c>
      <c r="I527" s="56">
        <f t="shared" si="54"/>
        <v>100</v>
      </c>
      <c r="J527" s="50"/>
      <c r="K527" s="48">
        <f t="shared" si="56"/>
        <v>100</v>
      </c>
    </row>
    <row r="528" spans="1:11" s="24" customFormat="1" ht="12.75" x14ac:dyDescent="0.2">
      <c r="A528" s="3" t="s">
        <v>68</v>
      </c>
      <c r="B528" s="2" t="s">
        <v>193</v>
      </c>
      <c r="C528" s="2" t="s">
        <v>64</v>
      </c>
      <c r="D528" s="2" t="s">
        <v>13</v>
      </c>
      <c r="E528" s="2"/>
      <c r="F528" s="2"/>
      <c r="G528" s="56">
        <f>G530+G549</f>
        <v>43287.799990000007</v>
      </c>
      <c r="H528" s="56">
        <f>H530+H549</f>
        <v>43287.799990000007</v>
      </c>
      <c r="I528" s="56">
        <f t="shared" si="54"/>
        <v>100</v>
      </c>
      <c r="J528" s="50"/>
      <c r="K528" s="48">
        <f t="shared" si="56"/>
        <v>100</v>
      </c>
    </row>
    <row r="529" spans="1:11" ht="24" x14ac:dyDescent="0.2">
      <c r="A529" s="3" t="s">
        <v>428</v>
      </c>
      <c r="B529" s="2" t="s">
        <v>193</v>
      </c>
      <c r="C529" s="2" t="s">
        <v>64</v>
      </c>
      <c r="D529" s="2" t="s">
        <v>13</v>
      </c>
      <c r="E529" s="2" t="s">
        <v>3</v>
      </c>
      <c r="F529" s="2"/>
      <c r="G529" s="56">
        <f>G530</f>
        <v>43205.699990000008</v>
      </c>
      <c r="H529" s="56">
        <f>H530</f>
        <v>43205.699990000008</v>
      </c>
      <c r="I529" s="56">
        <f t="shared" si="54"/>
        <v>100</v>
      </c>
      <c r="J529" s="49"/>
      <c r="K529" s="48">
        <f t="shared" si="56"/>
        <v>100</v>
      </c>
    </row>
    <row r="530" spans="1:11" s="24" customFormat="1" ht="36" x14ac:dyDescent="0.2">
      <c r="A530" s="3" t="s">
        <v>291</v>
      </c>
      <c r="B530" s="2" t="s">
        <v>193</v>
      </c>
      <c r="C530" s="2" t="s">
        <v>64</v>
      </c>
      <c r="D530" s="2" t="s">
        <v>13</v>
      </c>
      <c r="E530" s="2" t="s">
        <v>35</v>
      </c>
      <c r="F530" s="2"/>
      <c r="G530" s="245">
        <f>G531+G542</f>
        <v>43205.699990000008</v>
      </c>
      <c r="H530" s="245">
        <f>H531+H542</f>
        <v>43205.699990000008</v>
      </c>
      <c r="I530" s="56">
        <f t="shared" si="54"/>
        <v>100</v>
      </c>
      <c r="J530" s="50"/>
      <c r="K530" s="48">
        <f t="shared" si="56"/>
        <v>100</v>
      </c>
    </row>
    <row r="531" spans="1:11" s="24" customFormat="1" ht="36" x14ac:dyDescent="0.2">
      <c r="A531" s="3" t="s">
        <v>471</v>
      </c>
      <c r="B531" s="2" t="s">
        <v>193</v>
      </c>
      <c r="C531" s="2" t="s">
        <v>64</v>
      </c>
      <c r="D531" s="2" t="s">
        <v>13</v>
      </c>
      <c r="E531" s="2" t="s">
        <v>253</v>
      </c>
      <c r="F531" s="2"/>
      <c r="G531" s="245">
        <f>G532+G536+G540+G534+G538</f>
        <v>28333.362850000005</v>
      </c>
      <c r="H531" s="245">
        <f>H532+H536+H540+H534+H538</f>
        <v>28333.362850000005</v>
      </c>
      <c r="I531" s="56">
        <f t="shared" si="54"/>
        <v>100</v>
      </c>
      <c r="J531" s="50"/>
      <c r="K531" s="48">
        <f t="shared" si="56"/>
        <v>100</v>
      </c>
    </row>
    <row r="532" spans="1:11" s="24" customFormat="1" ht="12.75" x14ac:dyDescent="0.2">
      <c r="A532" s="3" t="s">
        <v>472</v>
      </c>
      <c r="B532" s="2" t="s">
        <v>193</v>
      </c>
      <c r="C532" s="2" t="s">
        <v>64</v>
      </c>
      <c r="D532" s="2" t="s">
        <v>13</v>
      </c>
      <c r="E532" s="2" t="s">
        <v>34</v>
      </c>
      <c r="F532" s="2"/>
      <c r="G532" s="245">
        <f>G533</f>
        <v>22881.064900000001</v>
      </c>
      <c r="H532" s="245">
        <f>H533</f>
        <v>22881.064900000001</v>
      </c>
      <c r="I532" s="56">
        <f t="shared" si="54"/>
        <v>100</v>
      </c>
      <c r="J532" s="50"/>
      <c r="K532" s="48">
        <f t="shared" si="56"/>
        <v>100</v>
      </c>
    </row>
    <row r="533" spans="1:11" s="24" customFormat="1" ht="24" x14ac:dyDescent="0.2">
      <c r="A533" s="3" t="s">
        <v>26</v>
      </c>
      <c r="B533" s="2" t="s">
        <v>193</v>
      </c>
      <c r="C533" s="2" t="s">
        <v>64</v>
      </c>
      <c r="D533" s="2" t="s">
        <v>13</v>
      </c>
      <c r="E533" s="2" t="s">
        <v>34</v>
      </c>
      <c r="F533" s="2" t="s">
        <v>23</v>
      </c>
      <c r="G533" s="245">
        <v>22881.064900000001</v>
      </c>
      <c r="H533" s="245">
        <f>22831.0649+50</f>
        <v>22881.064900000001</v>
      </c>
      <c r="I533" s="56">
        <f t="shared" si="54"/>
        <v>100</v>
      </c>
      <c r="J533" s="50">
        <f>22831.0649+50</f>
        <v>22881.064900000001</v>
      </c>
      <c r="K533" s="48">
        <f>J533-I533</f>
        <v>22781.064900000001</v>
      </c>
    </row>
    <row r="534" spans="1:11" s="24" customFormat="1" ht="24" x14ac:dyDescent="0.2">
      <c r="A534" s="3" t="s">
        <v>470</v>
      </c>
      <c r="B534" s="2" t="s">
        <v>193</v>
      </c>
      <c r="C534" s="2" t="s">
        <v>64</v>
      </c>
      <c r="D534" s="2" t="s">
        <v>13</v>
      </c>
      <c r="E534" s="2" t="s">
        <v>443</v>
      </c>
      <c r="F534" s="2"/>
      <c r="G534" s="245">
        <f>G535</f>
        <v>723.54184999999995</v>
      </c>
      <c r="H534" s="245">
        <f>H535</f>
        <v>723.54184999999995</v>
      </c>
      <c r="I534" s="56">
        <f t="shared" si="54"/>
        <v>100</v>
      </c>
      <c r="J534" s="50"/>
      <c r="K534" s="48">
        <f t="shared" si="56"/>
        <v>100</v>
      </c>
    </row>
    <row r="535" spans="1:11" s="24" customFormat="1" ht="24" x14ac:dyDescent="0.2">
      <c r="A535" s="3" t="s">
        <v>41</v>
      </c>
      <c r="B535" s="2" t="s">
        <v>193</v>
      </c>
      <c r="C535" s="2" t="s">
        <v>64</v>
      </c>
      <c r="D535" s="2" t="s">
        <v>13</v>
      </c>
      <c r="E535" s="2" t="s">
        <v>443</v>
      </c>
      <c r="F535" s="2" t="s">
        <v>45</v>
      </c>
      <c r="G535" s="245">
        <v>723.54184999999995</v>
      </c>
      <c r="H535" s="245">
        <v>723.54184999999995</v>
      </c>
      <c r="I535" s="56">
        <f t="shared" si="54"/>
        <v>100</v>
      </c>
      <c r="J535" s="50">
        <v>723.54184999999995</v>
      </c>
      <c r="K535" s="48">
        <f>J535-I535</f>
        <v>623.54184999999995</v>
      </c>
    </row>
    <row r="536" spans="1:11" s="24" customFormat="1" ht="36" x14ac:dyDescent="0.2">
      <c r="A536" s="3" t="s">
        <v>366</v>
      </c>
      <c r="B536" s="2" t="s">
        <v>193</v>
      </c>
      <c r="C536" s="2" t="s">
        <v>64</v>
      </c>
      <c r="D536" s="2" t="s">
        <v>13</v>
      </c>
      <c r="E536" s="2" t="s">
        <v>367</v>
      </c>
      <c r="F536" s="2"/>
      <c r="G536" s="56">
        <f>G537</f>
        <v>1721.02953</v>
      </c>
      <c r="H536" s="56">
        <f>H537</f>
        <v>1721.02953</v>
      </c>
      <c r="I536" s="56">
        <f t="shared" si="54"/>
        <v>100</v>
      </c>
      <c r="J536" s="50"/>
      <c r="K536" s="48">
        <f t="shared" si="56"/>
        <v>100</v>
      </c>
    </row>
    <row r="537" spans="1:11" s="24" customFormat="1" ht="24" x14ac:dyDescent="0.2">
      <c r="A537" s="3" t="s">
        <v>26</v>
      </c>
      <c r="B537" s="2" t="s">
        <v>193</v>
      </c>
      <c r="C537" s="2" t="s">
        <v>64</v>
      </c>
      <c r="D537" s="2" t="s">
        <v>13</v>
      </c>
      <c r="E537" s="2" t="s">
        <v>367</v>
      </c>
      <c r="F537" s="2" t="s">
        <v>23</v>
      </c>
      <c r="G537" s="56">
        <v>1721.02953</v>
      </c>
      <c r="H537" s="243">
        <v>1721.02953</v>
      </c>
      <c r="I537" s="56">
        <f t="shared" si="54"/>
        <v>100</v>
      </c>
      <c r="J537" s="50">
        <v>1721.02953</v>
      </c>
      <c r="K537" s="48">
        <f>J537-I537</f>
        <v>1621.02953</v>
      </c>
    </row>
    <row r="538" spans="1:11" s="24" customFormat="1" ht="24" x14ac:dyDescent="0.2">
      <c r="A538" s="6" t="s">
        <v>530</v>
      </c>
      <c r="B538" s="2" t="s">
        <v>193</v>
      </c>
      <c r="C538" s="2" t="s">
        <v>64</v>
      </c>
      <c r="D538" s="2" t="s">
        <v>13</v>
      </c>
      <c r="E538" s="2" t="s">
        <v>531</v>
      </c>
      <c r="F538" s="2"/>
      <c r="G538" s="56">
        <f>G539</f>
        <v>2626.3465700000002</v>
      </c>
      <c r="H538" s="56">
        <f>H539</f>
        <v>2626.3465700000002</v>
      </c>
      <c r="I538" s="56">
        <f t="shared" si="54"/>
        <v>100</v>
      </c>
      <c r="J538" s="50"/>
      <c r="K538" s="48"/>
    </row>
    <row r="539" spans="1:11" s="24" customFormat="1" ht="24" x14ac:dyDescent="0.2">
      <c r="A539" s="3" t="s">
        <v>26</v>
      </c>
      <c r="B539" s="2" t="s">
        <v>193</v>
      </c>
      <c r="C539" s="2" t="s">
        <v>64</v>
      </c>
      <c r="D539" s="2" t="s">
        <v>13</v>
      </c>
      <c r="E539" s="2" t="s">
        <v>531</v>
      </c>
      <c r="F539" s="2" t="s">
        <v>23</v>
      </c>
      <c r="G539" s="56">
        <v>2626.3465700000002</v>
      </c>
      <c r="H539" s="243">
        <v>2626.3465700000002</v>
      </c>
      <c r="I539" s="56">
        <f t="shared" si="54"/>
        <v>100</v>
      </c>
      <c r="J539" s="50">
        <v>2626.3465700000002</v>
      </c>
      <c r="K539" s="48">
        <f>J539-I539</f>
        <v>2526.3465700000002</v>
      </c>
    </row>
    <row r="540" spans="1:11" s="24" customFormat="1" ht="12.75" x14ac:dyDescent="0.2">
      <c r="A540" s="3" t="s">
        <v>389</v>
      </c>
      <c r="B540" s="2" t="s">
        <v>193</v>
      </c>
      <c r="C540" s="2" t="s">
        <v>64</v>
      </c>
      <c r="D540" s="2" t="s">
        <v>13</v>
      </c>
      <c r="E540" s="2" t="s">
        <v>404</v>
      </c>
      <c r="F540" s="2"/>
      <c r="G540" s="56">
        <f>G541</f>
        <v>381.38</v>
      </c>
      <c r="H540" s="56">
        <f>H541</f>
        <v>381.38</v>
      </c>
      <c r="I540" s="56">
        <f t="shared" si="54"/>
        <v>100</v>
      </c>
      <c r="J540" s="50"/>
      <c r="K540" s="48">
        <f t="shared" si="56"/>
        <v>100</v>
      </c>
    </row>
    <row r="541" spans="1:11" s="24" customFormat="1" ht="24" x14ac:dyDescent="0.2">
      <c r="A541" s="3" t="s">
        <v>26</v>
      </c>
      <c r="B541" s="2" t="s">
        <v>193</v>
      </c>
      <c r="C541" s="2" t="s">
        <v>64</v>
      </c>
      <c r="D541" s="2" t="s">
        <v>13</v>
      </c>
      <c r="E541" s="2" t="s">
        <v>404</v>
      </c>
      <c r="F541" s="2" t="s">
        <v>23</v>
      </c>
      <c r="G541" s="56">
        <v>381.38</v>
      </c>
      <c r="H541" s="243">
        <v>381.38</v>
      </c>
      <c r="I541" s="56">
        <f t="shared" si="54"/>
        <v>100</v>
      </c>
      <c r="J541" s="50">
        <v>381.38</v>
      </c>
      <c r="K541" s="48">
        <f>J541-I541</f>
        <v>281.38</v>
      </c>
    </row>
    <row r="542" spans="1:11" s="24" customFormat="1" ht="24" x14ac:dyDescent="0.2">
      <c r="A542" s="3" t="s">
        <v>210</v>
      </c>
      <c r="B542" s="2" t="s">
        <v>193</v>
      </c>
      <c r="C542" s="2" t="s">
        <v>64</v>
      </c>
      <c r="D542" s="2" t="s">
        <v>13</v>
      </c>
      <c r="E542" s="2" t="s">
        <v>255</v>
      </c>
      <c r="F542" s="2"/>
      <c r="G542" s="245">
        <f>G543+G547+G545</f>
        <v>14872.33714</v>
      </c>
      <c r="H542" s="245">
        <f>H543+H547+H545</f>
        <v>14872.33714</v>
      </c>
      <c r="I542" s="56">
        <f t="shared" si="54"/>
        <v>100</v>
      </c>
      <c r="J542" s="50"/>
      <c r="K542" s="48">
        <f t="shared" si="56"/>
        <v>100</v>
      </c>
    </row>
    <row r="543" spans="1:11" s="24" customFormat="1" ht="12.75" x14ac:dyDescent="0.2">
      <c r="A543" s="3" t="s">
        <v>473</v>
      </c>
      <c r="B543" s="2" t="s">
        <v>193</v>
      </c>
      <c r="C543" s="2" t="s">
        <v>64</v>
      </c>
      <c r="D543" s="2" t="s">
        <v>13</v>
      </c>
      <c r="E543" s="2" t="s">
        <v>256</v>
      </c>
      <c r="F543" s="2"/>
      <c r="G543" s="245">
        <f>G544</f>
        <v>13343.48092</v>
      </c>
      <c r="H543" s="245">
        <f>H544</f>
        <v>13343.48092</v>
      </c>
      <c r="I543" s="56">
        <f t="shared" si="54"/>
        <v>100</v>
      </c>
      <c r="J543" s="50"/>
      <c r="K543" s="48">
        <f t="shared" si="56"/>
        <v>100</v>
      </c>
    </row>
    <row r="544" spans="1:11" s="24" customFormat="1" ht="24" x14ac:dyDescent="0.2">
      <c r="A544" s="3" t="s">
        <v>26</v>
      </c>
      <c r="B544" s="2" t="s">
        <v>193</v>
      </c>
      <c r="C544" s="2" t="s">
        <v>64</v>
      </c>
      <c r="D544" s="2" t="s">
        <v>13</v>
      </c>
      <c r="E544" s="2" t="s">
        <v>256</v>
      </c>
      <c r="F544" s="2" t="s">
        <v>23</v>
      </c>
      <c r="G544" s="245">
        <v>13343.48092</v>
      </c>
      <c r="H544" s="245">
        <v>13343.48092</v>
      </c>
      <c r="I544" s="56">
        <f t="shared" si="54"/>
        <v>100</v>
      </c>
      <c r="J544" s="50">
        <v>13343.48092</v>
      </c>
      <c r="K544" s="48">
        <f>J544-I544</f>
        <v>13243.48092</v>
      </c>
    </row>
    <row r="545" spans="1:11" s="24" customFormat="1" ht="24" x14ac:dyDescent="0.2">
      <c r="A545" s="6" t="s">
        <v>530</v>
      </c>
      <c r="B545" s="2" t="s">
        <v>193</v>
      </c>
      <c r="C545" s="2" t="s">
        <v>64</v>
      </c>
      <c r="D545" s="2" t="s">
        <v>13</v>
      </c>
      <c r="E545" s="2" t="s">
        <v>532</v>
      </c>
      <c r="F545" s="2"/>
      <c r="G545" s="245">
        <f>G546</f>
        <v>1345.4156</v>
      </c>
      <c r="H545" s="245">
        <f>H546</f>
        <v>1345.4156</v>
      </c>
      <c r="I545" s="56">
        <f t="shared" si="54"/>
        <v>100</v>
      </c>
      <c r="J545" s="50"/>
      <c r="K545" s="48"/>
    </row>
    <row r="546" spans="1:11" s="24" customFormat="1" ht="24" x14ac:dyDescent="0.2">
      <c r="A546" s="3" t="s">
        <v>26</v>
      </c>
      <c r="B546" s="2" t="s">
        <v>193</v>
      </c>
      <c r="C546" s="2" t="s">
        <v>64</v>
      </c>
      <c r="D546" s="2" t="s">
        <v>13</v>
      </c>
      <c r="E546" s="2" t="s">
        <v>532</v>
      </c>
      <c r="F546" s="2" t="s">
        <v>23</v>
      </c>
      <c r="G546" s="245">
        <v>1345.4156</v>
      </c>
      <c r="H546" s="245">
        <v>1345.4156</v>
      </c>
      <c r="I546" s="56">
        <f t="shared" si="54"/>
        <v>100</v>
      </c>
      <c r="J546" s="50">
        <v>1345.4156</v>
      </c>
      <c r="K546" s="48">
        <f>J546-I546</f>
        <v>1245.4156</v>
      </c>
    </row>
    <row r="547" spans="1:11" s="24" customFormat="1" ht="24" x14ac:dyDescent="0.2">
      <c r="A547" s="6" t="s">
        <v>364</v>
      </c>
      <c r="B547" s="2" t="s">
        <v>193</v>
      </c>
      <c r="C547" s="2" t="s">
        <v>64</v>
      </c>
      <c r="D547" s="2" t="s">
        <v>13</v>
      </c>
      <c r="E547" s="2" t="s">
        <v>365</v>
      </c>
      <c r="F547" s="2"/>
      <c r="G547" s="56">
        <f>G548</f>
        <v>183.44062</v>
      </c>
      <c r="H547" s="56">
        <f>H548</f>
        <v>183.44062</v>
      </c>
      <c r="I547" s="56">
        <f t="shared" si="54"/>
        <v>100</v>
      </c>
      <c r="J547" s="50"/>
      <c r="K547" s="48">
        <f t="shared" si="56"/>
        <v>100</v>
      </c>
    </row>
    <row r="548" spans="1:11" s="24" customFormat="1" ht="24" x14ac:dyDescent="0.2">
      <c r="A548" s="6" t="s">
        <v>26</v>
      </c>
      <c r="B548" s="2" t="s">
        <v>193</v>
      </c>
      <c r="C548" s="2" t="s">
        <v>64</v>
      </c>
      <c r="D548" s="2" t="s">
        <v>13</v>
      </c>
      <c r="E548" s="2" t="s">
        <v>365</v>
      </c>
      <c r="F548" s="2" t="s">
        <v>23</v>
      </c>
      <c r="G548" s="56">
        <v>183.44062</v>
      </c>
      <c r="H548" s="243">
        <v>183.44062</v>
      </c>
      <c r="I548" s="56">
        <f t="shared" si="54"/>
        <v>100</v>
      </c>
      <c r="J548" s="50">
        <v>183.44062</v>
      </c>
      <c r="K548" s="48">
        <f>J548-I548</f>
        <v>83.440619999999996</v>
      </c>
    </row>
    <row r="549" spans="1:11" s="24" customFormat="1" ht="12.75" x14ac:dyDescent="0.2">
      <c r="A549" s="3" t="s">
        <v>491</v>
      </c>
      <c r="B549" s="2" t="s">
        <v>193</v>
      </c>
      <c r="C549" s="2" t="s">
        <v>64</v>
      </c>
      <c r="D549" s="2" t="s">
        <v>13</v>
      </c>
      <c r="E549" s="2" t="s">
        <v>0</v>
      </c>
      <c r="F549" s="2"/>
      <c r="G549" s="56">
        <f>G550</f>
        <v>82.1</v>
      </c>
      <c r="H549" s="56">
        <f>H550</f>
        <v>82.1</v>
      </c>
      <c r="I549" s="56">
        <f t="shared" si="54"/>
        <v>100</v>
      </c>
      <c r="J549" s="50"/>
      <c r="K549" s="48"/>
    </row>
    <row r="550" spans="1:11" s="24" customFormat="1" ht="12.75" x14ac:dyDescent="0.2">
      <c r="A550" s="3" t="s">
        <v>40</v>
      </c>
      <c r="B550" s="2" t="s">
        <v>193</v>
      </c>
      <c r="C550" s="2" t="s">
        <v>64</v>
      </c>
      <c r="D550" s="2" t="s">
        <v>13</v>
      </c>
      <c r="E550" s="2" t="s">
        <v>38</v>
      </c>
      <c r="F550" s="2"/>
      <c r="G550" s="56">
        <f>G551</f>
        <v>82.1</v>
      </c>
      <c r="H550" s="56">
        <f>H551</f>
        <v>82.1</v>
      </c>
      <c r="I550" s="56">
        <f t="shared" si="54"/>
        <v>100</v>
      </c>
      <c r="J550" s="50"/>
      <c r="K550" s="48"/>
    </row>
    <row r="551" spans="1:11" s="24" customFormat="1" ht="24" x14ac:dyDescent="0.2">
      <c r="A551" s="6" t="s">
        <v>26</v>
      </c>
      <c r="B551" s="2" t="s">
        <v>193</v>
      </c>
      <c r="C551" s="2" t="s">
        <v>64</v>
      </c>
      <c r="D551" s="2" t="s">
        <v>13</v>
      </c>
      <c r="E551" s="2" t="s">
        <v>38</v>
      </c>
      <c r="F551" s="2" t="s">
        <v>23</v>
      </c>
      <c r="G551" s="56">
        <v>82.1</v>
      </c>
      <c r="H551" s="243">
        <f>20+62.1</f>
        <v>82.1</v>
      </c>
      <c r="I551" s="56">
        <f t="shared" ref="I551:I593" si="59">H551/G551*100</f>
        <v>100</v>
      </c>
      <c r="J551" s="50">
        <v>82.1</v>
      </c>
      <c r="K551" s="48"/>
    </row>
    <row r="552" spans="1:11" s="24" customFormat="1" ht="12.75" x14ac:dyDescent="0.2">
      <c r="A552" s="3" t="s">
        <v>67</v>
      </c>
      <c r="B552" s="2" t="s">
        <v>193</v>
      </c>
      <c r="C552" s="2" t="s">
        <v>64</v>
      </c>
      <c r="D552" s="2" t="s">
        <v>53</v>
      </c>
      <c r="E552" s="2"/>
      <c r="F552" s="2"/>
      <c r="G552" s="56">
        <f>G554+G560+G569</f>
        <v>10142.433859999999</v>
      </c>
      <c r="H552" s="56">
        <f>H554+H560+H569</f>
        <v>10142.433860000001</v>
      </c>
      <c r="I552" s="56">
        <f t="shared" si="59"/>
        <v>100.00000000000003</v>
      </c>
      <c r="J552" s="50"/>
      <c r="K552" s="48">
        <f t="shared" si="56"/>
        <v>100.00000000000003</v>
      </c>
    </row>
    <row r="553" spans="1:11" ht="24" x14ac:dyDescent="0.2">
      <c r="A553" s="3" t="s">
        <v>428</v>
      </c>
      <c r="B553" s="2" t="s">
        <v>193</v>
      </c>
      <c r="C553" s="2" t="s">
        <v>64</v>
      </c>
      <c r="D553" s="2" t="s">
        <v>53</v>
      </c>
      <c r="E553" s="2" t="s">
        <v>3</v>
      </c>
      <c r="F553" s="2"/>
      <c r="G553" s="56">
        <f>G554+G560</f>
        <v>10048.683859999999</v>
      </c>
      <c r="H553" s="56">
        <f>H554+H560</f>
        <v>10048.683860000001</v>
      </c>
      <c r="I553" s="56">
        <f t="shared" si="59"/>
        <v>100.00000000000003</v>
      </c>
      <c r="J553" s="49"/>
      <c r="K553" s="48">
        <f t="shared" si="56"/>
        <v>100.00000000000003</v>
      </c>
    </row>
    <row r="554" spans="1:11" s="24" customFormat="1" ht="72" x14ac:dyDescent="0.2">
      <c r="A554" s="6" t="s">
        <v>474</v>
      </c>
      <c r="B554" s="2" t="s">
        <v>193</v>
      </c>
      <c r="C554" s="2" t="s">
        <v>64</v>
      </c>
      <c r="D554" s="2" t="s">
        <v>53</v>
      </c>
      <c r="E554" s="2" t="s">
        <v>398</v>
      </c>
      <c r="F554" s="2"/>
      <c r="G554" s="56">
        <f>G555+G558</f>
        <v>1837.3979999999999</v>
      </c>
      <c r="H554" s="56">
        <f>H555+H558</f>
        <v>1837.3980000000001</v>
      </c>
      <c r="I554" s="56">
        <f t="shared" si="59"/>
        <v>100.00000000000003</v>
      </c>
      <c r="J554" s="50"/>
      <c r="K554" s="48">
        <f t="shared" si="56"/>
        <v>100.00000000000003</v>
      </c>
    </row>
    <row r="555" spans="1:11" s="24" customFormat="1" ht="24" x14ac:dyDescent="0.2">
      <c r="A555" s="6" t="s">
        <v>257</v>
      </c>
      <c r="B555" s="2" t="s">
        <v>193</v>
      </c>
      <c r="C555" s="2" t="s">
        <v>64</v>
      </c>
      <c r="D555" s="2" t="s">
        <v>53</v>
      </c>
      <c r="E555" s="2" t="s">
        <v>359</v>
      </c>
      <c r="F555" s="2"/>
      <c r="G555" s="56">
        <f>G556</f>
        <v>1655.6379999999999</v>
      </c>
      <c r="H555" s="56">
        <f>H556</f>
        <v>1655.6380000000001</v>
      </c>
      <c r="I555" s="56">
        <f t="shared" si="59"/>
        <v>100.00000000000003</v>
      </c>
      <c r="J555" s="50"/>
      <c r="K555" s="48">
        <f t="shared" si="56"/>
        <v>100.00000000000003</v>
      </c>
    </row>
    <row r="556" spans="1:11" s="24" customFormat="1" ht="24" x14ac:dyDescent="0.2">
      <c r="A556" s="3" t="s">
        <v>66</v>
      </c>
      <c r="B556" s="2" t="s">
        <v>193</v>
      </c>
      <c r="C556" s="2" t="s">
        <v>64</v>
      </c>
      <c r="D556" s="2" t="s">
        <v>53</v>
      </c>
      <c r="E556" s="2" t="s">
        <v>360</v>
      </c>
      <c r="F556" s="2"/>
      <c r="G556" s="245">
        <f>G557</f>
        <v>1655.6379999999999</v>
      </c>
      <c r="H556" s="245">
        <f>H557</f>
        <v>1655.6380000000001</v>
      </c>
      <c r="I556" s="56">
        <f t="shared" si="59"/>
        <v>100.00000000000003</v>
      </c>
      <c r="J556" s="50"/>
      <c r="K556" s="48">
        <f t="shared" si="56"/>
        <v>100.00000000000003</v>
      </c>
    </row>
    <row r="557" spans="1:11" s="24" customFormat="1" ht="48" x14ac:dyDescent="0.2">
      <c r="A557" s="3" t="s">
        <v>33</v>
      </c>
      <c r="B557" s="2" t="s">
        <v>193</v>
      </c>
      <c r="C557" s="2" t="s">
        <v>64</v>
      </c>
      <c r="D557" s="2" t="s">
        <v>53</v>
      </c>
      <c r="E557" s="2" t="s">
        <v>360</v>
      </c>
      <c r="F557" s="2" t="s">
        <v>30</v>
      </c>
      <c r="G557" s="245">
        <v>1655.6379999999999</v>
      </c>
      <c r="H557" s="245">
        <f>1271.611+384.027</f>
        <v>1655.6380000000001</v>
      </c>
      <c r="I557" s="56">
        <f t="shared" si="59"/>
        <v>100.00000000000003</v>
      </c>
      <c r="J557" s="50">
        <f>1271.611+384.027</f>
        <v>1655.6380000000001</v>
      </c>
      <c r="K557" s="48">
        <f>J557-I557</f>
        <v>1555.6380000000001</v>
      </c>
    </row>
    <row r="558" spans="1:11" s="24" customFormat="1" ht="12.75" x14ac:dyDescent="0.2">
      <c r="A558" s="3" t="s">
        <v>389</v>
      </c>
      <c r="B558" s="2" t="s">
        <v>193</v>
      </c>
      <c r="C558" s="2" t="s">
        <v>64</v>
      </c>
      <c r="D558" s="2" t="s">
        <v>53</v>
      </c>
      <c r="E558" s="2" t="s">
        <v>397</v>
      </c>
      <c r="F558" s="2"/>
      <c r="G558" s="245">
        <f>G559</f>
        <v>181.76</v>
      </c>
      <c r="H558" s="245">
        <f>H559</f>
        <v>181.76</v>
      </c>
      <c r="I558" s="56">
        <f t="shared" si="59"/>
        <v>100</v>
      </c>
      <c r="J558" s="50"/>
      <c r="K558" s="48">
        <f t="shared" si="56"/>
        <v>100</v>
      </c>
    </row>
    <row r="559" spans="1:11" s="24" customFormat="1" ht="48" x14ac:dyDescent="0.2">
      <c r="A559" s="3" t="s">
        <v>33</v>
      </c>
      <c r="B559" s="2" t="s">
        <v>193</v>
      </c>
      <c r="C559" s="2" t="s">
        <v>64</v>
      </c>
      <c r="D559" s="2" t="s">
        <v>53</v>
      </c>
      <c r="E559" s="2" t="s">
        <v>397</v>
      </c>
      <c r="F559" s="2" t="s">
        <v>30</v>
      </c>
      <c r="G559" s="245">
        <v>181.76</v>
      </c>
      <c r="H559" s="245">
        <f>139.60061+42.15939</f>
        <v>181.76</v>
      </c>
      <c r="I559" s="56">
        <f t="shared" si="59"/>
        <v>100</v>
      </c>
      <c r="J559" s="50">
        <f>139.60061+42.15939</f>
        <v>181.76</v>
      </c>
      <c r="K559" s="48">
        <f>J559-I559</f>
        <v>81.759999999999991</v>
      </c>
    </row>
    <row r="560" spans="1:11" s="24" customFormat="1" ht="48" x14ac:dyDescent="0.2">
      <c r="A560" s="3" t="s">
        <v>475</v>
      </c>
      <c r="B560" s="2" t="s">
        <v>193</v>
      </c>
      <c r="C560" s="2" t="s">
        <v>64</v>
      </c>
      <c r="D560" s="2" t="s">
        <v>53</v>
      </c>
      <c r="E560" s="2" t="s">
        <v>399</v>
      </c>
      <c r="F560" s="2"/>
      <c r="G560" s="56">
        <f>G561+G567</f>
        <v>8211.28586</v>
      </c>
      <c r="H560" s="56">
        <f>H561+H567</f>
        <v>8211.28586</v>
      </c>
      <c r="I560" s="56">
        <f t="shared" si="59"/>
        <v>100</v>
      </c>
      <c r="J560" s="50"/>
      <c r="K560" s="48">
        <f t="shared" ref="K560:K625" si="60">I560-J560</f>
        <v>100</v>
      </c>
    </row>
    <row r="561" spans="1:11" s="24" customFormat="1" ht="48" x14ac:dyDescent="0.2">
      <c r="A561" s="3" t="s">
        <v>476</v>
      </c>
      <c r="B561" s="2" t="s">
        <v>193</v>
      </c>
      <c r="C561" s="2" t="s">
        <v>64</v>
      </c>
      <c r="D561" s="2" t="s">
        <v>53</v>
      </c>
      <c r="E561" s="2" t="s">
        <v>400</v>
      </c>
      <c r="F561" s="2"/>
      <c r="G561" s="56">
        <f>G562+G564</f>
        <v>5806.4358600000005</v>
      </c>
      <c r="H561" s="56">
        <f>H562+H564</f>
        <v>5806.4358599999996</v>
      </c>
      <c r="I561" s="56">
        <f t="shared" si="59"/>
        <v>99.999999999999986</v>
      </c>
      <c r="J561" s="50"/>
      <c r="K561" s="48">
        <f t="shared" si="60"/>
        <v>99.999999999999986</v>
      </c>
    </row>
    <row r="562" spans="1:11" s="24" customFormat="1" ht="48" x14ac:dyDescent="0.2">
      <c r="A562" s="3" t="s">
        <v>477</v>
      </c>
      <c r="B562" s="2" t="s">
        <v>193</v>
      </c>
      <c r="C562" s="2" t="s">
        <v>64</v>
      </c>
      <c r="D562" s="2" t="s">
        <v>53</v>
      </c>
      <c r="E562" s="2" t="s">
        <v>401</v>
      </c>
      <c r="F562" s="2"/>
      <c r="G562" s="56">
        <f>G563</f>
        <v>4268.9724800000004</v>
      </c>
      <c r="H562" s="56">
        <f>H563</f>
        <v>4268.9724799999995</v>
      </c>
      <c r="I562" s="56">
        <f t="shared" si="59"/>
        <v>99.999999999999972</v>
      </c>
      <c r="J562" s="50"/>
      <c r="K562" s="48">
        <f t="shared" si="60"/>
        <v>99.999999999999972</v>
      </c>
    </row>
    <row r="563" spans="1:11" s="24" customFormat="1" ht="48" x14ac:dyDescent="0.2">
      <c r="A563" s="3" t="s">
        <v>33</v>
      </c>
      <c r="B563" s="2" t="s">
        <v>193</v>
      </c>
      <c r="C563" s="2" t="s">
        <v>64</v>
      </c>
      <c r="D563" s="2" t="s">
        <v>53</v>
      </c>
      <c r="E563" s="2" t="s">
        <v>401</v>
      </c>
      <c r="F563" s="2" t="s">
        <v>30</v>
      </c>
      <c r="G563" s="56">
        <v>4268.9724800000004</v>
      </c>
      <c r="H563" s="56">
        <f>3278.78032+990.19216</f>
        <v>4268.9724799999995</v>
      </c>
      <c r="I563" s="56">
        <f t="shared" si="59"/>
        <v>99.999999999999972</v>
      </c>
      <c r="J563" s="50">
        <f>3278.78032+990.19216</f>
        <v>4268.9724799999995</v>
      </c>
      <c r="K563" s="48">
        <f>J563-I563</f>
        <v>4168.9724799999995</v>
      </c>
    </row>
    <row r="564" spans="1:11" s="24" customFormat="1" ht="48" x14ac:dyDescent="0.2">
      <c r="A564" s="6" t="s">
        <v>478</v>
      </c>
      <c r="B564" s="2" t="s">
        <v>193</v>
      </c>
      <c r="C564" s="2" t="s">
        <v>64</v>
      </c>
      <c r="D564" s="2" t="s">
        <v>53</v>
      </c>
      <c r="E564" s="2" t="s">
        <v>402</v>
      </c>
      <c r="F564" s="2"/>
      <c r="G564" s="56">
        <f>G565+G566</f>
        <v>1537.4633799999999</v>
      </c>
      <c r="H564" s="56">
        <f>H565+H566</f>
        <v>1537.4633799999999</v>
      </c>
      <c r="I564" s="56">
        <f t="shared" si="59"/>
        <v>100</v>
      </c>
      <c r="J564" s="50"/>
      <c r="K564" s="48">
        <f t="shared" si="60"/>
        <v>100</v>
      </c>
    </row>
    <row r="565" spans="1:11" s="24" customFormat="1" ht="24" x14ac:dyDescent="0.2">
      <c r="A565" s="3" t="s">
        <v>41</v>
      </c>
      <c r="B565" s="2" t="s">
        <v>193</v>
      </c>
      <c r="C565" s="2" t="s">
        <v>64</v>
      </c>
      <c r="D565" s="2" t="s">
        <v>53</v>
      </c>
      <c r="E565" s="2" t="s">
        <v>402</v>
      </c>
      <c r="F565" s="2" t="s">
        <v>45</v>
      </c>
      <c r="G565" s="56">
        <v>1525.36338</v>
      </c>
      <c r="H565" s="56">
        <v>1525.36338</v>
      </c>
      <c r="I565" s="56">
        <f t="shared" si="59"/>
        <v>100</v>
      </c>
      <c r="J565" s="50">
        <f>1525.36338</f>
        <v>1525.36338</v>
      </c>
      <c r="K565" s="48">
        <f>J565-I565</f>
        <v>1425.36338</v>
      </c>
    </row>
    <row r="566" spans="1:11" s="24" customFormat="1" ht="24" x14ac:dyDescent="0.2">
      <c r="A566" s="6" t="s">
        <v>65</v>
      </c>
      <c r="B566" s="2" t="s">
        <v>193</v>
      </c>
      <c r="C566" s="2" t="s">
        <v>64</v>
      </c>
      <c r="D566" s="2" t="s">
        <v>53</v>
      </c>
      <c r="E566" s="2" t="s">
        <v>402</v>
      </c>
      <c r="F566" s="2" t="s">
        <v>71</v>
      </c>
      <c r="G566" s="56">
        <v>12.1</v>
      </c>
      <c r="H566" s="56">
        <f>4.474+3.5+4.126</f>
        <v>12.100000000000001</v>
      </c>
      <c r="I566" s="56">
        <f t="shared" si="59"/>
        <v>100.00000000000003</v>
      </c>
      <c r="J566" s="50">
        <f>4.474+3.5+4.126</f>
        <v>12.100000000000001</v>
      </c>
      <c r="K566" s="48">
        <f>J566-I566</f>
        <v>-87.900000000000034</v>
      </c>
    </row>
    <row r="567" spans="1:11" s="24" customFormat="1" ht="12.75" x14ac:dyDescent="0.2">
      <c r="A567" s="6" t="s">
        <v>389</v>
      </c>
      <c r="B567" s="2" t="s">
        <v>193</v>
      </c>
      <c r="C567" s="2" t="s">
        <v>64</v>
      </c>
      <c r="D567" s="2" t="s">
        <v>53</v>
      </c>
      <c r="E567" s="2" t="s">
        <v>403</v>
      </c>
      <c r="F567" s="2"/>
      <c r="G567" s="56">
        <f>G568</f>
        <v>2404.85</v>
      </c>
      <c r="H567" s="56">
        <f>H568</f>
        <v>2404.85</v>
      </c>
      <c r="I567" s="56">
        <f t="shared" si="59"/>
        <v>100</v>
      </c>
      <c r="J567" s="50"/>
      <c r="K567" s="48">
        <f t="shared" si="60"/>
        <v>100</v>
      </c>
    </row>
    <row r="568" spans="1:11" s="24" customFormat="1" ht="48" x14ac:dyDescent="0.2">
      <c r="A568" s="3" t="s">
        <v>33</v>
      </c>
      <c r="B568" s="2" t="s">
        <v>193</v>
      </c>
      <c r="C568" s="2" t="s">
        <v>64</v>
      </c>
      <c r="D568" s="2" t="s">
        <v>53</v>
      </c>
      <c r="E568" s="2" t="s">
        <v>403</v>
      </c>
      <c r="F568" s="2" t="s">
        <v>30</v>
      </c>
      <c r="G568" s="56">
        <v>2404.85</v>
      </c>
      <c r="H568" s="56">
        <f>1847.043+557.807</f>
        <v>2404.85</v>
      </c>
      <c r="I568" s="56">
        <f t="shared" si="59"/>
        <v>100</v>
      </c>
      <c r="J568" s="50">
        <f>1847.043+557.807</f>
        <v>2404.85</v>
      </c>
      <c r="K568" s="48">
        <f>J568-I568</f>
        <v>2304.85</v>
      </c>
    </row>
    <row r="569" spans="1:11" ht="15" customHeight="1" x14ac:dyDescent="0.2">
      <c r="A569" s="3" t="s">
        <v>491</v>
      </c>
      <c r="B569" s="2" t="s">
        <v>193</v>
      </c>
      <c r="C569" s="2" t="s">
        <v>64</v>
      </c>
      <c r="D569" s="2" t="s">
        <v>53</v>
      </c>
      <c r="E569" s="2" t="s">
        <v>0</v>
      </c>
      <c r="F569" s="2"/>
      <c r="G569" s="252">
        <f>G570</f>
        <v>93.75</v>
      </c>
      <c r="H569" s="252">
        <f>H570</f>
        <v>93.75</v>
      </c>
      <c r="I569" s="56">
        <f t="shared" si="59"/>
        <v>100</v>
      </c>
      <c r="J569" s="49"/>
      <c r="K569" s="48"/>
    </row>
    <row r="570" spans="1:11" ht="12.75" x14ac:dyDescent="0.2">
      <c r="A570" s="3" t="s">
        <v>40</v>
      </c>
      <c r="B570" s="2" t="s">
        <v>193</v>
      </c>
      <c r="C570" s="2" t="s">
        <v>64</v>
      </c>
      <c r="D570" s="2" t="s">
        <v>53</v>
      </c>
      <c r="E570" s="2" t="s">
        <v>38</v>
      </c>
      <c r="F570" s="2"/>
      <c r="G570" s="252">
        <f>G571</f>
        <v>93.75</v>
      </c>
      <c r="H570" s="252">
        <f>H571</f>
        <v>93.75</v>
      </c>
      <c r="I570" s="56">
        <f t="shared" si="59"/>
        <v>100</v>
      </c>
      <c r="J570" s="49"/>
      <c r="K570" s="48"/>
    </row>
    <row r="571" spans="1:11" ht="24" x14ac:dyDescent="0.2">
      <c r="A571" s="3" t="s">
        <v>41</v>
      </c>
      <c r="B571" s="2" t="s">
        <v>193</v>
      </c>
      <c r="C571" s="2" t="s">
        <v>64</v>
      </c>
      <c r="D571" s="2" t="s">
        <v>53</v>
      </c>
      <c r="E571" s="2" t="s">
        <v>38</v>
      </c>
      <c r="F571" s="2" t="s">
        <v>45</v>
      </c>
      <c r="G571" s="252">
        <v>93.75</v>
      </c>
      <c r="H571" s="252">
        <v>93.75</v>
      </c>
      <c r="I571" s="56">
        <f t="shared" si="59"/>
        <v>100</v>
      </c>
      <c r="J571" s="49">
        <v>93.75</v>
      </c>
      <c r="K571" s="48"/>
    </row>
    <row r="572" spans="1:11" s="24" customFormat="1" ht="12.75" x14ac:dyDescent="0.2">
      <c r="A572" s="3" t="s">
        <v>59</v>
      </c>
      <c r="B572" s="2" t="s">
        <v>193</v>
      </c>
      <c r="C572" s="2" t="s">
        <v>48</v>
      </c>
      <c r="D572" s="2" t="s">
        <v>16</v>
      </c>
      <c r="E572" s="2"/>
      <c r="F572" s="2"/>
      <c r="G572" s="56">
        <f t="shared" ref="G572:H577" si="61">G573</f>
        <v>80</v>
      </c>
      <c r="H572" s="56">
        <f t="shared" si="61"/>
        <v>80</v>
      </c>
      <c r="I572" s="56">
        <f t="shared" si="59"/>
        <v>100</v>
      </c>
      <c r="J572" s="50"/>
      <c r="K572" s="48">
        <f t="shared" si="60"/>
        <v>100</v>
      </c>
    </row>
    <row r="573" spans="1:11" s="24" customFormat="1" ht="12.75" x14ac:dyDescent="0.2">
      <c r="A573" s="3" t="s">
        <v>52</v>
      </c>
      <c r="B573" s="2" t="s">
        <v>193</v>
      </c>
      <c r="C573" s="2" t="s">
        <v>48</v>
      </c>
      <c r="D573" s="2" t="s">
        <v>47</v>
      </c>
      <c r="E573" s="2"/>
      <c r="F573" s="2"/>
      <c r="G573" s="56">
        <f>G575+G579</f>
        <v>80</v>
      </c>
      <c r="H573" s="56">
        <f>H575+H579</f>
        <v>80</v>
      </c>
      <c r="I573" s="56">
        <f t="shared" si="59"/>
        <v>100</v>
      </c>
      <c r="J573" s="50"/>
      <c r="K573" s="48">
        <f t="shared" si="60"/>
        <v>100</v>
      </c>
    </row>
    <row r="574" spans="1:11" ht="24" x14ac:dyDescent="0.2">
      <c r="A574" s="3" t="s">
        <v>428</v>
      </c>
      <c r="B574" s="2" t="s">
        <v>193</v>
      </c>
      <c r="C574" s="2" t="s">
        <v>48</v>
      </c>
      <c r="D574" s="2" t="s">
        <v>47</v>
      </c>
      <c r="E574" s="2" t="s">
        <v>3</v>
      </c>
      <c r="F574" s="2"/>
      <c r="G574" s="56">
        <f>G575</f>
        <v>80</v>
      </c>
      <c r="H574" s="56">
        <f>H575</f>
        <v>80</v>
      </c>
      <c r="I574" s="56">
        <f t="shared" si="59"/>
        <v>100</v>
      </c>
      <c r="J574" s="49"/>
      <c r="K574" s="48">
        <f t="shared" si="60"/>
        <v>100</v>
      </c>
    </row>
    <row r="575" spans="1:11" s="24" customFormat="1" ht="36" x14ac:dyDescent="0.2">
      <c r="A575" s="3" t="s">
        <v>248</v>
      </c>
      <c r="B575" s="2" t="s">
        <v>193</v>
      </c>
      <c r="C575" s="2" t="s">
        <v>48</v>
      </c>
      <c r="D575" s="2" t="s">
        <v>47</v>
      </c>
      <c r="E575" s="2" t="s">
        <v>51</v>
      </c>
      <c r="F575" s="2"/>
      <c r="G575" s="56">
        <f t="shared" si="61"/>
        <v>80</v>
      </c>
      <c r="H575" s="56">
        <f t="shared" si="61"/>
        <v>80</v>
      </c>
      <c r="I575" s="56">
        <f t="shared" si="59"/>
        <v>100</v>
      </c>
      <c r="J575" s="50"/>
      <c r="K575" s="48">
        <f t="shared" si="60"/>
        <v>100</v>
      </c>
    </row>
    <row r="576" spans="1:11" s="24" customFormat="1" ht="24" x14ac:dyDescent="0.2">
      <c r="A576" s="3" t="s">
        <v>49</v>
      </c>
      <c r="B576" s="2" t="s">
        <v>193</v>
      </c>
      <c r="C576" s="2" t="s">
        <v>48</v>
      </c>
      <c r="D576" s="2" t="s">
        <v>47</v>
      </c>
      <c r="E576" s="2" t="s">
        <v>220</v>
      </c>
      <c r="F576" s="2"/>
      <c r="G576" s="56">
        <f t="shared" si="61"/>
        <v>80</v>
      </c>
      <c r="H576" s="56">
        <f t="shared" si="61"/>
        <v>80</v>
      </c>
      <c r="I576" s="56">
        <f t="shared" si="59"/>
        <v>100</v>
      </c>
      <c r="J576" s="50"/>
      <c r="K576" s="48">
        <f t="shared" si="60"/>
        <v>100</v>
      </c>
    </row>
    <row r="577" spans="1:11" s="24" customFormat="1" ht="21.75" customHeight="1" x14ac:dyDescent="0.2">
      <c r="A577" s="3" t="s">
        <v>258</v>
      </c>
      <c r="B577" s="2" t="s">
        <v>193</v>
      </c>
      <c r="C577" s="2" t="s">
        <v>48</v>
      </c>
      <c r="D577" s="2" t="s">
        <v>47</v>
      </c>
      <c r="E577" s="2" t="s">
        <v>46</v>
      </c>
      <c r="F577" s="2"/>
      <c r="G577" s="56">
        <f t="shared" si="61"/>
        <v>80</v>
      </c>
      <c r="H577" s="56">
        <f t="shared" si="61"/>
        <v>80</v>
      </c>
      <c r="I577" s="56">
        <f t="shared" si="59"/>
        <v>100</v>
      </c>
      <c r="J577" s="50"/>
      <c r="K577" s="48">
        <f t="shared" si="60"/>
        <v>100</v>
      </c>
    </row>
    <row r="578" spans="1:11" s="24" customFormat="1" ht="24.75" customHeight="1" x14ac:dyDescent="0.2">
      <c r="A578" s="3" t="s">
        <v>41</v>
      </c>
      <c r="B578" s="2" t="s">
        <v>193</v>
      </c>
      <c r="C578" s="2" t="s">
        <v>48</v>
      </c>
      <c r="D578" s="2" t="s">
        <v>47</v>
      </c>
      <c r="E578" s="2" t="s">
        <v>46</v>
      </c>
      <c r="F578" s="2" t="s">
        <v>45</v>
      </c>
      <c r="G578" s="56">
        <v>80</v>
      </c>
      <c r="H578" s="56">
        <v>80</v>
      </c>
      <c r="I578" s="56">
        <f t="shared" si="59"/>
        <v>100</v>
      </c>
      <c r="J578" s="50">
        <v>80</v>
      </c>
      <c r="K578" s="48">
        <f>J578-I578</f>
        <v>-20</v>
      </c>
    </row>
    <row r="579" spans="1:11" ht="15" customHeight="1" x14ac:dyDescent="0.2">
      <c r="A579" s="3" t="s">
        <v>491</v>
      </c>
      <c r="B579" s="2" t="s">
        <v>193</v>
      </c>
      <c r="C579" s="2" t="s">
        <v>48</v>
      </c>
      <c r="D579" s="2" t="s">
        <v>47</v>
      </c>
      <c r="E579" s="2" t="s">
        <v>0</v>
      </c>
      <c r="F579" s="2"/>
      <c r="G579" s="252">
        <f>G580</f>
        <v>0</v>
      </c>
      <c r="H579" s="252">
        <f>H580</f>
        <v>0</v>
      </c>
      <c r="I579" s="56" t="e">
        <f t="shared" si="59"/>
        <v>#DIV/0!</v>
      </c>
      <c r="J579" s="49"/>
      <c r="K579" s="48"/>
    </row>
    <row r="580" spans="1:11" ht="12.75" x14ac:dyDescent="0.2">
      <c r="A580" s="3" t="s">
        <v>40</v>
      </c>
      <c r="B580" s="2" t="s">
        <v>193</v>
      </c>
      <c r="C580" s="2" t="s">
        <v>48</v>
      </c>
      <c r="D580" s="2" t="s">
        <v>47</v>
      </c>
      <c r="E580" s="2" t="s">
        <v>38</v>
      </c>
      <c r="F580" s="2"/>
      <c r="G580" s="252">
        <f>G581</f>
        <v>0</v>
      </c>
      <c r="H580" s="252">
        <f>H581</f>
        <v>0</v>
      </c>
      <c r="I580" s="56" t="e">
        <f t="shared" si="59"/>
        <v>#DIV/0!</v>
      </c>
      <c r="J580" s="49"/>
      <c r="K580" s="48"/>
    </row>
    <row r="581" spans="1:11" ht="24" x14ac:dyDescent="0.2">
      <c r="A581" s="3" t="s">
        <v>41</v>
      </c>
      <c r="B581" s="2" t="s">
        <v>193</v>
      </c>
      <c r="C581" s="2" t="s">
        <v>48</v>
      </c>
      <c r="D581" s="2" t="s">
        <v>47</v>
      </c>
      <c r="E581" s="2" t="s">
        <v>38</v>
      </c>
      <c r="F581" s="2" t="s">
        <v>45</v>
      </c>
      <c r="G581" s="252">
        <v>0</v>
      </c>
      <c r="H581" s="252">
        <v>0</v>
      </c>
      <c r="I581" s="56" t="e">
        <f t="shared" si="59"/>
        <v>#DIV/0!</v>
      </c>
      <c r="J581" s="49"/>
      <c r="K581" s="48"/>
    </row>
    <row r="582" spans="1:11" s="24" customFormat="1" ht="12.75" x14ac:dyDescent="0.2">
      <c r="A582" s="3" t="s">
        <v>44</v>
      </c>
      <c r="B582" s="2" t="s">
        <v>193</v>
      </c>
      <c r="C582" s="2" t="s">
        <v>32</v>
      </c>
      <c r="D582" s="2"/>
      <c r="E582" s="2"/>
      <c r="F582" s="2"/>
      <c r="G582" s="56">
        <f>G583</f>
        <v>730</v>
      </c>
      <c r="H582" s="56">
        <f>H583</f>
        <v>730</v>
      </c>
      <c r="I582" s="56">
        <f t="shared" si="59"/>
        <v>100</v>
      </c>
      <c r="J582" s="50"/>
      <c r="K582" s="48">
        <f t="shared" si="60"/>
        <v>100</v>
      </c>
    </row>
    <row r="583" spans="1:11" s="24" customFormat="1" ht="12.75" x14ac:dyDescent="0.2">
      <c r="A583" s="3" t="s">
        <v>43</v>
      </c>
      <c r="B583" s="2" t="s">
        <v>193</v>
      </c>
      <c r="C583" s="2" t="s">
        <v>32</v>
      </c>
      <c r="D583" s="2" t="s">
        <v>13</v>
      </c>
      <c r="E583" s="2"/>
      <c r="F583" s="2"/>
      <c r="G583" s="56">
        <f>G585+G590</f>
        <v>730</v>
      </c>
      <c r="H583" s="56">
        <f>H585+H590</f>
        <v>730</v>
      </c>
      <c r="I583" s="56">
        <f t="shared" si="59"/>
        <v>100</v>
      </c>
      <c r="J583" s="50"/>
      <c r="K583" s="48">
        <f t="shared" si="60"/>
        <v>100</v>
      </c>
    </row>
    <row r="584" spans="1:11" ht="24" x14ac:dyDescent="0.2">
      <c r="A584" s="3" t="s">
        <v>428</v>
      </c>
      <c r="B584" s="2" t="s">
        <v>193</v>
      </c>
      <c r="C584" s="2" t="s">
        <v>32</v>
      </c>
      <c r="D584" s="2" t="s">
        <v>13</v>
      </c>
      <c r="E584" s="2" t="s">
        <v>3</v>
      </c>
      <c r="F584" s="2"/>
      <c r="G584" s="56">
        <f t="shared" ref="G584:H586" si="62">G585</f>
        <v>580</v>
      </c>
      <c r="H584" s="56">
        <f t="shared" si="62"/>
        <v>580</v>
      </c>
      <c r="I584" s="56">
        <f t="shared" si="59"/>
        <v>100</v>
      </c>
      <c r="J584" s="49"/>
      <c r="K584" s="48">
        <f t="shared" si="60"/>
        <v>100</v>
      </c>
    </row>
    <row r="585" spans="1:11" s="24" customFormat="1" ht="36" x14ac:dyDescent="0.2">
      <c r="A585" s="3" t="s">
        <v>319</v>
      </c>
      <c r="B585" s="2" t="s">
        <v>193</v>
      </c>
      <c r="C585" s="2" t="s">
        <v>32</v>
      </c>
      <c r="D585" s="2" t="s">
        <v>13</v>
      </c>
      <c r="E585" s="2" t="s">
        <v>349</v>
      </c>
      <c r="F585" s="2"/>
      <c r="G585" s="242">
        <f t="shared" si="62"/>
        <v>580</v>
      </c>
      <c r="H585" s="242">
        <f t="shared" si="62"/>
        <v>580</v>
      </c>
      <c r="I585" s="56">
        <f t="shared" si="59"/>
        <v>100</v>
      </c>
      <c r="J585" s="50"/>
      <c r="K585" s="48">
        <f t="shared" si="60"/>
        <v>100</v>
      </c>
    </row>
    <row r="586" spans="1:11" s="24" customFormat="1" ht="36" x14ac:dyDescent="0.2">
      <c r="A586" s="6" t="s">
        <v>42</v>
      </c>
      <c r="B586" s="2" t="s">
        <v>193</v>
      </c>
      <c r="C586" s="2" t="s">
        <v>32</v>
      </c>
      <c r="D586" s="2" t="s">
        <v>13</v>
      </c>
      <c r="E586" s="2" t="s">
        <v>352</v>
      </c>
      <c r="F586" s="2"/>
      <c r="G586" s="242">
        <f t="shared" si="62"/>
        <v>580</v>
      </c>
      <c r="H586" s="242">
        <f t="shared" si="62"/>
        <v>580</v>
      </c>
      <c r="I586" s="56">
        <f t="shared" si="59"/>
        <v>100</v>
      </c>
      <c r="J586" s="50"/>
      <c r="K586" s="48">
        <f t="shared" si="60"/>
        <v>100</v>
      </c>
    </row>
    <row r="587" spans="1:11" s="24" customFormat="1" ht="48" x14ac:dyDescent="0.2">
      <c r="A587" s="3" t="s">
        <v>479</v>
      </c>
      <c r="B587" s="2" t="s">
        <v>193</v>
      </c>
      <c r="C587" s="2" t="s">
        <v>32</v>
      </c>
      <c r="D587" s="2" t="s">
        <v>13</v>
      </c>
      <c r="E587" s="2" t="s">
        <v>353</v>
      </c>
      <c r="F587" s="2"/>
      <c r="G587" s="242">
        <f>G588+G589</f>
        <v>580</v>
      </c>
      <c r="H587" s="242">
        <f>H588+H589</f>
        <v>580</v>
      </c>
      <c r="I587" s="56">
        <f t="shared" si="59"/>
        <v>100</v>
      </c>
      <c r="J587" s="50"/>
      <c r="K587" s="48">
        <f t="shared" si="60"/>
        <v>100</v>
      </c>
    </row>
    <row r="588" spans="1:11" s="24" customFormat="1" ht="48" x14ac:dyDescent="0.2">
      <c r="A588" s="3" t="s">
        <v>33</v>
      </c>
      <c r="B588" s="2" t="s">
        <v>193</v>
      </c>
      <c r="C588" s="2" t="s">
        <v>32</v>
      </c>
      <c r="D588" s="2" t="s">
        <v>13</v>
      </c>
      <c r="E588" s="2" t="s">
        <v>353</v>
      </c>
      <c r="F588" s="2">
        <v>100</v>
      </c>
      <c r="G588" s="242">
        <v>15.4</v>
      </c>
      <c r="H588" s="242">
        <v>15.4</v>
      </c>
      <c r="I588" s="56">
        <f t="shared" si="59"/>
        <v>100</v>
      </c>
      <c r="J588" s="50">
        <v>15.4</v>
      </c>
      <c r="K588" s="48">
        <f>J588-I588</f>
        <v>-84.6</v>
      </c>
    </row>
    <row r="589" spans="1:11" s="24" customFormat="1" ht="24" customHeight="1" x14ac:dyDescent="0.2">
      <c r="A589" s="3" t="s">
        <v>41</v>
      </c>
      <c r="B589" s="2" t="s">
        <v>193</v>
      </c>
      <c r="C589" s="2" t="s">
        <v>32</v>
      </c>
      <c r="D589" s="2" t="s">
        <v>13</v>
      </c>
      <c r="E589" s="2" t="s">
        <v>353</v>
      </c>
      <c r="F589" s="2">
        <v>200</v>
      </c>
      <c r="G589" s="242">
        <v>564.6</v>
      </c>
      <c r="H589" s="242">
        <v>564.6</v>
      </c>
      <c r="I589" s="56">
        <f t="shared" si="59"/>
        <v>100</v>
      </c>
      <c r="J589" s="50">
        <v>564.6</v>
      </c>
      <c r="K589" s="48">
        <f>J589-I589</f>
        <v>464.6</v>
      </c>
    </row>
    <row r="590" spans="1:11" s="24" customFormat="1" ht="24" customHeight="1" x14ac:dyDescent="0.2">
      <c r="A590" s="3" t="s">
        <v>491</v>
      </c>
      <c r="B590" s="2" t="s">
        <v>193</v>
      </c>
      <c r="C590" s="2" t="s">
        <v>32</v>
      </c>
      <c r="D590" s="2" t="s">
        <v>13</v>
      </c>
      <c r="E590" s="2" t="s">
        <v>0</v>
      </c>
      <c r="F590" s="2"/>
      <c r="G590" s="242">
        <f>G591</f>
        <v>150</v>
      </c>
      <c r="H590" s="242">
        <f>H591</f>
        <v>150</v>
      </c>
      <c r="I590" s="56">
        <f t="shared" si="59"/>
        <v>100</v>
      </c>
      <c r="J590" s="50"/>
      <c r="K590" s="48"/>
    </row>
    <row r="591" spans="1:11" s="24" customFormat="1" ht="24" customHeight="1" x14ac:dyDescent="0.2">
      <c r="A591" s="3" t="s">
        <v>40</v>
      </c>
      <c r="B591" s="2" t="s">
        <v>193</v>
      </c>
      <c r="C591" s="2" t="s">
        <v>32</v>
      </c>
      <c r="D591" s="2" t="s">
        <v>13</v>
      </c>
      <c r="E591" s="2" t="s">
        <v>38</v>
      </c>
      <c r="F591" s="2"/>
      <c r="G591" s="242">
        <f>G592</f>
        <v>150</v>
      </c>
      <c r="H591" s="242">
        <f>H592</f>
        <v>150</v>
      </c>
      <c r="I591" s="56">
        <f t="shared" si="59"/>
        <v>100</v>
      </c>
      <c r="J591" s="50"/>
      <c r="K591" s="48"/>
    </row>
    <row r="592" spans="1:11" s="24" customFormat="1" ht="24" customHeight="1" x14ac:dyDescent="0.2">
      <c r="A592" s="3" t="s">
        <v>41</v>
      </c>
      <c r="B592" s="2" t="s">
        <v>193</v>
      </c>
      <c r="C592" s="2" t="s">
        <v>32</v>
      </c>
      <c r="D592" s="2" t="s">
        <v>13</v>
      </c>
      <c r="E592" s="2" t="s">
        <v>38</v>
      </c>
      <c r="F592" s="2" t="s">
        <v>45</v>
      </c>
      <c r="G592" s="242">
        <v>150</v>
      </c>
      <c r="H592" s="242">
        <v>150</v>
      </c>
      <c r="I592" s="56">
        <f t="shared" si="59"/>
        <v>100</v>
      </c>
      <c r="J592" s="50">
        <v>150</v>
      </c>
      <c r="K592" s="48"/>
    </row>
    <row r="593" spans="1:11" s="24" customFormat="1" ht="12.75" customHeight="1" x14ac:dyDescent="0.2">
      <c r="A593" s="28" t="s">
        <v>192</v>
      </c>
      <c r="B593" s="4"/>
      <c r="C593" s="4"/>
      <c r="D593" s="4"/>
      <c r="E593" s="4"/>
      <c r="F593" s="4"/>
      <c r="G593" s="70">
        <f>G9+G149+G232+G509</f>
        <v>778258.70474000007</v>
      </c>
      <c r="H593" s="70">
        <f>H9+H149+H232+H509</f>
        <v>739762.90995999996</v>
      </c>
      <c r="I593" s="70">
        <f t="shared" si="59"/>
        <v>95.053599202226621</v>
      </c>
      <c r="J593" s="50"/>
      <c r="K593" s="48">
        <f t="shared" si="60"/>
        <v>95.053599202226621</v>
      </c>
    </row>
    <row r="594" spans="1:11" s="24" customFormat="1" ht="12.75" customHeight="1" x14ac:dyDescent="0.25">
      <c r="A594" s="22"/>
      <c r="B594" s="21"/>
      <c r="C594" s="21"/>
      <c r="D594" s="21"/>
      <c r="E594" s="21"/>
      <c r="F594" s="21"/>
      <c r="G594" s="81">
        <v>778258.70473999996</v>
      </c>
      <c r="H594" s="61">
        <v>739762.90995999996</v>
      </c>
      <c r="I594" s="81">
        <f>G594-H594</f>
        <v>38495.794779999997</v>
      </c>
      <c r="K594" s="48">
        <f t="shared" si="60"/>
        <v>38495.794779999997</v>
      </c>
    </row>
    <row r="595" spans="1:11" s="24" customFormat="1" ht="12.75" customHeight="1" x14ac:dyDescent="0.2">
      <c r="A595" s="22"/>
      <c r="B595" s="27"/>
      <c r="C595" s="27"/>
      <c r="D595" s="27"/>
      <c r="E595" s="27"/>
      <c r="F595" s="27"/>
      <c r="G595" s="1">
        <f>G594-G593</f>
        <v>0</v>
      </c>
      <c r="H595" s="1">
        <f>H594-H593</f>
        <v>0</v>
      </c>
      <c r="I595" s="61"/>
      <c r="K595" s="48">
        <f t="shared" si="60"/>
        <v>0</v>
      </c>
    </row>
    <row r="596" spans="1:11" s="24" customFormat="1" ht="12.75" customHeight="1" x14ac:dyDescent="0.2">
      <c r="A596" s="22"/>
      <c r="B596" s="23"/>
      <c r="C596" s="16"/>
      <c r="D596" s="15"/>
      <c r="E596" s="385" t="s">
        <v>189</v>
      </c>
      <c r="F596" s="478"/>
      <c r="G596" s="56">
        <f>G150+G233</f>
        <v>31266.590520000005</v>
      </c>
      <c r="H596" s="56">
        <f>H150+H233</f>
        <v>30917.170459999998</v>
      </c>
      <c r="I596" s="56">
        <f>I150+I233</f>
        <v>197.35964598716765</v>
      </c>
      <c r="K596" s="48">
        <f t="shared" si="60"/>
        <v>197.35964598716765</v>
      </c>
    </row>
    <row r="597" spans="1:11" s="24" customFormat="1" ht="12.75" customHeight="1" x14ac:dyDescent="0.2">
      <c r="A597" s="22"/>
      <c r="B597" s="23"/>
      <c r="C597" s="16" t="s">
        <v>13</v>
      </c>
      <c r="D597" s="15" t="s">
        <v>24</v>
      </c>
      <c r="E597" s="16" t="s">
        <v>13</v>
      </c>
      <c r="F597" s="15" t="s">
        <v>24</v>
      </c>
      <c r="G597" s="56">
        <f>G234</f>
        <v>2133.7860000000001</v>
      </c>
      <c r="H597" s="56">
        <f>H234</f>
        <v>2104.3434999999999</v>
      </c>
      <c r="I597" s="56">
        <f>I234</f>
        <v>98.620175593991149</v>
      </c>
      <c r="K597" s="48">
        <f t="shared" si="60"/>
        <v>98.620175593991149</v>
      </c>
    </row>
    <row r="598" spans="1:11" s="24" customFormat="1" ht="12.75" customHeight="1" x14ac:dyDescent="0.2">
      <c r="A598" s="22"/>
      <c r="B598" s="26"/>
      <c r="C598" s="16" t="s">
        <v>13</v>
      </c>
      <c r="D598" s="15" t="s">
        <v>6</v>
      </c>
      <c r="E598" s="16" t="s">
        <v>13</v>
      </c>
      <c r="F598" s="15" t="s">
        <v>6</v>
      </c>
      <c r="G598" s="56">
        <f>G238</f>
        <v>2137.2368000000001</v>
      </c>
      <c r="H598" s="56">
        <f>H238</f>
        <v>2114.8836799999999</v>
      </c>
      <c r="I598" s="56">
        <f>I238</f>
        <v>98.954111215004332</v>
      </c>
      <c r="K598" s="48">
        <f t="shared" si="60"/>
        <v>98.954111215004332</v>
      </c>
    </row>
    <row r="599" spans="1:11" s="24" customFormat="1" ht="12.75" customHeight="1" x14ac:dyDescent="0.2">
      <c r="A599" s="22"/>
      <c r="B599" s="25"/>
      <c r="C599" s="16" t="s">
        <v>13</v>
      </c>
      <c r="D599" s="15" t="s">
        <v>53</v>
      </c>
      <c r="E599" s="16" t="s">
        <v>13</v>
      </c>
      <c r="F599" s="15" t="s">
        <v>53</v>
      </c>
      <c r="G599" s="56">
        <f>G245</f>
        <v>18347.742620000001</v>
      </c>
      <c r="H599" s="56">
        <f>H245</f>
        <v>18173.40495</v>
      </c>
      <c r="I599" s="56">
        <f>I245</f>
        <v>99.049814063720504</v>
      </c>
      <c r="K599" s="48">
        <f t="shared" si="60"/>
        <v>99.049814063720504</v>
      </c>
    </row>
    <row r="600" spans="1:11" s="24" customFormat="1" ht="12.75" customHeight="1" x14ac:dyDescent="0.2">
      <c r="A600" s="22"/>
      <c r="B600" s="25"/>
      <c r="C600" s="16" t="s">
        <v>13</v>
      </c>
      <c r="D600" s="15" t="s">
        <v>31</v>
      </c>
      <c r="E600" s="16" t="s">
        <v>13</v>
      </c>
      <c r="F600" s="15" t="s">
        <v>31</v>
      </c>
      <c r="G600" s="56">
        <f>G270</f>
        <v>9.9</v>
      </c>
      <c r="H600" s="56">
        <f>H270</f>
        <v>0</v>
      </c>
      <c r="I600" s="56">
        <f>I270</f>
        <v>0</v>
      </c>
      <c r="K600" s="48">
        <f t="shared" si="60"/>
        <v>0</v>
      </c>
    </row>
    <row r="601" spans="1:11" s="24" customFormat="1" ht="12.75" customHeight="1" x14ac:dyDescent="0.2">
      <c r="A601" s="22"/>
      <c r="B601" s="25"/>
      <c r="C601" s="16" t="s">
        <v>13</v>
      </c>
      <c r="D601" s="15" t="s">
        <v>47</v>
      </c>
      <c r="E601" s="16" t="s">
        <v>13</v>
      </c>
      <c r="F601" s="15" t="s">
        <v>47</v>
      </c>
      <c r="G601" s="56">
        <f>G151+G276</f>
        <v>7382.7731000000003</v>
      </c>
      <c r="H601" s="56">
        <f>H151+H276</f>
        <v>7274.5221299999994</v>
      </c>
      <c r="I601" s="56">
        <f>I151+I276</f>
        <v>197.89965327366133</v>
      </c>
      <c r="K601" s="48">
        <f t="shared" si="60"/>
        <v>197.89965327366133</v>
      </c>
    </row>
    <row r="602" spans="1:11" s="24" customFormat="1" ht="12.75" customHeight="1" x14ac:dyDescent="0.2">
      <c r="A602" s="22"/>
      <c r="B602" s="25"/>
      <c r="C602" s="16" t="s">
        <v>13</v>
      </c>
      <c r="D602" s="15" t="s">
        <v>70</v>
      </c>
      <c r="E602" s="16" t="s">
        <v>13</v>
      </c>
      <c r="F602" s="15" t="s">
        <v>70</v>
      </c>
      <c r="G602" s="56">
        <f>G281</f>
        <v>141.69</v>
      </c>
      <c r="H602" s="56">
        <f>H281</f>
        <v>141.55420000000001</v>
      </c>
      <c r="I602" s="56">
        <f>I281</f>
        <v>99.904156962382672</v>
      </c>
      <c r="K602" s="48">
        <f t="shared" si="60"/>
        <v>99.904156962382672</v>
      </c>
    </row>
    <row r="603" spans="1:11" s="24" customFormat="1" ht="12.75" customHeight="1" x14ac:dyDescent="0.2">
      <c r="A603" s="22"/>
      <c r="B603" s="25"/>
      <c r="C603" s="16" t="s">
        <v>13</v>
      </c>
      <c r="D603" s="15" t="s">
        <v>32</v>
      </c>
      <c r="E603" s="16" t="s">
        <v>13</v>
      </c>
      <c r="F603" s="15" t="s">
        <v>32</v>
      </c>
      <c r="G603" s="56">
        <f>G160</f>
        <v>0</v>
      </c>
      <c r="H603" s="56">
        <f>H160</f>
        <v>0</v>
      </c>
      <c r="I603" s="56" t="e">
        <f>I160</f>
        <v>#DIV/0!</v>
      </c>
      <c r="K603" s="48" t="e">
        <f t="shared" si="60"/>
        <v>#DIV/0!</v>
      </c>
    </row>
    <row r="604" spans="1:11" s="24" customFormat="1" ht="12.75" customHeight="1" x14ac:dyDescent="0.2">
      <c r="A604" s="22"/>
      <c r="B604" s="23"/>
      <c r="C604" s="16" t="s">
        <v>13</v>
      </c>
      <c r="D604" s="15" t="s">
        <v>21</v>
      </c>
      <c r="E604" s="16" t="s">
        <v>13</v>
      </c>
      <c r="F604" s="15" t="s">
        <v>21</v>
      </c>
      <c r="G604" s="56">
        <f>G285</f>
        <v>1113.462</v>
      </c>
      <c r="H604" s="56">
        <f>H285</f>
        <v>1108.462</v>
      </c>
      <c r="I604" s="56">
        <f>I285</f>
        <v>99.550950099778888</v>
      </c>
      <c r="K604" s="48">
        <f t="shared" si="60"/>
        <v>99.550950099778888</v>
      </c>
    </row>
    <row r="605" spans="1:11" s="24" customFormat="1" ht="12.75" customHeight="1" x14ac:dyDescent="0.2">
      <c r="A605" s="22"/>
      <c r="B605" s="23"/>
      <c r="C605" s="387" t="s">
        <v>183</v>
      </c>
      <c r="D605" s="477"/>
      <c r="E605" s="387" t="s">
        <v>183</v>
      </c>
      <c r="F605" s="477"/>
      <c r="G605" s="56"/>
      <c r="H605" s="56"/>
      <c r="I605" s="56"/>
      <c r="K605" s="48">
        <f t="shared" si="60"/>
        <v>0</v>
      </c>
    </row>
    <row r="606" spans="1:11" s="24" customFormat="1" ht="12.75" customHeight="1" x14ac:dyDescent="0.2">
      <c r="A606" s="22"/>
      <c r="B606" s="23"/>
      <c r="C606" s="16" t="s">
        <v>24</v>
      </c>
      <c r="D606" s="15" t="s">
        <v>6</v>
      </c>
      <c r="E606" s="16" t="s">
        <v>24</v>
      </c>
      <c r="F606" s="15" t="s">
        <v>6</v>
      </c>
      <c r="G606" s="56"/>
      <c r="H606" s="56"/>
      <c r="I606" s="56"/>
      <c r="K606" s="48">
        <f t="shared" si="60"/>
        <v>0</v>
      </c>
    </row>
    <row r="607" spans="1:11" s="24" customFormat="1" ht="12.75" customHeight="1" x14ac:dyDescent="0.2">
      <c r="A607" s="22"/>
      <c r="B607" s="23"/>
      <c r="C607" s="387" t="s">
        <v>181</v>
      </c>
      <c r="D607" s="477"/>
      <c r="E607" s="387" t="s">
        <v>181</v>
      </c>
      <c r="F607" s="477"/>
      <c r="G607" s="56">
        <f>G308</f>
        <v>5248.1216199999999</v>
      </c>
      <c r="H607" s="56">
        <f>H308</f>
        <v>5203.6884699999991</v>
      </c>
      <c r="I607" s="56">
        <f>I308</f>
        <v>99.153351366121726</v>
      </c>
      <c r="K607" s="48">
        <f t="shared" si="60"/>
        <v>99.153351366121726</v>
      </c>
    </row>
    <row r="608" spans="1:11" s="24" customFormat="1" ht="12.75" customHeight="1" x14ac:dyDescent="0.2">
      <c r="A608" s="22"/>
      <c r="B608" s="23"/>
      <c r="C608" s="16" t="s">
        <v>6</v>
      </c>
      <c r="D608" s="15" t="s">
        <v>24</v>
      </c>
      <c r="E608" s="16" t="s">
        <v>6</v>
      </c>
      <c r="F608" s="15" t="s">
        <v>24</v>
      </c>
      <c r="G608" s="56"/>
      <c r="H608" s="56"/>
      <c r="I608" s="56"/>
      <c r="K608" s="48">
        <f t="shared" si="60"/>
        <v>0</v>
      </c>
    </row>
    <row r="609" spans="1:11" s="24" customFormat="1" ht="12.75" customHeight="1" x14ac:dyDescent="0.2">
      <c r="A609" s="22"/>
      <c r="B609" s="23"/>
      <c r="C609" s="16" t="s">
        <v>6</v>
      </c>
      <c r="D609" s="15" t="s">
        <v>60</v>
      </c>
      <c r="E609" s="16" t="s">
        <v>6</v>
      </c>
      <c r="F609" s="15" t="s">
        <v>60</v>
      </c>
      <c r="G609" s="56">
        <f>G309</f>
        <v>5185.1491800000003</v>
      </c>
      <c r="H609" s="56">
        <f>H309</f>
        <v>5150.7460199999996</v>
      </c>
      <c r="I609" s="56">
        <f>I309</f>
        <v>99.336505878505875</v>
      </c>
      <c r="K609" s="48">
        <f t="shared" si="60"/>
        <v>99.336505878505875</v>
      </c>
    </row>
    <row r="610" spans="1:11" s="24" customFormat="1" ht="12.75" customHeight="1" x14ac:dyDescent="0.2">
      <c r="A610" s="22"/>
      <c r="B610" s="23"/>
      <c r="C610" s="16"/>
      <c r="D610" s="15"/>
      <c r="E610" s="16" t="s">
        <v>6</v>
      </c>
      <c r="F610" s="15" t="s">
        <v>48</v>
      </c>
      <c r="G610" s="56"/>
      <c r="H610" s="56"/>
      <c r="I610" s="56"/>
      <c r="K610" s="48">
        <f t="shared" si="60"/>
        <v>0</v>
      </c>
    </row>
    <row r="611" spans="1:11" ht="12.75" customHeight="1" x14ac:dyDescent="0.2">
      <c r="A611" s="21"/>
      <c r="B611" s="23"/>
      <c r="C611" s="16" t="s">
        <v>6</v>
      </c>
      <c r="D611" s="15" t="s">
        <v>7</v>
      </c>
      <c r="E611" s="16" t="s">
        <v>6</v>
      </c>
      <c r="F611" s="15" t="s">
        <v>7</v>
      </c>
      <c r="G611" s="56">
        <f>G333</f>
        <v>62.972439999999999</v>
      </c>
      <c r="H611" s="56">
        <f>H333</f>
        <v>52.942450000000001</v>
      </c>
      <c r="I611" s="56">
        <f>I333</f>
        <v>84.072413265231589</v>
      </c>
      <c r="K611" s="48">
        <f t="shared" si="60"/>
        <v>84.072413265231589</v>
      </c>
    </row>
    <row r="612" spans="1:11" ht="12.75" customHeight="1" x14ac:dyDescent="0.25">
      <c r="A612" s="21"/>
      <c r="B612" s="23"/>
      <c r="C612" s="387" t="s">
        <v>178</v>
      </c>
      <c r="D612" s="477"/>
      <c r="E612" s="387" t="s">
        <v>178</v>
      </c>
      <c r="F612" s="477"/>
      <c r="G612" s="72">
        <f>G614+G615+G616+G617</f>
        <v>48332.014599999995</v>
      </c>
      <c r="H612" s="72">
        <f>H614+H615+H616+H617</f>
        <v>42560.695000000007</v>
      </c>
      <c r="I612" s="72">
        <f>I614+I615+I616+I617</f>
        <v>457.79273643080336</v>
      </c>
      <c r="K612" s="48">
        <f t="shared" si="60"/>
        <v>457.79273643080336</v>
      </c>
    </row>
    <row r="613" spans="1:11" ht="12.75" customHeight="1" x14ac:dyDescent="0.25">
      <c r="A613" s="21"/>
      <c r="B613" s="23"/>
      <c r="C613" s="16" t="s">
        <v>53</v>
      </c>
      <c r="D613" s="15" t="s">
        <v>13</v>
      </c>
      <c r="E613" s="16" t="s">
        <v>53</v>
      </c>
      <c r="F613" s="15" t="s">
        <v>13</v>
      </c>
      <c r="G613" s="72"/>
      <c r="H613" s="72"/>
      <c r="I613" s="72"/>
      <c r="K613" s="48">
        <f t="shared" si="60"/>
        <v>0</v>
      </c>
    </row>
    <row r="614" spans="1:11" ht="12.75" customHeight="1" x14ac:dyDescent="0.25">
      <c r="A614" s="21"/>
      <c r="B614" s="23"/>
      <c r="C614" s="16" t="s">
        <v>53</v>
      </c>
      <c r="D614" s="15" t="s">
        <v>31</v>
      </c>
      <c r="E614" s="16" t="s">
        <v>53</v>
      </c>
      <c r="F614" s="15" t="s">
        <v>31</v>
      </c>
      <c r="G614" s="72">
        <f>G345</f>
        <v>1033.9646600000001</v>
      </c>
      <c r="H614" s="72">
        <f>H345</f>
        <v>659.2</v>
      </c>
      <c r="I614" s="72">
        <f>I345</f>
        <v>63.754596796374067</v>
      </c>
      <c r="K614" s="48">
        <f t="shared" si="60"/>
        <v>63.754596796374067</v>
      </c>
    </row>
    <row r="615" spans="1:11" ht="12.75" customHeight="1" x14ac:dyDescent="0.25">
      <c r="A615" s="21"/>
      <c r="B615" s="23"/>
      <c r="C615" s="16"/>
      <c r="D615" s="15"/>
      <c r="E615" s="16" t="s">
        <v>53</v>
      </c>
      <c r="F615" s="15" t="s">
        <v>47</v>
      </c>
      <c r="G615" s="72">
        <f>G358</f>
        <v>2801.45</v>
      </c>
      <c r="H615" s="72">
        <f>H358</f>
        <v>200</v>
      </c>
      <c r="I615" s="72">
        <f>I358</f>
        <v>7.1391600778168458</v>
      </c>
      <c r="K615" s="48">
        <f t="shared" si="60"/>
        <v>7.1391600778168458</v>
      </c>
    </row>
    <row r="616" spans="1:11" ht="12.75" customHeight="1" x14ac:dyDescent="0.25">
      <c r="A616" s="21"/>
      <c r="B616" s="23"/>
      <c r="C616" s="16" t="s">
        <v>53</v>
      </c>
      <c r="D616" s="15" t="s">
        <v>60</v>
      </c>
      <c r="E616" s="16" t="s">
        <v>53</v>
      </c>
      <c r="F616" s="15" t="s">
        <v>60</v>
      </c>
      <c r="G616" s="72">
        <f>G364+G170</f>
        <v>17788.03616</v>
      </c>
      <c r="H616" s="72">
        <f>H364+H170</f>
        <v>16522.626370000002</v>
      </c>
      <c r="I616" s="72">
        <f>I364+I170</f>
        <v>192.67826989784302</v>
      </c>
      <c r="K616" s="48">
        <f t="shared" si="60"/>
        <v>192.67826989784302</v>
      </c>
    </row>
    <row r="617" spans="1:11" ht="12.75" customHeight="1" x14ac:dyDescent="0.25">
      <c r="A617" s="21"/>
      <c r="B617" s="23"/>
      <c r="C617" s="16" t="s">
        <v>53</v>
      </c>
      <c r="D617" s="15" t="s">
        <v>25</v>
      </c>
      <c r="E617" s="16" t="s">
        <v>53</v>
      </c>
      <c r="F617" s="15" t="s">
        <v>25</v>
      </c>
      <c r="G617" s="72">
        <f>G372+G175</f>
        <v>26708.56378</v>
      </c>
      <c r="H617" s="72">
        <f>H372+H175</f>
        <v>25178.868630000001</v>
      </c>
      <c r="I617" s="72">
        <f>I372+I175</f>
        <v>194.22070965876941</v>
      </c>
      <c r="K617" s="48">
        <f t="shared" si="60"/>
        <v>194.22070965876941</v>
      </c>
    </row>
    <row r="618" spans="1:11" ht="12.75" customHeight="1" x14ac:dyDescent="0.2">
      <c r="A618" s="21"/>
      <c r="B618" s="23"/>
      <c r="C618" s="387" t="s">
        <v>173</v>
      </c>
      <c r="D618" s="477"/>
      <c r="E618" s="387" t="s">
        <v>173</v>
      </c>
      <c r="F618" s="477"/>
      <c r="G618" s="56">
        <f>G411+G181</f>
        <v>23389.470530000002</v>
      </c>
      <c r="H618" s="56">
        <f>H411+H181</f>
        <v>20677.822560000001</v>
      </c>
      <c r="I618" s="56">
        <f>I411+I181</f>
        <v>188.26078659101532</v>
      </c>
      <c r="K618" s="48">
        <f t="shared" si="60"/>
        <v>188.26078659101532</v>
      </c>
    </row>
    <row r="619" spans="1:11" ht="12.75" customHeight="1" x14ac:dyDescent="0.2">
      <c r="A619" s="21"/>
      <c r="B619" s="23"/>
      <c r="C619" s="16" t="s">
        <v>31</v>
      </c>
      <c r="D619" s="15" t="s">
        <v>13</v>
      </c>
      <c r="E619" s="16" t="s">
        <v>31</v>
      </c>
      <c r="F619" s="15" t="s">
        <v>13</v>
      </c>
      <c r="G619" s="56">
        <f>G412</f>
        <v>3000</v>
      </c>
      <c r="H619" s="56">
        <f>H412</f>
        <v>3000</v>
      </c>
      <c r="I619" s="56">
        <f>I412</f>
        <v>100</v>
      </c>
      <c r="K619" s="48">
        <f t="shared" si="60"/>
        <v>100</v>
      </c>
    </row>
    <row r="620" spans="1:11" ht="12.75" customHeight="1" x14ac:dyDescent="0.2">
      <c r="A620" s="21"/>
      <c r="B620" s="23"/>
      <c r="C620" s="16" t="s">
        <v>31</v>
      </c>
      <c r="D620" s="15" t="s">
        <v>24</v>
      </c>
      <c r="E620" s="16" t="s">
        <v>31</v>
      </c>
      <c r="F620" s="15" t="s">
        <v>24</v>
      </c>
      <c r="G620" s="56">
        <f>G417</f>
        <v>19217.090340000002</v>
      </c>
      <c r="H620" s="56">
        <f>H417</f>
        <v>16505.442370000001</v>
      </c>
      <c r="I620" s="56">
        <f>I417</f>
        <v>85.889393648965893</v>
      </c>
      <c r="K620" s="48">
        <f t="shared" si="60"/>
        <v>85.889393648965893</v>
      </c>
    </row>
    <row r="621" spans="1:11" ht="12.75" customHeight="1" x14ac:dyDescent="0.2">
      <c r="A621" s="21"/>
      <c r="B621" s="23"/>
      <c r="C621" s="16" t="s">
        <v>31</v>
      </c>
      <c r="D621" s="15" t="s">
        <v>6</v>
      </c>
      <c r="E621" s="16" t="s">
        <v>31</v>
      </c>
      <c r="F621" s="15" t="s">
        <v>6</v>
      </c>
      <c r="G621" s="56">
        <f>G453+G182</f>
        <v>1172.3801899999999</v>
      </c>
      <c r="H621" s="56">
        <f>H453+H182</f>
        <v>1172.3801899999999</v>
      </c>
      <c r="I621" s="56">
        <f>I453+I182</f>
        <v>200</v>
      </c>
      <c r="K621" s="48">
        <f t="shared" si="60"/>
        <v>200</v>
      </c>
    </row>
    <row r="622" spans="1:11" ht="12.75" customHeight="1" x14ac:dyDescent="0.2">
      <c r="A622" s="21"/>
      <c r="B622" s="23"/>
      <c r="C622" s="385" t="s">
        <v>170</v>
      </c>
      <c r="D622" s="478"/>
      <c r="E622" s="385" t="s">
        <v>170</v>
      </c>
      <c r="F622" s="478"/>
      <c r="G622" s="56"/>
      <c r="H622" s="56"/>
      <c r="I622" s="56"/>
      <c r="K622" s="48">
        <f t="shared" si="60"/>
        <v>0</v>
      </c>
    </row>
    <row r="623" spans="1:11" ht="12.75" customHeight="1" x14ac:dyDescent="0.2">
      <c r="A623" s="21"/>
      <c r="B623" s="23"/>
      <c r="C623" s="16" t="s">
        <v>47</v>
      </c>
      <c r="D623" s="15" t="s">
        <v>31</v>
      </c>
      <c r="E623" s="16" t="s">
        <v>47</v>
      </c>
      <c r="F623" s="15" t="s">
        <v>31</v>
      </c>
      <c r="G623" s="56"/>
      <c r="H623" s="56"/>
      <c r="I623" s="56"/>
      <c r="K623" s="48">
        <f t="shared" si="60"/>
        <v>0</v>
      </c>
    </row>
    <row r="624" spans="1:11" ht="12.75" customHeight="1" x14ac:dyDescent="0.2">
      <c r="A624" s="21"/>
      <c r="B624" s="23"/>
      <c r="C624" s="387" t="s">
        <v>167</v>
      </c>
      <c r="D624" s="477"/>
      <c r="E624" s="387" t="s">
        <v>167</v>
      </c>
      <c r="F624" s="477"/>
      <c r="G624" s="56">
        <f>G10+G457+G510</f>
        <v>563698.44597999996</v>
      </c>
      <c r="H624" s="56">
        <f>H10+H457+H510</f>
        <v>534081.07197999989</v>
      </c>
      <c r="I624" s="56">
        <f>I10+I457+I510</f>
        <v>293.10470921608999</v>
      </c>
      <c r="K624" s="48">
        <f t="shared" si="60"/>
        <v>293.10470921608999</v>
      </c>
    </row>
    <row r="625" spans="1:11" ht="12.75" customHeight="1" x14ac:dyDescent="0.2">
      <c r="A625" s="21"/>
      <c r="B625" s="23"/>
      <c r="C625" s="16" t="s">
        <v>70</v>
      </c>
      <c r="D625" s="15" t="s">
        <v>13</v>
      </c>
      <c r="E625" s="16" t="s">
        <v>70</v>
      </c>
      <c r="F625" s="15" t="s">
        <v>13</v>
      </c>
      <c r="G625" s="56">
        <f>G11</f>
        <v>128039.11476</v>
      </c>
      <c r="H625" s="56">
        <f>H11</f>
        <v>127217.96676</v>
      </c>
      <c r="I625" s="56">
        <f>I11</f>
        <v>99.358674103972689</v>
      </c>
      <c r="K625" s="48">
        <f t="shared" si="60"/>
        <v>99.358674103972689</v>
      </c>
    </row>
    <row r="626" spans="1:11" ht="12.75" customHeight="1" x14ac:dyDescent="0.2">
      <c r="A626" s="21"/>
      <c r="B626" s="23"/>
      <c r="C626" s="16" t="s">
        <v>70</v>
      </c>
      <c r="D626" s="15" t="s">
        <v>24</v>
      </c>
      <c r="E626" s="16" t="s">
        <v>70</v>
      </c>
      <c r="F626" s="15" t="s">
        <v>24</v>
      </c>
      <c r="G626" s="56">
        <f>G43+G458</f>
        <v>379808.96277999994</v>
      </c>
      <c r="H626" s="56">
        <f>H43+H458</f>
        <v>351121.71008999995</v>
      </c>
      <c r="I626" s="56">
        <f>I43+I458</f>
        <v>190.48563110261136</v>
      </c>
      <c r="K626" s="48">
        <f t="shared" ref="K626:K689" si="63">I626-J626</f>
        <v>190.48563110261136</v>
      </c>
    </row>
    <row r="627" spans="1:11" ht="12.75" customHeight="1" x14ac:dyDescent="0.2">
      <c r="A627" s="21"/>
      <c r="B627" s="23"/>
      <c r="C627" s="16" t="s">
        <v>70</v>
      </c>
      <c r="D627" s="15" t="s">
        <v>6</v>
      </c>
      <c r="E627" s="16" t="s">
        <v>70</v>
      </c>
      <c r="F627" s="15" t="s">
        <v>6</v>
      </c>
      <c r="G627" s="56">
        <f>G91+G511</f>
        <v>37134.730100000001</v>
      </c>
      <c r="H627" s="56">
        <f>H91+H511</f>
        <v>37025.756789999999</v>
      </c>
      <c r="I627" s="56">
        <f>I91+I511</f>
        <v>199.60803954646539</v>
      </c>
      <c r="K627" s="48">
        <f t="shared" si="63"/>
        <v>199.60803954646539</v>
      </c>
    </row>
    <row r="628" spans="1:11" ht="12.75" customHeight="1" x14ac:dyDescent="0.2">
      <c r="A628" s="21"/>
      <c r="B628" s="23"/>
      <c r="C628" s="16" t="s">
        <v>70</v>
      </c>
      <c r="D628" s="15" t="s">
        <v>31</v>
      </c>
      <c r="E628" s="16" t="s">
        <v>70</v>
      </c>
      <c r="F628" s="15" t="s">
        <v>31</v>
      </c>
      <c r="G628" s="56"/>
      <c r="H628" s="56"/>
      <c r="I628" s="56"/>
      <c r="K628" s="48">
        <f t="shared" si="63"/>
        <v>0</v>
      </c>
    </row>
    <row r="629" spans="1:11" ht="12.75" customHeight="1" x14ac:dyDescent="0.2">
      <c r="A629" s="21"/>
      <c r="B629" s="23"/>
      <c r="C629" s="16" t="s">
        <v>70</v>
      </c>
      <c r="D629" s="15" t="s">
        <v>70</v>
      </c>
      <c r="E629" s="16" t="s">
        <v>70</v>
      </c>
      <c r="F629" s="15" t="s">
        <v>70</v>
      </c>
      <c r="G629" s="56">
        <f>G521</f>
        <v>80</v>
      </c>
      <c r="H629" s="56">
        <f>H521</f>
        <v>80</v>
      </c>
      <c r="I629" s="56">
        <f>I521</f>
        <v>100</v>
      </c>
      <c r="K629" s="48">
        <f t="shared" si="63"/>
        <v>100</v>
      </c>
    </row>
    <row r="630" spans="1:11" ht="12.75" customHeight="1" x14ac:dyDescent="0.2">
      <c r="A630" s="21"/>
      <c r="B630" s="23"/>
      <c r="C630" s="16" t="s">
        <v>70</v>
      </c>
      <c r="D630" s="15" t="s">
        <v>60</v>
      </c>
      <c r="E630" s="16" t="s">
        <v>70</v>
      </c>
      <c r="F630" s="15" t="s">
        <v>60</v>
      </c>
      <c r="G630" s="56">
        <f>G116</f>
        <v>18635.638339999998</v>
      </c>
      <c r="H630" s="56">
        <f>H116</f>
        <v>18635.638339999998</v>
      </c>
      <c r="I630" s="56">
        <f>I116</f>
        <v>100</v>
      </c>
      <c r="K630" s="48">
        <f t="shared" si="63"/>
        <v>100</v>
      </c>
    </row>
    <row r="631" spans="1:11" ht="12.75" customHeight="1" x14ac:dyDescent="0.2">
      <c r="A631" s="21"/>
      <c r="B631" s="23"/>
      <c r="C631" s="387" t="s">
        <v>164</v>
      </c>
      <c r="D631" s="477"/>
      <c r="E631" s="387" t="s">
        <v>164</v>
      </c>
      <c r="F631" s="477"/>
      <c r="G631" s="56">
        <f t="shared" ref="G631:I632" si="64">G527+G188</f>
        <v>55253.900250000006</v>
      </c>
      <c r="H631" s="56">
        <f t="shared" si="64"/>
        <v>55253.900250000006</v>
      </c>
      <c r="I631" s="56">
        <f t="shared" si="64"/>
        <v>200</v>
      </c>
      <c r="K631" s="48">
        <f t="shared" si="63"/>
        <v>200</v>
      </c>
    </row>
    <row r="632" spans="1:11" ht="12.75" customHeight="1" x14ac:dyDescent="0.2">
      <c r="A632" s="21"/>
      <c r="B632" s="23"/>
      <c r="C632" s="16" t="s">
        <v>64</v>
      </c>
      <c r="D632" s="15" t="s">
        <v>13</v>
      </c>
      <c r="E632" s="16" t="s">
        <v>64</v>
      </c>
      <c r="F632" s="15" t="s">
        <v>13</v>
      </c>
      <c r="G632" s="56">
        <f t="shared" si="64"/>
        <v>45111.466390000009</v>
      </c>
      <c r="H632" s="56">
        <f t="shared" si="64"/>
        <v>45111.466390000009</v>
      </c>
      <c r="I632" s="56">
        <f t="shared" si="64"/>
        <v>200</v>
      </c>
      <c r="K632" s="48">
        <f t="shared" si="63"/>
        <v>200</v>
      </c>
    </row>
    <row r="633" spans="1:11" ht="12.75" customHeight="1" x14ac:dyDescent="0.2">
      <c r="A633" s="21"/>
      <c r="B633" s="23"/>
      <c r="C633" s="16" t="s">
        <v>64</v>
      </c>
      <c r="D633" s="15" t="s">
        <v>53</v>
      </c>
      <c r="E633" s="16" t="s">
        <v>64</v>
      </c>
      <c r="F633" s="15" t="s">
        <v>53</v>
      </c>
      <c r="G633" s="56">
        <f>G552</f>
        <v>10142.433859999999</v>
      </c>
      <c r="H633" s="56">
        <f>H552</f>
        <v>10142.433860000001</v>
      </c>
      <c r="I633" s="56">
        <f>I552</f>
        <v>100.00000000000003</v>
      </c>
      <c r="K633" s="48">
        <f t="shared" si="63"/>
        <v>100.00000000000003</v>
      </c>
    </row>
    <row r="634" spans="1:11" ht="12.75" customHeight="1" x14ac:dyDescent="0.2">
      <c r="A634" s="21"/>
      <c r="B634" s="23"/>
      <c r="C634" s="387" t="s">
        <v>161</v>
      </c>
      <c r="D634" s="477"/>
      <c r="E634" s="387" t="s">
        <v>161</v>
      </c>
      <c r="F634" s="477"/>
      <c r="G634" s="56"/>
      <c r="H634" s="56"/>
      <c r="I634" s="56"/>
      <c r="K634" s="48">
        <f t="shared" si="63"/>
        <v>0</v>
      </c>
    </row>
    <row r="635" spans="1:11" ht="12.75" customHeight="1" x14ac:dyDescent="0.2">
      <c r="A635" s="21"/>
      <c r="B635" s="23"/>
      <c r="C635" s="16" t="s">
        <v>60</v>
      </c>
      <c r="D635" s="15" t="s">
        <v>13</v>
      </c>
      <c r="E635" s="16" t="s">
        <v>60</v>
      </c>
      <c r="F635" s="15" t="s">
        <v>13</v>
      </c>
      <c r="G635" s="56"/>
      <c r="H635" s="56"/>
      <c r="I635" s="56"/>
      <c r="K635" s="48">
        <f t="shared" si="63"/>
        <v>0</v>
      </c>
    </row>
    <row r="636" spans="1:11" ht="12.75" customHeight="1" x14ac:dyDescent="0.2">
      <c r="A636" s="21"/>
      <c r="B636" s="23"/>
      <c r="C636" s="16" t="s">
        <v>60</v>
      </c>
      <c r="D636" s="15" t="s">
        <v>24</v>
      </c>
      <c r="E636" s="16" t="s">
        <v>60</v>
      </c>
      <c r="F636" s="15" t="s">
        <v>24</v>
      </c>
      <c r="G636" s="56"/>
      <c r="H636" s="56"/>
      <c r="I636" s="56"/>
      <c r="K636" s="48">
        <f t="shared" si="63"/>
        <v>0</v>
      </c>
    </row>
    <row r="637" spans="1:11" ht="12.75" customHeight="1" x14ac:dyDescent="0.2">
      <c r="A637" s="21"/>
      <c r="B637" s="23"/>
      <c r="C637" s="16" t="s">
        <v>60</v>
      </c>
      <c r="D637" s="15" t="s">
        <v>53</v>
      </c>
      <c r="E637" s="16" t="s">
        <v>60</v>
      </c>
      <c r="F637" s="15" t="s">
        <v>53</v>
      </c>
      <c r="G637" s="56"/>
      <c r="H637" s="56"/>
      <c r="I637" s="56"/>
      <c r="K637" s="48">
        <f t="shared" si="63"/>
        <v>0</v>
      </c>
    </row>
    <row r="638" spans="1:11" ht="12.75" customHeight="1" x14ac:dyDescent="0.2">
      <c r="A638" s="21"/>
      <c r="B638" s="23"/>
      <c r="C638" s="16" t="s">
        <v>60</v>
      </c>
      <c r="D638" s="15" t="s">
        <v>60</v>
      </c>
      <c r="E638" s="16" t="s">
        <v>60</v>
      </c>
      <c r="F638" s="15" t="s">
        <v>60</v>
      </c>
      <c r="G638" s="56"/>
      <c r="H638" s="56"/>
      <c r="I638" s="56"/>
      <c r="K638" s="48">
        <f t="shared" si="63"/>
        <v>0</v>
      </c>
    </row>
    <row r="639" spans="1:11" ht="12.75" customHeight="1" x14ac:dyDescent="0.2">
      <c r="A639" s="21"/>
      <c r="B639" s="23"/>
      <c r="C639" s="387" t="s">
        <v>158</v>
      </c>
      <c r="D639" s="477"/>
      <c r="E639" s="387" t="s">
        <v>158</v>
      </c>
      <c r="F639" s="477"/>
      <c r="G639" s="56">
        <f>G141+G472+G572</f>
        <v>5815.5932599999996</v>
      </c>
      <c r="H639" s="56">
        <f>H141+H472+H572</f>
        <v>5815.5932599999996</v>
      </c>
      <c r="I639" s="56">
        <f>I141+I472+I572</f>
        <v>300</v>
      </c>
      <c r="K639" s="48">
        <f t="shared" si="63"/>
        <v>300</v>
      </c>
    </row>
    <row r="640" spans="1:11" ht="12.75" customHeight="1" x14ac:dyDescent="0.2">
      <c r="A640" s="21"/>
      <c r="B640" s="23"/>
      <c r="C640" s="16" t="s">
        <v>48</v>
      </c>
      <c r="D640" s="15" t="s">
        <v>13</v>
      </c>
      <c r="E640" s="16" t="s">
        <v>48</v>
      </c>
      <c r="F640" s="15" t="s">
        <v>13</v>
      </c>
      <c r="G640" s="56">
        <f>G473</f>
        <v>741.62963999999999</v>
      </c>
      <c r="H640" s="56">
        <f>H473</f>
        <v>741.62963999999999</v>
      </c>
      <c r="I640" s="56">
        <f>I473</f>
        <v>100</v>
      </c>
      <c r="K640" s="48">
        <f t="shared" si="63"/>
        <v>100</v>
      </c>
    </row>
    <row r="641" spans="1:11" ht="12.75" customHeight="1" x14ac:dyDescent="0.2">
      <c r="A641" s="21"/>
      <c r="B641" s="23"/>
      <c r="C641" s="16" t="s">
        <v>48</v>
      </c>
      <c r="D641" s="15" t="s">
        <v>24</v>
      </c>
      <c r="E641" s="16" t="s">
        <v>48</v>
      </c>
      <c r="F641" s="15" t="s">
        <v>24</v>
      </c>
      <c r="G641" s="56"/>
      <c r="H641" s="56"/>
      <c r="I641" s="56"/>
      <c r="K641" s="48">
        <f t="shared" si="63"/>
        <v>0</v>
      </c>
    </row>
    <row r="642" spans="1:11" ht="12.75" customHeight="1" x14ac:dyDescent="0.2">
      <c r="A642" s="21"/>
      <c r="B642" s="23"/>
      <c r="C642" s="16" t="s">
        <v>48</v>
      </c>
      <c r="D642" s="15" t="s">
        <v>6</v>
      </c>
      <c r="E642" s="16" t="s">
        <v>48</v>
      </c>
      <c r="F642" s="15" t="s">
        <v>6</v>
      </c>
      <c r="G642" s="56">
        <f>G479</f>
        <v>3501.6636199999998</v>
      </c>
      <c r="H642" s="56">
        <f>H479</f>
        <v>3501.6636199999998</v>
      </c>
      <c r="I642" s="56">
        <f>I479</f>
        <v>100</v>
      </c>
      <c r="K642" s="48">
        <f t="shared" si="63"/>
        <v>100</v>
      </c>
    </row>
    <row r="643" spans="1:11" ht="12.75" customHeight="1" x14ac:dyDescent="0.2">
      <c r="A643" s="21"/>
      <c r="B643" s="23"/>
      <c r="C643" s="16" t="s">
        <v>48</v>
      </c>
      <c r="D643" s="15" t="s">
        <v>53</v>
      </c>
      <c r="E643" s="16" t="s">
        <v>48</v>
      </c>
      <c r="F643" s="15" t="s">
        <v>53</v>
      </c>
      <c r="G643" s="56">
        <f>G142</f>
        <v>1492.3000000000002</v>
      </c>
      <c r="H643" s="56">
        <f>H142</f>
        <v>1492.3000000000002</v>
      </c>
      <c r="I643" s="56">
        <f>I142</f>
        <v>100</v>
      </c>
      <c r="K643" s="48">
        <f t="shared" si="63"/>
        <v>100</v>
      </c>
    </row>
    <row r="644" spans="1:11" ht="12.75" customHeight="1" x14ac:dyDescent="0.2">
      <c r="A644" s="21"/>
      <c r="B644" s="23"/>
      <c r="C644" s="16" t="s">
        <v>48</v>
      </c>
      <c r="D644" s="15" t="s">
        <v>47</v>
      </c>
      <c r="E644" s="16" t="s">
        <v>48</v>
      </c>
      <c r="F644" s="15" t="s">
        <v>47</v>
      </c>
      <c r="G644" s="56">
        <f>G573</f>
        <v>80</v>
      </c>
      <c r="H644" s="56">
        <f>H573</f>
        <v>80</v>
      </c>
      <c r="I644" s="56">
        <f>I573</f>
        <v>100</v>
      </c>
      <c r="K644" s="48">
        <f t="shared" si="63"/>
        <v>100</v>
      </c>
    </row>
    <row r="645" spans="1:11" ht="12.75" customHeight="1" x14ac:dyDescent="0.2">
      <c r="A645" s="21"/>
      <c r="B645" s="23"/>
      <c r="C645" s="387" t="s">
        <v>154</v>
      </c>
      <c r="D645" s="477"/>
      <c r="E645" s="387" t="s">
        <v>154</v>
      </c>
      <c r="F645" s="477"/>
      <c r="G645" s="56">
        <f>G646+G647</f>
        <v>830</v>
      </c>
      <c r="H645" s="56">
        <f>H646+H647</f>
        <v>830</v>
      </c>
      <c r="I645" s="56">
        <f>I646+I647</f>
        <v>200</v>
      </c>
      <c r="K645" s="48">
        <f t="shared" si="63"/>
        <v>200</v>
      </c>
    </row>
    <row r="646" spans="1:11" ht="12.75" customHeight="1" x14ac:dyDescent="0.2">
      <c r="A646" s="21"/>
      <c r="B646" s="23"/>
      <c r="C646" s="16" t="s">
        <v>32</v>
      </c>
      <c r="D646" s="15" t="s">
        <v>13</v>
      </c>
      <c r="E646" s="16" t="s">
        <v>32</v>
      </c>
      <c r="F646" s="15" t="s">
        <v>13</v>
      </c>
      <c r="G646" s="56">
        <f>G583+G204</f>
        <v>830</v>
      </c>
      <c r="H646" s="56">
        <f>H583+H204</f>
        <v>830</v>
      </c>
      <c r="I646" s="56">
        <f>I583+I204</f>
        <v>200</v>
      </c>
      <c r="K646" s="48">
        <f t="shared" si="63"/>
        <v>200</v>
      </c>
    </row>
    <row r="647" spans="1:11" ht="12.75" customHeight="1" x14ac:dyDescent="0.2">
      <c r="A647" s="21"/>
      <c r="B647" s="23"/>
      <c r="C647" s="18" t="s">
        <v>32</v>
      </c>
      <c r="D647" s="16" t="s">
        <v>31</v>
      </c>
      <c r="E647" s="18" t="s">
        <v>32</v>
      </c>
      <c r="F647" s="16" t="s">
        <v>31</v>
      </c>
      <c r="G647" s="56"/>
      <c r="H647" s="56"/>
      <c r="I647" s="56"/>
      <c r="K647" s="48">
        <f t="shared" si="63"/>
        <v>0</v>
      </c>
    </row>
    <row r="648" spans="1:11" ht="12.75" customHeight="1" x14ac:dyDescent="0.2">
      <c r="A648" s="21"/>
      <c r="B648" s="23"/>
      <c r="C648" s="387" t="s">
        <v>152</v>
      </c>
      <c r="D648" s="477"/>
      <c r="E648" s="387" t="s">
        <v>152</v>
      </c>
      <c r="F648" s="477"/>
      <c r="G648" s="56">
        <f t="shared" ref="G648:I649" si="65">G493</f>
        <v>1980.75</v>
      </c>
      <c r="H648" s="56">
        <f t="shared" si="65"/>
        <v>1980.75</v>
      </c>
      <c r="I648" s="56">
        <f t="shared" si="65"/>
        <v>100</v>
      </c>
      <c r="K648" s="48">
        <f t="shared" si="63"/>
        <v>100</v>
      </c>
    </row>
    <row r="649" spans="1:11" ht="12.75" customHeight="1" x14ac:dyDescent="0.2">
      <c r="A649" s="21"/>
      <c r="B649" s="23"/>
      <c r="C649" s="16" t="s">
        <v>25</v>
      </c>
      <c r="D649" s="15" t="s">
        <v>24</v>
      </c>
      <c r="E649" s="16" t="s">
        <v>25</v>
      </c>
      <c r="F649" s="15" t="s">
        <v>24</v>
      </c>
      <c r="G649" s="56">
        <f t="shared" si="65"/>
        <v>1980.75</v>
      </c>
      <c r="H649" s="56">
        <f t="shared" si="65"/>
        <v>1980.75</v>
      </c>
      <c r="I649" s="56">
        <f t="shared" si="65"/>
        <v>100</v>
      </c>
      <c r="K649" s="48">
        <f t="shared" si="63"/>
        <v>100</v>
      </c>
    </row>
    <row r="650" spans="1:11" ht="12.75" customHeight="1" x14ac:dyDescent="0.2">
      <c r="A650" s="21"/>
      <c r="B650" s="23"/>
      <c r="C650" s="387" t="s">
        <v>150</v>
      </c>
      <c r="D650" s="477"/>
      <c r="E650" s="387" t="s">
        <v>150</v>
      </c>
      <c r="F650" s="477"/>
      <c r="G650" s="56">
        <f t="shared" ref="G650:I651" si="66">G161+G502</f>
        <v>2.2330000000000001</v>
      </c>
      <c r="H650" s="56">
        <f t="shared" si="66"/>
        <v>0.63300000000000001</v>
      </c>
      <c r="I650" s="56">
        <f t="shared" si="66"/>
        <v>100</v>
      </c>
      <c r="K650" s="48">
        <f t="shared" si="63"/>
        <v>100</v>
      </c>
    </row>
    <row r="651" spans="1:11" ht="12.75" customHeight="1" x14ac:dyDescent="0.2">
      <c r="A651" s="21"/>
      <c r="B651" s="23"/>
      <c r="C651" s="16" t="s">
        <v>21</v>
      </c>
      <c r="D651" s="15" t="s">
        <v>13</v>
      </c>
      <c r="E651" s="16" t="s">
        <v>21</v>
      </c>
      <c r="F651" s="15" t="s">
        <v>13</v>
      </c>
      <c r="G651" s="56">
        <f t="shared" si="66"/>
        <v>2.2330000000000001</v>
      </c>
      <c r="H651" s="56">
        <f t="shared" si="66"/>
        <v>0.63300000000000001</v>
      </c>
      <c r="I651" s="56">
        <f t="shared" si="66"/>
        <v>100</v>
      </c>
      <c r="K651" s="48">
        <f t="shared" si="63"/>
        <v>100</v>
      </c>
    </row>
    <row r="652" spans="1:11" ht="12.75" customHeight="1" x14ac:dyDescent="0.2">
      <c r="A652" s="21"/>
      <c r="B652" s="23"/>
      <c r="C652" s="387" t="s">
        <v>148</v>
      </c>
      <c r="D652" s="477"/>
      <c r="E652" s="387" t="s">
        <v>148</v>
      </c>
      <c r="F652" s="477"/>
      <c r="G652" s="56">
        <f t="shared" ref="G652:I653" si="67">G210</f>
        <v>42441.58498</v>
      </c>
      <c r="H652" s="56">
        <f t="shared" si="67"/>
        <v>42441.58498</v>
      </c>
      <c r="I652" s="56">
        <f t="shared" si="67"/>
        <v>100</v>
      </c>
      <c r="K652" s="48">
        <f t="shared" si="63"/>
        <v>100</v>
      </c>
    </row>
    <row r="653" spans="1:11" ht="12.75" customHeight="1" x14ac:dyDescent="0.2">
      <c r="A653" s="21"/>
      <c r="B653" s="23"/>
      <c r="C653" s="16" t="s">
        <v>7</v>
      </c>
      <c r="D653" s="15" t="s">
        <v>13</v>
      </c>
      <c r="E653" s="16" t="s">
        <v>7</v>
      </c>
      <c r="F653" s="15" t="s">
        <v>13</v>
      </c>
      <c r="G653" s="56">
        <f t="shared" si="67"/>
        <v>25931.599999999999</v>
      </c>
      <c r="H653" s="56">
        <f t="shared" si="67"/>
        <v>25931.599999999999</v>
      </c>
      <c r="I653" s="56">
        <f t="shared" si="67"/>
        <v>100</v>
      </c>
      <c r="K653" s="48">
        <f t="shared" si="63"/>
        <v>100</v>
      </c>
    </row>
    <row r="654" spans="1:11" ht="12.75" customHeight="1" x14ac:dyDescent="0.2">
      <c r="A654" s="21"/>
      <c r="B654" s="23"/>
      <c r="C654" s="16" t="s">
        <v>7</v>
      </c>
      <c r="D654" s="15" t="s">
        <v>6</v>
      </c>
      <c r="E654" s="16" t="s">
        <v>7</v>
      </c>
      <c r="F654" s="15" t="s">
        <v>6</v>
      </c>
      <c r="G654" s="56">
        <f>G219</f>
        <v>16509.984980000001</v>
      </c>
      <c r="H654" s="56">
        <f>H219</f>
        <v>16509.984980000001</v>
      </c>
      <c r="I654" s="56">
        <f>I219</f>
        <v>100</v>
      </c>
      <c r="K654" s="48">
        <f t="shared" si="63"/>
        <v>100</v>
      </c>
    </row>
    <row r="655" spans="1:11" ht="12.75" customHeight="1" x14ac:dyDescent="0.2">
      <c r="A655" s="21"/>
      <c r="B655" s="23"/>
      <c r="C655" s="16" t="s">
        <v>204</v>
      </c>
      <c r="D655" s="15" t="s">
        <v>204</v>
      </c>
      <c r="E655" s="16" t="s">
        <v>204</v>
      </c>
      <c r="F655" s="15" t="s">
        <v>204</v>
      </c>
      <c r="G655" s="56"/>
      <c r="H655" s="56"/>
      <c r="I655" s="56"/>
      <c r="K655" s="48">
        <f t="shared" si="63"/>
        <v>0</v>
      </c>
    </row>
    <row r="656" spans="1:11" ht="12.75" customHeight="1" x14ac:dyDescent="0.2">
      <c r="A656" s="21"/>
      <c r="B656" s="23"/>
      <c r="C656" s="23"/>
      <c r="D656" s="23"/>
      <c r="E656" s="80"/>
      <c r="F656" s="13"/>
      <c r="G656" s="56">
        <f>G596+G605+G607+G612+G618+G622+G624+G631+G634+G639+G645+G648+G650+G652+G655</f>
        <v>778258.70473999996</v>
      </c>
      <c r="H656" s="56">
        <f>H596+H605+H607+H612+H618+H622+H624+H631+H634+H639+H645+H648+H650+H652+H655</f>
        <v>739762.90995999996</v>
      </c>
      <c r="I656" s="56">
        <f>I596+I605+I607+I612+I618+I622+I624+I631+I634+I639+I645+I648+I650+I652+I655</f>
        <v>2235.671229591198</v>
      </c>
      <c r="K656" s="48">
        <f t="shared" si="63"/>
        <v>2235.671229591198</v>
      </c>
    </row>
    <row r="657" spans="1:11" ht="12.75" customHeight="1" x14ac:dyDescent="0.2">
      <c r="A657" s="21"/>
      <c r="G657" s="71">
        <f>G593-G656</f>
        <v>0</v>
      </c>
      <c r="H657" s="71">
        <f>H593-H656</f>
        <v>0</v>
      </c>
      <c r="I657" s="71">
        <f>I593-I656</f>
        <v>-2140.6176303889715</v>
      </c>
      <c r="K657" s="48">
        <f t="shared" si="63"/>
        <v>-2140.6176303889715</v>
      </c>
    </row>
    <row r="658" spans="1:11" x14ac:dyDescent="0.25">
      <c r="J658" s="49"/>
      <c r="K658" s="48">
        <f t="shared" si="63"/>
        <v>0</v>
      </c>
    </row>
    <row r="659" spans="1:11" x14ac:dyDescent="0.25">
      <c r="C659" s="51" t="e">
        <f>#REF!-D659</f>
        <v>#REF!</v>
      </c>
      <c r="D659" s="51" t="e">
        <f>#REF!+#REF!</f>
        <v>#REF!</v>
      </c>
      <c r="E659" s="42" t="s">
        <v>259</v>
      </c>
      <c r="F659" s="43"/>
      <c r="G659" s="72">
        <f>G247</f>
        <v>16990.942620000002</v>
      </c>
      <c r="H659" s="72">
        <f>H247</f>
        <v>16816.804950000002</v>
      </c>
      <c r="I659" s="72">
        <f>I247</f>
        <v>98.975114719091437</v>
      </c>
      <c r="K659" s="48">
        <f t="shared" si="63"/>
        <v>98.975114719091437</v>
      </c>
    </row>
    <row r="660" spans="1:11" x14ac:dyDescent="0.25">
      <c r="C660" s="51" t="e">
        <f>#REF!-D660</f>
        <v>#REF!</v>
      </c>
      <c r="D660" s="51" t="e">
        <f>#REF!+#REF!</f>
        <v>#REF!</v>
      </c>
      <c r="E660" s="42" t="s">
        <v>56</v>
      </c>
      <c r="F660" s="43"/>
      <c r="G660" s="72">
        <f>G347+G481+G419</f>
        <v>9808.5612200000014</v>
      </c>
      <c r="H660" s="72">
        <f>H347+H481+H419</f>
        <v>9433.7965600000007</v>
      </c>
      <c r="I660" s="72">
        <f>I347+I481+I419</f>
        <v>263.75459679637407</v>
      </c>
      <c r="K660" s="48">
        <f t="shared" si="63"/>
        <v>263.75459679637407</v>
      </c>
    </row>
    <row r="661" spans="1:11" x14ac:dyDescent="0.25">
      <c r="C661" s="51" t="e">
        <f>#REF!-D661</f>
        <v>#REF!</v>
      </c>
      <c r="D661" s="51" t="e">
        <f>#REF!+#REF!</f>
        <v>#REF!</v>
      </c>
      <c r="E661" s="42" t="s">
        <v>27</v>
      </c>
      <c r="F661" s="43"/>
      <c r="G661" s="72">
        <f>G374</f>
        <v>60.3</v>
      </c>
      <c r="H661" s="72">
        <f>H374</f>
        <v>60.3</v>
      </c>
      <c r="I661" s="72">
        <f>I374</f>
        <v>100</v>
      </c>
      <c r="K661" s="48">
        <f t="shared" si="63"/>
        <v>100</v>
      </c>
    </row>
    <row r="662" spans="1:11" x14ac:dyDescent="0.25">
      <c r="C662" s="51" t="e">
        <f>#REF!-D662</f>
        <v>#REF!</v>
      </c>
      <c r="D662" s="51" t="e">
        <f>#REF!+#REF!</f>
        <v>#REF!</v>
      </c>
      <c r="E662" s="42" t="s">
        <v>91</v>
      </c>
      <c r="F662" s="43"/>
      <c r="G662" s="72">
        <f>G378</f>
        <v>557</v>
      </c>
      <c r="H662" s="72">
        <f>H378</f>
        <v>511</v>
      </c>
      <c r="I662" s="72">
        <f>I378</f>
        <v>91.741472172351891</v>
      </c>
      <c r="K662" s="48">
        <f t="shared" si="63"/>
        <v>91.741472172351891</v>
      </c>
    </row>
    <row r="663" spans="1:11" x14ac:dyDescent="0.25">
      <c r="C663" s="51"/>
      <c r="D663" s="51"/>
      <c r="E663" s="42" t="s">
        <v>409</v>
      </c>
      <c r="F663" s="43"/>
      <c r="G663" s="72">
        <f>G496</f>
        <v>1980.75</v>
      </c>
      <c r="H663" s="72">
        <f>H496</f>
        <v>1980.75</v>
      </c>
      <c r="I663" s="72">
        <f>I496</f>
        <v>100</v>
      </c>
      <c r="K663" s="48">
        <f t="shared" si="63"/>
        <v>100</v>
      </c>
    </row>
    <row r="664" spans="1:11" s="29" customFormat="1" ht="12.75" x14ac:dyDescent="0.2">
      <c r="A664" s="41"/>
      <c r="C664" s="51" t="e">
        <f>#REF!-D664</f>
        <v>#REF!</v>
      </c>
      <c r="D664" s="51" t="e">
        <f>#REF!+#REF!</f>
        <v>#REF!</v>
      </c>
      <c r="E664" s="44" t="s">
        <v>4</v>
      </c>
      <c r="F664" s="45"/>
      <c r="G664" s="70">
        <f>SUM(G659:G663)</f>
        <v>29397.553840000004</v>
      </c>
      <c r="H664" s="70">
        <f>SUM(H659:H663)</f>
        <v>28802.65151</v>
      </c>
      <c r="I664" s="70">
        <f>SUM(I659:I663)</f>
        <v>654.47118368781742</v>
      </c>
      <c r="K664" s="48">
        <f t="shared" si="63"/>
        <v>654.47118368781742</v>
      </c>
    </row>
    <row r="665" spans="1:11" x14ac:dyDescent="0.25">
      <c r="C665" s="51" t="e">
        <f>#REF!-D665</f>
        <v>#REF!</v>
      </c>
      <c r="D665" s="51" t="e">
        <f>#REF!+#REF!</f>
        <v>#REF!</v>
      </c>
      <c r="E665" s="42" t="s">
        <v>398</v>
      </c>
      <c r="F665" s="43"/>
      <c r="G665" s="72">
        <f>G554</f>
        <v>1837.3979999999999</v>
      </c>
      <c r="H665" s="72">
        <f>H554</f>
        <v>1837.3980000000001</v>
      </c>
      <c r="I665" s="72">
        <f>I554</f>
        <v>100.00000000000003</v>
      </c>
      <c r="K665" s="48">
        <f t="shared" si="63"/>
        <v>100.00000000000003</v>
      </c>
    </row>
    <row r="666" spans="1:11" x14ac:dyDescent="0.25">
      <c r="C666" s="51" t="e">
        <f>#REF!-D666</f>
        <v>#REF!</v>
      </c>
      <c r="D666" s="51" t="e">
        <f>#REF!+#REF!</f>
        <v>#REF!</v>
      </c>
      <c r="E666" s="42" t="s">
        <v>399</v>
      </c>
      <c r="F666" s="43"/>
      <c r="G666" s="72">
        <f>G560</f>
        <v>8211.28586</v>
      </c>
      <c r="H666" s="72">
        <f>H560</f>
        <v>8211.28586</v>
      </c>
      <c r="I666" s="72">
        <f>I560</f>
        <v>100</v>
      </c>
      <c r="K666" s="48">
        <f t="shared" si="63"/>
        <v>100</v>
      </c>
    </row>
    <row r="667" spans="1:11" x14ac:dyDescent="0.25">
      <c r="C667" s="51" t="e">
        <f>#REF!-D667</f>
        <v>#REF!</v>
      </c>
      <c r="D667" s="51" t="e">
        <f>#REF!+#REF!</f>
        <v>#REF!</v>
      </c>
      <c r="E667" s="42" t="s">
        <v>35</v>
      </c>
      <c r="F667" s="43"/>
      <c r="G667" s="72">
        <f>G523+G287+G530+G585-G585-G523+G191</f>
        <v>44161.266390000012</v>
      </c>
      <c r="H667" s="72">
        <f>H523+H287+H530+H585-H585-H523+H191</f>
        <v>44161.266390000012</v>
      </c>
      <c r="I667" s="72">
        <f>I523+I287+I530+I585-I585-I523+I191</f>
        <v>300</v>
      </c>
      <c r="K667" s="48">
        <f t="shared" si="63"/>
        <v>300</v>
      </c>
    </row>
    <row r="668" spans="1:11" x14ac:dyDescent="0.25">
      <c r="C668" s="51" t="e">
        <f>#REF!-D668</f>
        <v>#REF!</v>
      </c>
      <c r="D668" s="51" t="e">
        <f>#REF!+#REF!</f>
        <v>#REF!</v>
      </c>
      <c r="E668" s="42" t="s">
        <v>51</v>
      </c>
      <c r="F668" s="43"/>
      <c r="G668" s="72">
        <f>G256+G475+G575+G45</f>
        <v>2305.1888200000003</v>
      </c>
      <c r="H668" s="72">
        <f>H256+H475+H575+H45</f>
        <v>2305.1888200000003</v>
      </c>
      <c r="I668" s="72">
        <f>I256+I475+I575+I45</f>
        <v>400</v>
      </c>
      <c r="K668" s="48">
        <f t="shared" si="63"/>
        <v>400</v>
      </c>
    </row>
    <row r="669" spans="1:11" x14ac:dyDescent="0.25">
      <c r="C669" s="51" t="e">
        <f>#REF!-D669</f>
        <v>#REF!</v>
      </c>
      <c r="D669" s="51" t="e">
        <f>#REF!+#REF!</f>
        <v>#REF!</v>
      </c>
      <c r="E669" s="42" t="s">
        <v>54</v>
      </c>
      <c r="F669" s="43"/>
      <c r="G669" s="72"/>
      <c r="H669" s="72"/>
      <c r="I669" s="72"/>
      <c r="K669" s="48">
        <f t="shared" si="63"/>
        <v>0</v>
      </c>
    </row>
    <row r="670" spans="1:11" x14ac:dyDescent="0.25">
      <c r="C670" s="51" t="e">
        <f>#REF!-D670</f>
        <v>#REF!</v>
      </c>
      <c r="D670" s="51" t="e">
        <f>#REF!+#REF!</f>
        <v>#REF!</v>
      </c>
      <c r="E670" s="42" t="s">
        <v>349</v>
      </c>
      <c r="F670" s="43"/>
      <c r="G670" s="72">
        <f>G585+G523+G486</f>
        <v>1485.6653999999999</v>
      </c>
      <c r="H670" s="72">
        <f>H585+H523+H486</f>
        <v>1485.6653999999999</v>
      </c>
      <c r="I670" s="72">
        <f>I585+I523+I486</f>
        <v>300</v>
      </c>
      <c r="K670" s="48">
        <f t="shared" si="63"/>
        <v>300</v>
      </c>
    </row>
    <row r="671" spans="1:11" s="29" customFormat="1" ht="12.75" x14ac:dyDescent="0.2">
      <c r="A671" s="41"/>
      <c r="C671" s="51" t="e">
        <f>#REF!-D671</f>
        <v>#REF!</v>
      </c>
      <c r="D671" s="51" t="e">
        <f>#REF!+#REF!</f>
        <v>#REF!</v>
      </c>
      <c r="E671" s="44" t="s">
        <v>3</v>
      </c>
      <c r="F671" s="45"/>
      <c r="G671" s="70">
        <f>SUM(G665:G670)</f>
        <v>58000.80447000001</v>
      </c>
      <c r="H671" s="70">
        <f>SUM(H665:H670)</f>
        <v>58000.80447000001</v>
      </c>
      <c r="I671" s="70">
        <f>SUM(I665:I670)</f>
        <v>1200</v>
      </c>
      <c r="K671" s="48">
        <f t="shared" si="63"/>
        <v>1200</v>
      </c>
    </row>
    <row r="672" spans="1:11" x14ac:dyDescent="0.25">
      <c r="C672" s="51" t="e">
        <f>#REF!-D672</f>
        <v>#REF!</v>
      </c>
      <c r="D672" s="51" t="e">
        <f>#REF!+#REF!</f>
        <v>#REF!</v>
      </c>
      <c r="E672" s="42" t="s">
        <v>122</v>
      </c>
      <c r="F672" s="43"/>
      <c r="G672" s="72">
        <f>G153</f>
        <v>6223.3021000000008</v>
      </c>
      <c r="H672" s="72">
        <f>H153</f>
        <v>6120.1938099999998</v>
      </c>
      <c r="I672" s="72">
        <f>I153</f>
        <v>98.343190024472676</v>
      </c>
      <c r="K672" s="48">
        <f t="shared" si="63"/>
        <v>98.343190024472676</v>
      </c>
    </row>
    <row r="673" spans="1:11" x14ac:dyDescent="0.25">
      <c r="C673" s="51" t="e">
        <f>#REF!-D673</f>
        <v>#REF!</v>
      </c>
      <c r="D673" s="51" t="e">
        <f>#REF!+#REF!</f>
        <v>#REF!</v>
      </c>
      <c r="E673" s="42" t="s">
        <v>11</v>
      </c>
      <c r="F673" s="43"/>
      <c r="G673" s="72">
        <f>G164+G213+G272+G293+G505+G221+G196+G311+G206</f>
        <v>43486.189429999999</v>
      </c>
      <c r="H673" s="72">
        <f>H164+H213+H272+H293+H505+H221+H196+H311+H206</f>
        <v>43474.689429999999</v>
      </c>
      <c r="I673" s="72">
        <f>I164+I213+I272+I293+I505+I221+I196+I311+I206</f>
        <v>700</v>
      </c>
      <c r="K673" s="48">
        <f t="shared" si="63"/>
        <v>700</v>
      </c>
    </row>
    <row r="674" spans="1:11" x14ac:dyDescent="0.25">
      <c r="C674" s="51" t="e">
        <f>#REF!-D674</f>
        <v>#REF!</v>
      </c>
      <c r="D674" s="51" t="e">
        <f>#REF!+#REF!</f>
        <v>#REF!</v>
      </c>
      <c r="E674" s="42" t="s">
        <v>85</v>
      </c>
      <c r="F674" s="43"/>
      <c r="G674" s="72"/>
      <c r="H674" s="72"/>
      <c r="I674" s="72"/>
      <c r="K674" s="48">
        <f t="shared" si="63"/>
        <v>0</v>
      </c>
    </row>
    <row r="675" spans="1:11" s="29" customFormat="1" ht="12.75" x14ac:dyDescent="0.2">
      <c r="A675" s="41"/>
      <c r="C675" s="51" t="e">
        <f>#REF!-D675</f>
        <v>#REF!</v>
      </c>
      <c r="D675" s="51" t="e">
        <f>#REF!+#REF!</f>
        <v>#REF!</v>
      </c>
      <c r="E675" s="44" t="s">
        <v>2</v>
      </c>
      <c r="F675" s="45"/>
      <c r="G675" s="70">
        <f>SUM(G672:G674)</f>
        <v>49709.491529999999</v>
      </c>
      <c r="H675" s="70">
        <f>SUM(H672:H674)</f>
        <v>49594.883239999996</v>
      </c>
      <c r="I675" s="70">
        <f>SUM(I672:I674)</f>
        <v>798.34319002447273</v>
      </c>
      <c r="K675" s="48">
        <f t="shared" si="63"/>
        <v>798.34319002447273</v>
      </c>
    </row>
    <row r="676" spans="1:11" ht="12.75" x14ac:dyDescent="0.2">
      <c r="C676" s="51" t="e">
        <f>#REF!-D676</f>
        <v>#REF!</v>
      </c>
      <c r="D676" s="51" t="e">
        <f>#REF!+#REF!</f>
        <v>#REF!</v>
      </c>
      <c r="E676" s="42" t="s">
        <v>323</v>
      </c>
      <c r="F676" s="43"/>
      <c r="G676" s="56">
        <f>G316</f>
        <v>4388.66518</v>
      </c>
      <c r="H676" s="56">
        <f>H316</f>
        <v>4354.262639999999</v>
      </c>
      <c r="I676" s="56">
        <f>I316</f>
        <v>99.216104701794521</v>
      </c>
      <c r="K676" s="48">
        <f t="shared" si="63"/>
        <v>99.216104701794521</v>
      </c>
    </row>
    <row r="677" spans="1:11" ht="12.75" x14ac:dyDescent="0.2">
      <c r="C677" s="51" t="e">
        <f>#REF!-D677</f>
        <v>#REF!</v>
      </c>
      <c r="D677" s="51" t="e">
        <f>#REF!+#REF!</f>
        <v>#REF!</v>
      </c>
      <c r="E677" s="42" t="s">
        <v>322</v>
      </c>
      <c r="F677" s="43"/>
      <c r="G677" s="56"/>
      <c r="H677" s="56"/>
      <c r="I677" s="56"/>
      <c r="K677" s="48">
        <f t="shared" si="63"/>
        <v>0</v>
      </c>
    </row>
    <row r="678" spans="1:11" ht="12.75" x14ac:dyDescent="0.2">
      <c r="C678" s="51" t="e">
        <f>#REF!-D678</f>
        <v>#REF!</v>
      </c>
      <c r="D678" s="51" t="e">
        <f>#REF!+#REF!</f>
        <v>#REF!</v>
      </c>
      <c r="E678" s="42" t="s">
        <v>84</v>
      </c>
      <c r="F678" s="43"/>
      <c r="G678" s="56">
        <f>G335+G261+G300+G324</f>
        <v>1654.3724400000001</v>
      </c>
      <c r="H678" s="56">
        <f>H335+H261+H300+H324</f>
        <v>1644.3418300000001</v>
      </c>
      <c r="I678" s="56">
        <f>I335+I261+I300+I324</f>
        <v>384.07220549043268</v>
      </c>
      <c r="K678" s="48">
        <f t="shared" si="63"/>
        <v>384.07220549043268</v>
      </c>
    </row>
    <row r="679" spans="1:11" ht="12.75" x14ac:dyDescent="0.2">
      <c r="C679" s="51" t="e">
        <f>#REF!-D679</f>
        <v>#REF!</v>
      </c>
      <c r="D679" s="51" t="e">
        <f>#REF!+#REF!</f>
        <v>#REF!</v>
      </c>
      <c r="E679" s="42" t="s">
        <v>81</v>
      </c>
      <c r="F679" s="43"/>
      <c r="G679" s="56">
        <f>G428+G266+G453+G413+G184</f>
        <v>16709.488189999996</v>
      </c>
      <c r="H679" s="56">
        <f>H428+H266+H453+H413+H184</f>
        <v>13997.640219999999</v>
      </c>
      <c r="I679" s="56">
        <f>I428+I266+I453+I413+I184</f>
        <v>378.37067983588935</v>
      </c>
      <c r="K679" s="48">
        <f t="shared" si="63"/>
        <v>378.37067983588935</v>
      </c>
    </row>
    <row r="680" spans="1:11" ht="12.75" x14ac:dyDescent="0.2">
      <c r="C680" s="51" t="e">
        <f>#REF!-D680</f>
        <v>#REF!</v>
      </c>
      <c r="D680" s="51" t="e">
        <f>#REF!+#REF!</f>
        <v>#REF!</v>
      </c>
      <c r="E680" s="42" t="s">
        <v>299</v>
      </c>
      <c r="F680" s="43"/>
      <c r="G680" s="56">
        <f>G366+G171</f>
        <v>17788.03616</v>
      </c>
      <c r="H680" s="56">
        <f>H366+H171</f>
        <v>16522.626370000002</v>
      </c>
      <c r="I680" s="56">
        <f>I366+I171</f>
        <v>192.67826989784302</v>
      </c>
      <c r="K680" s="48">
        <f t="shared" si="63"/>
        <v>192.67826989784302</v>
      </c>
    </row>
    <row r="681" spans="1:11" ht="12.75" x14ac:dyDescent="0.2">
      <c r="C681" s="51" t="e">
        <f>#REF!-D681</f>
        <v>#REF!</v>
      </c>
      <c r="D681" s="51" t="e">
        <f>#REF!+#REF!</f>
        <v>#REF!</v>
      </c>
      <c r="E681" s="42" t="s">
        <v>321</v>
      </c>
      <c r="F681" s="43"/>
      <c r="G681" s="56">
        <f>G304</f>
        <v>33.962000000000003</v>
      </c>
      <c r="H681" s="56">
        <f>H304</f>
        <v>28.962</v>
      </c>
      <c r="I681" s="56">
        <f>I304</f>
        <v>85.277663270714328</v>
      </c>
      <c r="K681" s="48">
        <f t="shared" si="63"/>
        <v>85.277663270714328</v>
      </c>
    </row>
    <row r="682" spans="1:11" ht="12.75" x14ac:dyDescent="0.2">
      <c r="C682" s="51"/>
      <c r="D682" s="51"/>
      <c r="E682" s="42" t="s">
        <v>387</v>
      </c>
      <c r="F682" s="43"/>
      <c r="G682" s="56">
        <f>G360</f>
        <v>2801.45</v>
      </c>
      <c r="H682" s="56">
        <f>H360</f>
        <v>200</v>
      </c>
      <c r="I682" s="56">
        <f>I360</f>
        <v>7.1391600778168458</v>
      </c>
      <c r="K682" s="48">
        <f t="shared" si="63"/>
        <v>7.1391600778168458</v>
      </c>
    </row>
    <row r="683" spans="1:11" s="29" customFormat="1" ht="12.75" x14ac:dyDescent="0.2">
      <c r="A683" s="41"/>
      <c r="C683" s="51" t="e">
        <f>#REF!-D683</f>
        <v>#REF!</v>
      </c>
      <c r="D683" s="51" t="e">
        <f>#REF!+#REF!</f>
        <v>#REF!</v>
      </c>
      <c r="E683" s="44" t="s">
        <v>1</v>
      </c>
      <c r="F683" s="45"/>
      <c r="G683" s="70">
        <f>SUM(G676:G682)</f>
        <v>43375.973969999992</v>
      </c>
      <c r="H683" s="70">
        <f>SUM(H676:H682)</f>
        <v>36747.833060000004</v>
      </c>
      <c r="I683" s="70">
        <f>SUM(I676:I682)</f>
        <v>1146.7540832744905</v>
      </c>
      <c r="K683" s="48">
        <f t="shared" si="63"/>
        <v>1146.7540832744905</v>
      </c>
    </row>
    <row r="684" spans="1:11" ht="12.75" x14ac:dyDescent="0.2">
      <c r="C684" s="51" t="e">
        <f>#REF!-D684</f>
        <v>#REF!</v>
      </c>
      <c r="D684" s="51" t="e">
        <f>#REF!+#REF!</f>
        <v>#REF!</v>
      </c>
      <c r="E684" s="42" t="s">
        <v>260</v>
      </c>
      <c r="F684" s="43"/>
      <c r="G684" s="56"/>
      <c r="H684" s="56"/>
      <c r="I684" s="56"/>
      <c r="K684" s="48">
        <f t="shared" si="63"/>
        <v>0</v>
      </c>
    </row>
    <row r="685" spans="1:11" s="29" customFormat="1" ht="12.75" x14ac:dyDescent="0.2">
      <c r="A685" s="41"/>
      <c r="C685" s="29" t="s">
        <v>309</v>
      </c>
      <c r="E685" s="44" t="s">
        <v>212</v>
      </c>
      <c r="F685" s="45"/>
      <c r="G685" s="70">
        <f>G684</f>
        <v>0</v>
      </c>
      <c r="H685" s="70">
        <f>H684</f>
        <v>0</v>
      </c>
      <c r="I685" s="70">
        <f>I684</f>
        <v>0</v>
      </c>
      <c r="K685" s="48">
        <f t="shared" si="63"/>
        <v>0</v>
      </c>
    </row>
    <row r="686" spans="1:11" ht="12.75" x14ac:dyDescent="0.2">
      <c r="C686" s="51" t="e">
        <f>#REF!-D686</f>
        <v>#REF!</v>
      </c>
      <c r="D686" s="51" t="e">
        <f>#REF!+#REF!</f>
        <v>#REF!</v>
      </c>
      <c r="E686" s="42" t="s">
        <v>345</v>
      </c>
      <c r="F686" s="43"/>
      <c r="G686" s="56">
        <f>G118</f>
        <v>3479.3049499999997</v>
      </c>
      <c r="H686" s="56">
        <f>H118</f>
        <v>3479.3049499999997</v>
      </c>
      <c r="I686" s="56">
        <f>I118</f>
        <v>100</v>
      </c>
      <c r="K686" s="48">
        <f t="shared" si="63"/>
        <v>100</v>
      </c>
    </row>
    <row r="687" spans="1:11" ht="12.75" x14ac:dyDescent="0.2">
      <c r="C687" s="51" t="e">
        <f>#REF!-D687</f>
        <v>#REF!</v>
      </c>
      <c r="D687" s="51" t="e">
        <f>#REF!+#REF!</f>
        <v>#REF!</v>
      </c>
      <c r="E687" s="42" t="s">
        <v>346</v>
      </c>
      <c r="F687" s="43"/>
      <c r="G687" s="56"/>
      <c r="H687" s="56"/>
      <c r="I687" s="56"/>
      <c r="K687" s="48">
        <f t="shared" si="63"/>
        <v>0</v>
      </c>
    </row>
    <row r="688" spans="1:11" ht="12.75" x14ac:dyDescent="0.2">
      <c r="C688" s="51" t="e">
        <f>#REF!-D688</f>
        <v>#REF!</v>
      </c>
      <c r="D688" s="51" t="e">
        <f>#REF!+#REF!</f>
        <v>#REF!</v>
      </c>
      <c r="E688" s="42" t="s">
        <v>347</v>
      </c>
      <c r="F688" s="43"/>
      <c r="G688" s="56">
        <f>G127</f>
        <v>15156.33339</v>
      </c>
      <c r="H688" s="56">
        <f>H127</f>
        <v>15156.33339</v>
      </c>
      <c r="I688" s="56">
        <f>I127</f>
        <v>100</v>
      </c>
      <c r="K688" s="48">
        <f t="shared" si="63"/>
        <v>100</v>
      </c>
    </row>
    <row r="689" spans="1:11" ht="12.75" x14ac:dyDescent="0.2">
      <c r="C689" s="51" t="e">
        <f>#REF!-D689</f>
        <v>#REF!</v>
      </c>
      <c r="D689" s="51" t="e">
        <f>#REF!+#REF!</f>
        <v>#REF!</v>
      </c>
      <c r="E689" s="42" t="s">
        <v>325</v>
      </c>
      <c r="F689" s="43"/>
      <c r="G689" s="56">
        <f>G13+G50+G144+G459</f>
        <v>507276.04735999991</v>
      </c>
      <c r="H689" s="56">
        <f>H13+H50+H144+H459</f>
        <v>477767.64666999987</v>
      </c>
      <c r="I689" s="56">
        <f>I13+I50+I144+I459</f>
        <v>389.7936981008944</v>
      </c>
      <c r="K689" s="48">
        <f t="shared" si="63"/>
        <v>389.7936981008944</v>
      </c>
    </row>
    <row r="690" spans="1:11" ht="12.75" x14ac:dyDescent="0.2">
      <c r="C690" s="51" t="e">
        <f>#REF!-D690</f>
        <v>#REF!</v>
      </c>
      <c r="D690" s="51" t="e">
        <f>#REF!+#REF!</f>
        <v>#REF!</v>
      </c>
      <c r="E690" s="42" t="s">
        <v>332</v>
      </c>
      <c r="F690" s="43"/>
      <c r="G690" s="56">
        <f>G93+G513</f>
        <v>37134.730100000001</v>
      </c>
      <c r="H690" s="56">
        <f>H93+H513</f>
        <v>37025.756789999999</v>
      </c>
      <c r="I690" s="56">
        <f>I93+I513</f>
        <v>199.60803954646539</v>
      </c>
      <c r="K690" s="48">
        <f t="shared" ref="K690:K701" si="68">I690-J690</f>
        <v>199.60803954646539</v>
      </c>
    </row>
    <row r="691" spans="1:11" ht="12" customHeight="1" x14ac:dyDescent="0.2">
      <c r="C691" s="51" t="e">
        <f>#REF!-D691</f>
        <v>#REF!</v>
      </c>
      <c r="D691" s="51" t="e">
        <f>#REF!+#REF!</f>
        <v>#REF!</v>
      </c>
      <c r="E691" s="44" t="s">
        <v>348</v>
      </c>
      <c r="F691" s="43"/>
      <c r="G691" s="70">
        <f>SUM(G686:G690)</f>
        <v>563046.41579999996</v>
      </c>
      <c r="H691" s="70">
        <f>SUM(H686:H690)</f>
        <v>533429.04179999989</v>
      </c>
      <c r="I691" s="70">
        <f>SUM(I686:I690)</f>
        <v>789.40173764735982</v>
      </c>
      <c r="K691" s="48">
        <f t="shared" si="68"/>
        <v>789.40173764735982</v>
      </c>
    </row>
    <row r="692" spans="1:11" ht="12.75" x14ac:dyDescent="0.2">
      <c r="C692" s="51" t="e">
        <f>#REF!-D692</f>
        <v>#REF!</v>
      </c>
      <c r="D692" s="51" t="e">
        <f>#REF!+#REF!</f>
        <v>#REF!</v>
      </c>
      <c r="E692" s="42" t="s">
        <v>422</v>
      </c>
      <c r="F692" s="43"/>
      <c r="G692" s="56">
        <f>G386</f>
        <v>9155.27</v>
      </c>
      <c r="H692" s="56">
        <f>H386</f>
        <v>8939.7873799999998</v>
      </c>
      <c r="I692" s="56">
        <f>I386</f>
        <v>97.646354285564485</v>
      </c>
      <c r="K692" s="48">
        <f t="shared" si="68"/>
        <v>97.646354285564485</v>
      </c>
    </row>
    <row r="693" spans="1:11" ht="12.75" x14ac:dyDescent="0.2">
      <c r="C693" s="51" t="e">
        <f>#REF!-D693</f>
        <v>#REF!</v>
      </c>
      <c r="D693" s="51" t="e">
        <f>#REF!+#REF!</f>
        <v>#REF!</v>
      </c>
      <c r="E693" s="42" t="s">
        <v>310</v>
      </c>
      <c r="F693" s="43"/>
      <c r="G693" s="56">
        <f>G395</f>
        <v>15382.65625</v>
      </c>
      <c r="H693" s="56">
        <f>H395</f>
        <v>14289.31603</v>
      </c>
      <c r="I693" s="56">
        <f>I395</f>
        <v>92.89238345945617</v>
      </c>
      <c r="K693" s="48">
        <f t="shared" si="68"/>
        <v>92.89238345945617</v>
      </c>
    </row>
    <row r="694" spans="1:11" ht="12.75" x14ac:dyDescent="0.2">
      <c r="C694" s="51" t="e">
        <f>#REF!-D694</f>
        <v>#REF!</v>
      </c>
      <c r="D694" s="51" t="e">
        <f>#REF!+#REF!</f>
        <v>#REF!</v>
      </c>
      <c r="E694" s="42" t="s">
        <v>306</v>
      </c>
      <c r="F694" s="43"/>
      <c r="G694" s="56">
        <f>G400+G177</f>
        <v>947.33753000000002</v>
      </c>
      <c r="H694" s="56">
        <f>H400+H177</f>
        <v>778.66521999999998</v>
      </c>
      <c r="I694" s="56">
        <f>I400+I177</f>
        <v>176.15391480782873</v>
      </c>
      <c r="K694" s="48">
        <f t="shared" si="68"/>
        <v>176.15391480782873</v>
      </c>
    </row>
    <row r="695" spans="1:11" s="29" customFormat="1" ht="12.75" x14ac:dyDescent="0.2">
      <c r="A695" s="41"/>
      <c r="C695" s="51" t="e">
        <f>#REF!-D695</f>
        <v>#REF!</v>
      </c>
      <c r="D695" s="51" t="e">
        <f>#REF!+#REF!</f>
        <v>#REF!</v>
      </c>
      <c r="E695" s="44" t="s">
        <v>311</v>
      </c>
      <c r="F695" s="45"/>
      <c r="G695" s="70">
        <f>SUM(G692:G694)</f>
        <v>25485.263780000001</v>
      </c>
      <c r="H695" s="70">
        <f>SUM(H692:H694)</f>
        <v>24007.768629999999</v>
      </c>
      <c r="I695" s="70">
        <f>SUM(I692:I694)</f>
        <v>366.69265255284938</v>
      </c>
      <c r="K695" s="48">
        <f t="shared" si="68"/>
        <v>366.69265255284938</v>
      </c>
    </row>
    <row r="696" spans="1:11" ht="12.75" x14ac:dyDescent="0.2">
      <c r="C696" s="51" t="e">
        <f>#REF!-D696</f>
        <v>#REF!</v>
      </c>
      <c r="D696" s="51" t="e">
        <f>#REF!+#REF!</f>
        <v>#REF!</v>
      </c>
      <c r="E696" s="42"/>
      <c r="F696" s="43"/>
      <c r="G696" s="56"/>
      <c r="H696" s="56"/>
      <c r="I696" s="56"/>
      <c r="K696" s="48">
        <f t="shared" si="68"/>
        <v>0</v>
      </c>
    </row>
    <row r="697" spans="1:11" ht="12.75" x14ac:dyDescent="0.2">
      <c r="C697" s="51" t="e">
        <f>#REF!-D697</f>
        <v>#REF!</v>
      </c>
      <c r="D697" s="51" t="e">
        <f>#REF!+#REF!</f>
        <v>#REF!</v>
      </c>
      <c r="E697" s="42"/>
      <c r="F697" s="43"/>
      <c r="G697" s="56"/>
      <c r="H697" s="56"/>
      <c r="I697" s="56"/>
      <c r="K697" s="48">
        <f t="shared" si="68"/>
        <v>0</v>
      </c>
    </row>
    <row r="698" spans="1:11" s="29" customFormat="1" ht="12.75" x14ac:dyDescent="0.2">
      <c r="A698" s="41"/>
      <c r="C698" s="51" t="e">
        <f>#REF!-D698</f>
        <v>#REF!</v>
      </c>
      <c r="D698" s="51" t="e">
        <f>#REF!+#REF!</f>
        <v>#REF!</v>
      </c>
      <c r="E698" s="44" t="s">
        <v>0</v>
      </c>
      <c r="F698" s="40" t="e">
        <f>#REF!+F236+F240+F242+F278+#REF!+#REF!+#REF!+#REF!+#REF!</f>
        <v>#REF!</v>
      </c>
      <c r="G698" s="70">
        <f>G236+G240+G242+G278+G281+G449+G404+G227+G86+G469+G490+G579+G569+G328+G200+G590+G549</f>
        <v>9243.2013499999994</v>
      </c>
      <c r="H698" s="70">
        <f>H236+H240+H242+H278+H281+H449+H404+H227+H86+H469+H490+H579+H569+H328+H200+H590+H549</f>
        <v>9179.9272500000006</v>
      </c>
      <c r="I698" s="70" t="e">
        <f>I236+I240+I242+I278+I281+I449+I404+I227+I86+I469+I490+I579+I569+I328+I200+I590+I549</f>
        <v>#DIV/0!</v>
      </c>
      <c r="K698" s="48"/>
    </row>
    <row r="699" spans="1:11" ht="12.75" x14ac:dyDescent="0.2">
      <c r="C699" s="51" t="e">
        <f>#REF!-D699</f>
        <v>#REF!</v>
      </c>
      <c r="D699" s="51" t="e">
        <f>#REF!+#REF!</f>
        <v>#REF!</v>
      </c>
      <c r="E699" s="43" t="s">
        <v>261</v>
      </c>
      <c r="F699" s="43"/>
      <c r="G699" s="56"/>
      <c r="H699" s="56"/>
      <c r="I699" s="56"/>
      <c r="K699" s="48">
        <f t="shared" si="68"/>
        <v>0</v>
      </c>
    </row>
    <row r="700" spans="1:11" ht="12.75" x14ac:dyDescent="0.2">
      <c r="E700" s="43"/>
      <c r="F700" s="43"/>
      <c r="G700" s="56">
        <f>G664+G671+G675+G683+G685+G698+G699+G691+G695</f>
        <v>778258.70473999996</v>
      </c>
      <c r="H700" s="56">
        <f>H664+H671+H675+H683+H685+H698+H699+H691+H695</f>
        <v>739762.90995999984</v>
      </c>
      <c r="I700" s="56" t="e">
        <f>I664+I671+I675+I683+I685+I698+I699+I691+I695</f>
        <v>#DIV/0!</v>
      </c>
      <c r="K700" s="48" t="e">
        <f t="shared" si="68"/>
        <v>#DIV/0!</v>
      </c>
    </row>
    <row r="701" spans="1:11" ht="12.75" x14ac:dyDescent="0.2">
      <c r="E701" s="43"/>
      <c r="F701" s="43"/>
      <c r="G701" s="56">
        <f>G593-G700</f>
        <v>0</v>
      </c>
      <c r="H701" s="56">
        <f>H593-H700</f>
        <v>0</v>
      </c>
      <c r="I701" s="56" t="e">
        <f>I593-I700</f>
        <v>#DIV/0!</v>
      </c>
      <c r="K701" s="48" t="e">
        <f t="shared" si="68"/>
        <v>#DIV/0!</v>
      </c>
    </row>
    <row r="703" spans="1:11" x14ac:dyDescent="0.25">
      <c r="E703" s="52" t="s">
        <v>13</v>
      </c>
    </row>
    <row r="704" spans="1:11" x14ac:dyDescent="0.25">
      <c r="E704" s="52" t="s">
        <v>24</v>
      </c>
    </row>
    <row r="705" spans="5:5" x14ac:dyDescent="0.25">
      <c r="E705" s="52" t="s">
        <v>6</v>
      </c>
    </row>
    <row r="706" spans="5:5" x14ac:dyDescent="0.25">
      <c r="E706" s="52" t="s">
        <v>53</v>
      </c>
    </row>
    <row r="707" spans="5:5" x14ac:dyDescent="0.25">
      <c r="E707" s="52" t="s">
        <v>31</v>
      </c>
    </row>
    <row r="708" spans="5:5" x14ac:dyDescent="0.25">
      <c r="E708" s="52" t="s">
        <v>47</v>
      </c>
    </row>
    <row r="709" spans="5:5" x14ac:dyDescent="0.25">
      <c r="E709" s="52" t="s">
        <v>70</v>
      </c>
    </row>
    <row r="710" spans="5:5" x14ac:dyDescent="0.25">
      <c r="E710" s="52" t="s">
        <v>204</v>
      </c>
    </row>
    <row r="711" spans="5:5" x14ac:dyDescent="0.25">
      <c r="E711" s="52"/>
    </row>
    <row r="712" spans="5:5" x14ac:dyDescent="0.25">
      <c r="E712" s="52"/>
    </row>
  </sheetData>
  <mergeCells count="35">
    <mergeCell ref="E652:F652"/>
    <mergeCell ref="E645:F645"/>
    <mergeCell ref="E648:F648"/>
    <mergeCell ref="H5:H7"/>
    <mergeCell ref="I5:I7"/>
    <mergeCell ref="E650:F650"/>
    <mergeCell ref="E624:F624"/>
    <mergeCell ref="E631:F631"/>
    <mergeCell ref="E634:F634"/>
    <mergeCell ref="E639:F639"/>
    <mergeCell ref="B5:F6"/>
    <mergeCell ref="G5:G7"/>
    <mergeCell ref="C652:D652"/>
    <mergeCell ref="C624:D624"/>
    <mergeCell ref="C631:D631"/>
    <mergeCell ref="C634:D634"/>
    <mergeCell ref="C639:D639"/>
    <mergeCell ref="C645:D645"/>
    <mergeCell ref="C648:D648"/>
    <mergeCell ref="C650:D650"/>
    <mergeCell ref="C612:D612"/>
    <mergeCell ref="C618:D618"/>
    <mergeCell ref="C622:D622"/>
    <mergeCell ref="E622:F622"/>
    <mergeCell ref="C605:D605"/>
    <mergeCell ref="E607:F607"/>
    <mergeCell ref="E612:F612"/>
    <mergeCell ref="E618:F618"/>
    <mergeCell ref="G1:I1"/>
    <mergeCell ref="A5:A7"/>
    <mergeCell ref="C607:D607"/>
    <mergeCell ref="E596:F596"/>
    <mergeCell ref="E605:F605"/>
    <mergeCell ref="G2:I2"/>
    <mergeCell ref="A3:I3"/>
  </mergeCells>
  <pageMargins left="0.98425196850393704" right="0" top="0" bottom="0" header="0" footer="0"/>
  <pageSetup paperSize="9" scale="6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10</vt:i4>
      </vt:variant>
    </vt:vector>
  </HeadingPairs>
  <TitlesOfParts>
    <vt:vector size="19" baseType="lpstr">
      <vt:lpstr>прил 1конс РЗ,ПЗ</vt:lpstr>
      <vt:lpstr>Прил1 Рез ФОНД -2020г</vt:lpstr>
      <vt:lpstr>прил2-сп</vt:lpstr>
      <vt:lpstr>прил3- БИ </vt:lpstr>
      <vt:lpstr>прил 4 дор фонд</vt:lpstr>
      <vt:lpstr>прил 5 публ об</vt:lpstr>
      <vt:lpstr>Мун Рай Разд подр</vt:lpstr>
      <vt:lpstr>прил 16 вед стр 20г</vt:lpstr>
      <vt:lpstr>Лист1</vt:lpstr>
      <vt:lpstr>'прил 16 вед стр 20г'!Заголовки_для_печати</vt:lpstr>
      <vt:lpstr>'Прил1 Рез ФОНД -2020г'!Заголовки_для_печати</vt:lpstr>
      <vt:lpstr>'Мун Рай Разд подр'!Область_печати</vt:lpstr>
      <vt:lpstr>'прил 16 вед стр 20г'!Область_печати</vt:lpstr>
      <vt:lpstr>'прил 1конс РЗ,ПЗ'!Область_печати</vt:lpstr>
      <vt:lpstr>'прил 4 дор фонд'!Область_печати</vt:lpstr>
      <vt:lpstr>'прил 5 публ об'!Область_печати</vt:lpstr>
      <vt:lpstr>'Прил1 Рез ФОНД -2020г'!Область_печати</vt:lpstr>
      <vt:lpstr>'прил2-сп'!Область_печати</vt:lpstr>
      <vt:lpstr>'прил3- БИ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finOtdeL</dc:creator>
  <cp:lastModifiedBy>MSI</cp:lastModifiedBy>
  <cp:lastPrinted>2021-03-24T04:43:27Z</cp:lastPrinted>
  <dcterms:created xsi:type="dcterms:W3CDTF">2016-11-07T08:50:55Z</dcterms:created>
  <dcterms:modified xsi:type="dcterms:W3CDTF">2021-03-24T04:45:40Z</dcterms:modified>
</cp:coreProperties>
</file>