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1"/>
  </bookViews>
  <sheets>
    <sheet name="Прил 8 (2013)" sheetId="1" r:id="rId1"/>
    <sheet name="прил 10 2013гокт" sheetId="2" r:id="rId2"/>
    <sheet name="Лист3" sheetId="3" r:id="rId3"/>
  </sheets>
  <externalReferences>
    <externalReference r:id="rId6"/>
  </externalReferences>
  <definedNames>
    <definedName name="_xlnm.Print_Titles" localSheetId="1">'прил 10 2013гокт'!$8:$8</definedName>
    <definedName name="_xlnm.Print_Titles" localSheetId="0">'Прил 8 (2013)'!$8:$8</definedName>
    <definedName name="_xlnm.Print_Area" localSheetId="1">'прил 10 2013гокт'!$A$1:$L$648</definedName>
    <definedName name="_xlnm.Print_Area" localSheetId="0">'Прил 8 (2013)'!$A$2:$H$65</definedName>
  </definedNames>
  <calcPr fullCalcOnLoad="1"/>
</workbook>
</file>

<file path=xl/sharedStrings.xml><?xml version="1.0" encoding="utf-8"?>
<sst xmlns="http://schemas.openxmlformats.org/spreadsheetml/2006/main" count="3589" uniqueCount="582">
  <si>
    <t>092</t>
  </si>
  <si>
    <t>тыс.руб</t>
  </si>
  <si>
    <t>РАСПРЕДЕЛЕНИЕ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</si>
  <si>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</si>
  <si>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</si>
  <si>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</si>
  <si>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</si>
  <si>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</si>
  <si>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</si>
  <si>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</si>
  <si>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</si>
  <si>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</si>
  <si>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</si>
  <si>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</si>
  <si>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</si>
  <si>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</si>
  <si>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</si>
  <si>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</si>
  <si>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</si>
  <si>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</si>
  <si>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</si>
  <si>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</si>
  <si>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</si>
  <si>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</si>
  <si>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</si>
  <si>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</si>
  <si>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</si>
  <si>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</si>
  <si>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</si>
  <si>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</si>
  <si>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</si>
  <si>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</si>
  <si>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</si>
  <si>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</si>
  <si>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</si>
  <si>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</si>
  <si>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</si>
  <si>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</si>
  <si>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</si>
  <si>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</si>
  <si>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</si>
  <si>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</si>
  <si>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</si>
  <si>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</si>
  <si>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</si>
  <si>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</si>
  <si>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</si>
  <si>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</si>
  <si>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</si>
  <si>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</si>
  <si>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</si>
  <si>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</si>
  <si>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</si>
  <si>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</si>
  <si>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</si>
  <si>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</si>
  <si>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</si>
  <si>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</si>
  <si>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</si>
  <si>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</si>
  <si>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</si>
  <si>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</si>
  <si>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</si>
  <si>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</si>
  <si>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</si>
  <si>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</si>
  <si>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</si>
  <si>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</si>
  <si>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</si>
  <si>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</si>
  <si>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</si>
  <si>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</si>
  <si>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</si>
  <si>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</si>
  <si>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</si>
  <si>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</si>
  <si>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</si>
  <si>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</si>
  <si>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</si>
  <si>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</si>
  <si>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</si>
  <si>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</si>
  <si>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</si>
  <si>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</si>
  <si>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</si>
  <si>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</si>
  <si>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</si>
  <si>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</si>
  <si>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</si>
  <si>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</si>
  <si>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</si>
  <si>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</si>
  <si>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</si>
  <si>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</si>
  <si>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</si>
  <si>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</si>
  <si>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</si>
  <si>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</si>
  <si>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</si>
  <si>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</si>
  <si>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</si>
  <si>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</si>
  <si>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</si>
  <si>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</si>
  <si>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</si>
  <si>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</si>
  <si>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</si>
  <si>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</si>
  <si>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</si>
  <si>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</si>
  <si>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</si>
  <si>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</si>
  <si>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</si>
  <si>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</si>
  <si>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</si>
  <si>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</si>
  <si>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</si>
  <si>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</si>
  <si>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</si>
  <si>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</si>
  <si>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</si>
  <si>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</si>
  <si>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</si>
  <si>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</si>
  <si>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</si>
  <si>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</si>
  <si>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</si>
  <si>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</si>
  <si>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</si>
  <si>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</si>
  <si>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</si>
  <si>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</si>
  <si>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</si>
  <si>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</si>
  <si>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</si>
  <si>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</si>
  <si>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</si>
  <si>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</si>
  <si>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</si>
  <si>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</si>
  <si>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</si>
  <si>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</si>
  <si>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</si>
  <si>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</si>
  <si>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</si>
  <si>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</si>
  <si>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</si>
  <si>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</si>
  <si>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</si>
  <si>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</si>
  <si>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</si>
  <si>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</si>
  <si>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</si>
  <si>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</si>
  <si>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</si>
  <si>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</si>
  <si>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</si>
  <si>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</si>
  <si>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</si>
  <si>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</si>
  <si>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</si>
  <si>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</si>
  <si>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</si>
  <si>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</si>
  <si>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</si>
  <si>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</si>
  <si>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</si>
  <si>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</si>
  <si>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</si>
  <si>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</si>
  <si>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</si>
  <si>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</si>
  <si>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</si>
  <si>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</si>
  <si>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</si>
  <si>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</si>
  <si>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</si>
  <si>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</si>
  <si>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</si>
  <si>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</si>
  <si>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</si>
  <si>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</si>
  <si>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</si>
  <si>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</si>
  <si>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</si>
  <si>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</si>
  <si>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</si>
  <si>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</si>
  <si>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</si>
  <si>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</si>
  <si>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</si>
  <si>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</si>
  <si>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</si>
  <si>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</si>
  <si>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</si>
  <si>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</si>
  <si>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</si>
  <si>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</si>
  <si>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</si>
  <si>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</si>
  <si>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</si>
  <si>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</si>
  <si>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</si>
  <si>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</si>
  <si>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</si>
  <si>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</si>
  <si>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</si>
  <si>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</si>
  <si>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</si>
  <si>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</si>
  <si>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</si>
  <si>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</si>
  <si>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</si>
  <si>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</si>
  <si>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</si>
  <si>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</si>
  <si>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</si>
  <si>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</si>
  <si>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</si>
  <si>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</si>
  <si>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</si>
  <si>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</si>
  <si>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</si>
  <si>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</si>
  <si>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</si>
  <si>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</si>
  <si>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</si>
  <si>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</si>
  <si>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</si>
  <si>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</si>
  <si>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</si>
  <si>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</si>
  <si>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</si>
  <si>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</si>
  <si>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</si>
  <si>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</si>
  <si>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</si>
  <si>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</si>
  <si>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</si>
  <si>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</si>
  <si>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</si>
  <si>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</si>
  <si>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</si>
  <si>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</si>
  <si>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</si>
  <si>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</si>
  <si>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</si>
  <si>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</si>
  <si>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</si>
  <si>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</si>
  <si>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</si>
  <si>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</si>
  <si>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</si>
  <si>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</si>
  <si>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</si>
  <si>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</si>
  <si>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</si>
  <si>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</si>
  <si>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</si>
  <si>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Глава муниципального образования</t>
  </si>
  <si>
    <t>0020300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</si>
  <si>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</si>
  <si>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</si>
  <si>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</si>
  <si>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</si>
  <si>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</si>
  <si>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</si>
  <si>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</si>
  <si>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</si>
  <si>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</si>
  <si>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</si>
  <si>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</si>
  <si>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</si>
  <si>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</si>
  <si>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</si>
  <si>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</si>
  <si>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</si>
  <si>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</si>
  <si>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</si>
  <si>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</si>
  <si>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</si>
  <si>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</si>
  <si>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</si>
  <si>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</si>
  <si>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</si>
  <si>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</si>
  <si>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</si>
  <si>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</si>
  <si>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</si>
  <si>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</si>
  <si>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</si>
  <si>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</si>
  <si>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</si>
  <si>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</si>
  <si>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</si>
  <si>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</si>
  <si>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</si>
  <si>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</si>
  <si>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</si>
  <si>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</si>
  <si>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</si>
  <si>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</si>
  <si>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</si>
  <si>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</si>
  <si>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</si>
  <si>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</si>
  <si>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</si>
  <si>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</si>
  <si>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</si>
  <si>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</si>
  <si>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</si>
  <si>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</si>
  <si>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</si>
  <si>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</si>
  <si>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</si>
  <si>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</si>
  <si>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</si>
  <si>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</si>
  <si>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</si>
  <si>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</si>
  <si>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</si>
  <si>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</si>
  <si>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</si>
  <si>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</si>
  <si>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</si>
  <si>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</si>
  <si>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</si>
  <si>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</si>
  <si>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</si>
  <si>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</si>
  <si>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</si>
  <si>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</si>
  <si>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</si>
  <si>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</si>
  <si>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</si>
  <si>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</si>
  <si>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</si>
  <si>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</si>
  <si>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</si>
  <si>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</si>
  <si>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</si>
  <si>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</si>
  <si>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</si>
  <si>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</si>
  <si>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</si>
  <si>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</si>
  <si>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</si>
  <si>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</si>
  <si>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</si>
  <si>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</si>
  <si>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</si>
  <si>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</si>
  <si>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</si>
  <si>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</si>
  <si>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</si>
  <si>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</si>
  <si>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</si>
  <si>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</si>
  <si>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</si>
  <si>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</si>
  <si>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</si>
  <si>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</si>
  <si>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</si>
  <si>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</si>
  <si>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</si>
  <si>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</si>
  <si>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</si>
  <si>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</si>
  <si>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</si>
  <si>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</si>
  <si>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</si>
  <si>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</si>
  <si>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</si>
  <si>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</si>
  <si>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</si>
  <si>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</si>
  <si>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</si>
  <si>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</si>
  <si>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</si>
  <si>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</si>
  <si>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</si>
  <si>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</si>
  <si>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</si>
  <si>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</si>
  <si>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</si>
  <si>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</si>
  <si>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</si>
  <si>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</si>
  <si>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</si>
  <si>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</si>
  <si>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</si>
  <si>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</si>
  <si>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</si>
  <si>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</si>
  <si>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</si>
  <si>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</si>
  <si>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</si>
  <si>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</si>
  <si>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</si>
  <si>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</si>
  <si>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</si>
  <si>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</si>
  <si>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</si>
  <si>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</si>
  <si>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</si>
  <si>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</si>
  <si>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</si>
  <si>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</si>
  <si>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</si>
  <si>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</si>
  <si>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</si>
  <si>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</si>
  <si>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</si>
  <si>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</si>
  <si>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</si>
  <si>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</si>
  <si>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</si>
  <si>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</si>
  <si>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</si>
  <si>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</si>
  <si>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</si>
  <si>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</si>
  <si>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</si>
  <si>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</si>
  <si>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</si>
  <si>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</si>
  <si>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</si>
  <si>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</si>
  <si>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</si>
  <si>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</si>
  <si>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</si>
  <si>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</si>
  <si>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</si>
  <si>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</si>
  <si>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</si>
  <si>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</si>
  <si>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</si>
  <si>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</si>
  <si>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</si>
  <si>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</si>
  <si>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</si>
  <si>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</si>
  <si>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</si>
  <si>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</si>
  <si>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</si>
  <si>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</si>
  <si>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</si>
  <si>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</si>
  <si>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</si>
  <si>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</si>
  <si>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</si>
  <si>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</si>
  <si>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</si>
  <si>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</si>
  <si>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</si>
  <si>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</si>
  <si>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</si>
  <si>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</si>
  <si>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</si>
  <si>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</si>
  <si>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</si>
  <si>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</si>
  <si>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</si>
  <si>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</si>
  <si>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</si>
  <si>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</si>
  <si>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</si>
  <si>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</si>
  <si>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</si>
  <si>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</si>
  <si>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</si>
  <si>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</si>
  <si>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</si>
  <si>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</si>
  <si>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</si>
  <si>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</si>
  <si>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</si>
  <si>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</si>
  <si>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</si>
  <si>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</si>
  <si>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</si>
  <si>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</si>
  <si>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</si>
  <si>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</si>
  <si>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</si>
  <si>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</si>
  <si>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</si>
  <si>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</si>
  <si>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</si>
  <si>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</si>
  <si>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</si>
  <si>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</si>
  <si>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</si>
  <si>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</si>
  <si>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</si>
  <si>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</si>
  <si>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</si>
  <si>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</si>
  <si>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</si>
  <si>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</si>
  <si>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</si>
  <si>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</si>
  <si>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</si>
  <si>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</si>
  <si>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</si>
  <si>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</si>
  <si>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</si>
  <si>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</si>
  <si>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</si>
  <si>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</si>
  <si>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</si>
  <si>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</si>
  <si>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</si>
  <si>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</si>
  <si>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</si>
  <si>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</si>
  <si>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</si>
  <si>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</si>
  <si>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</si>
  <si>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</si>
  <si>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</si>
  <si>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</si>
  <si>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</si>
  <si>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</si>
  <si>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</si>
  <si>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Сумма на утверждение  c учетом изменений 2013г (тыс.руб.)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</si>
  <si>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</si>
  <si>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</si>
  <si>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</si>
  <si>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</si>
  <si>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</si>
  <si>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</si>
  <si>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>Пособия и компенсации  гражданам и иные социальные выплаты, кроме публичных нормативных обязательств</t>
  </si>
  <si>
    <t>5221602</t>
  </si>
  <si>
    <t>Оздоровление детей за счет средств местного бюджета</t>
  </si>
  <si>
    <t>3450100</t>
  </si>
  <si>
    <t xml:space="preserve">Субсидии на государственную
поддержку малого и среднего предпринимательства, включая
крестьянские (фермерские) хозяйства
</t>
  </si>
  <si>
    <t>Закупка работ товаров, работ и услуг  в целях капитального ремонта муниципального имущества</t>
  </si>
  <si>
    <t>5052104</t>
  </si>
  <si>
    <t>441</t>
  </si>
  <si>
    <t>5053603</t>
  </si>
  <si>
    <t>Обеспечение предоставления жилых помещений
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</si>
  <si>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казенным учреждениям
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</si>
  <si>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</si>
  <si>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5229606</t>
  </si>
  <si>
    <t>РЦП "Стимулирование развития жилищного строительства"</t>
  </si>
  <si>
    <t>Расходы на модернизацию региональных систем общего образования</t>
  </si>
  <si>
    <t>Функционирование высшего должностного лица  органа местного самоуправления</t>
  </si>
  <si>
    <t xml:space="preserve">Прочая закупка товаров, работ и услуг для муниципальных нужд
</t>
  </si>
  <si>
    <t>Функционирование  местных администраций</t>
  </si>
  <si>
    <t>Ведомственная структура  расходов бюджета муниципального образования "Онгудайский район"                          на 2013 год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</si>
  <si>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</si>
  <si>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Руководство и управление в сфере установленных функций  органов местного самоуправления</t>
  </si>
  <si>
    <t>Музеи и постоянные выставки</t>
  </si>
  <si>
    <t>4419900</t>
  </si>
  <si>
    <t>Охрана окружающей среды</t>
  </si>
  <si>
    <t>Охрана объектов  растительного и животного мира и среды их обитания</t>
  </si>
  <si>
    <t>7952040</t>
  </si>
  <si>
    <t>МЦП "Регулирование численности объектов  животного мира (волка) на территории Онгудайского района на 2013-2015 годы"</t>
  </si>
  <si>
    <t>0600</t>
  </si>
  <si>
    <t>0603</t>
  </si>
  <si>
    <t xml:space="preserve">Учреждения культуры и мероприятия в сфере
культуры и кинематографии
</t>
  </si>
  <si>
    <t>5221605</t>
  </si>
  <si>
    <t>РЦП "Развитие образования в Республике Алтай на 2013-2018годы" (повышение ФОТ пед.раболтникам доп.образования детей)</t>
  </si>
  <si>
    <t>Реализация РЦП "Развитие образования в Республике Алтай  в части выплаты ежемесячной надбавки к зарплате молодым специалистам в моу"</t>
  </si>
  <si>
    <t>5221609</t>
  </si>
  <si>
    <t>Мероприятия по модернизации региональной системы дошкольного образования</t>
  </si>
  <si>
    <t>4362700</t>
  </si>
  <si>
    <t>РЦП"Развитие дошкольного образования в Республике Алтай на 2012-2015годы"</t>
  </si>
  <si>
    <t>5224700</t>
  </si>
  <si>
    <t xml:space="preserve">Бюджетные инвестиции на приобретение объектов недвижимого имущества 
</t>
  </si>
  <si>
    <t>РЦП "Энергосбережение и повышение  энерг.эффект. РА на 2010-2015 годы"  подпрогр. Подготовка к отопительному  сезону объектов жкх</t>
  </si>
  <si>
    <t>5223900</t>
  </si>
  <si>
    <t>РЦП "Комплексные меры профилактики правонарушений и повышению безопасности дорожного движения в РА на 2012-2014 годы"</t>
  </si>
  <si>
    <t xml:space="preserve">РЦП "Энергосбережение и повышение  энергетичекой эффективности  РА на 2010-2015 годы" 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</si>
  <si>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</si>
  <si>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Закупка товаров, работ и услуг в целях капитального ремонта муниципального имущества</t>
  </si>
  <si>
    <t>0923400</t>
  </si>
  <si>
    <t>РЦП "Жилище на 2011-2015г" п/прогр Стимулирование развития жилстр-ва на терр РА, в т.ч. сельской местности</t>
  </si>
  <si>
    <t>Приложение 8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</si>
  <si>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2-9 )</t>
  </si>
  <si>
    <t xml:space="preserve"> Приложение 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</si>
</sst>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7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Alignment="1">
      <alignment/>
    </xf>
    <xf numFmtId="0" fontId="5" fillId="0" borderId="16" xfId="58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4" fontId="14" fillId="0" borderId="11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184" fontId="16" fillId="0" borderId="11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15" fillId="0" borderId="13" xfId="0" applyNumberFormat="1" applyFont="1" applyFill="1" applyBorder="1" applyAlignment="1">
      <alignment/>
    </xf>
    <xf numFmtId="184" fontId="17" fillId="0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top" wrapText="1"/>
    </xf>
    <xf numFmtId="49" fontId="1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54" applyNumberFormat="1" applyFont="1" applyFill="1" applyBorder="1" applyAlignment="1">
      <alignment horizont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/>
    </xf>
    <xf numFmtId="49" fontId="21" fillId="0" borderId="17" xfId="0" applyNumberFormat="1" applyFont="1" applyFill="1" applyBorder="1" applyAlignment="1">
      <alignment/>
    </xf>
    <xf numFmtId="49" fontId="19" fillId="0" borderId="14" xfId="0" applyNumberFormat="1" applyFont="1" applyFill="1" applyBorder="1" applyAlignment="1">
      <alignment/>
    </xf>
    <xf numFmtId="49" fontId="19" fillId="0" borderId="18" xfId="0" applyNumberFormat="1" applyFont="1" applyFill="1" applyBorder="1" applyAlignment="1">
      <alignment/>
    </xf>
    <xf numFmtId="49" fontId="20" fillId="0" borderId="17" xfId="58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9" fillId="0" borderId="10" xfId="54" applyFont="1" applyFill="1" applyBorder="1" applyAlignment="1">
      <alignment horizontal="justify" vertical="top" wrapText="1" shrinkToFit="1"/>
      <protection/>
    </xf>
    <xf numFmtId="179" fontId="9" fillId="0" borderId="10" xfId="72" applyNumberFormat="1" applyFont="1" applyFill="1" applyBorder="1" applyAlignment="1">
      <alignment horizontal="left" vertical="justify" wrapText="1"/>
    </xf>
    <xf numFmtId="4" fontId="9" fillId="0" borderId="10" xfId="0" applyNumberFormat="1" applyFont="1" applyFill="1" applyBorder="1" applyAlignment="1">
      <alignment horizontal="justify" vertical="top" wrapText="1"/>
    </xf>
    <xf numFmtId="0" fontId="9" fillId="0" borderId="10" xfId="54" applyFont="1" applyFill="1" applyBorder="1" applyAlignment="1">
      <alignment horizontal="justify" wrapText="1" shrinkToFit="1"/>
      <protection/>
    </xf>
    <xf numFmtId="49" fontId="9" fillId="0" borderId="10" xfId="58" applyNumberFormat="1" applyFont="1" applyFill="1" applyBorder="1" applyAlignment="1">
      <alignment horizontal="left" wrapText="1"/>
      <protection/>
    </xf>
    <xf numFmtId="2" fontId="70" fillId="0" borderId="10" xfId="0" applyNumberFormat="1" applyFont="1" applyBorder="1" applyAlignment="1">
      <alignment vertical="top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 shrinkToFit="1"/>
    </xf>
    <xf numFmtId="0" fontId="19" fillId="0" borderId="10" xfId="58" applyFont="1" applyFill="1" applyBorder="1" applyAlignment="1">
      <alignment horizontal="left" wrapText="1"/>
      <protection/>
    </xf>
    <xf numFmtId="0" fontId="9" fillId="0" borderId="10" xfId="58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wrapText="1"/>
      <protection/>
    </xf>
    <xf numFmtId="0" fontId="19" fillId="0" borderId="10" xfId="57" applyFont="1" applyFill="1" applyBorder="1" applyAlignment="1">
      <alignment wrapText="1"/>
      <protection/>
    </xf>
    <xf numFmtId="0" fontId="19" fillId="0" borderId="10" xfId="54" applyFont="1" applyFill="1" applyBorder="1" applyAlignment="1">
      <alignment horizontal="justify" vertical="top" wrapText="1" shrinkToFit="1"/>
      <protection/>
    </xf>
    <xf numFmtId="0" fontId="9" fillId="0" borderId="10" xfId="54" applyFont="1" applyFill="1" applyBorder="1" applyAlignment="1">
      <alignment horizontal="justify" vertical="center" wrapText="1" shrinkToFit="1"/>
      <protection/>
    </xf>
    <xf numFmtId="49" fontId="9" fillId="0" borderId="10" xfId="54" applyNumberFormat="1" applyFont="1" applyFill="1" applyBorder="1" applyAlignment="1">
      <alignment horizontal="left" wrapText="1" shrinkToFit="1"/>
      <protection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vertical="top" wrapText="1"/>
    </xf>
    <xf numFmtId="179" fontId="19" fillId="0" borderId="10" xfId="72" applyNumberFormat="1" applyFont="1" applyFill="1" applyBorder="1" applyAlignment="1">
      <alignment wrapText="1"/>
    </xf>
    <xf numFmtId="179" fontId="9" fillId="0" borderId="10" xfId="68" applyNumberFormat="1" applyFont="1" applyFill="1" applyBorder="1" applyAlignment="1">
      <alignment horizontal="left" vertical="justify" wrapText="1"/>
    </xf>
    <xf numFmtId="0" fontId="19" fillId="0" borderId="10" xfId="58" applyFont="1" applyFill="1" applyBorder="1" applyAlignment="1">
      <alignment horizontal="left"/>
      <protection/>
    </xf>
    <xf numFmtId="49" fontId="9" fillId="0" borderId="10" xfId="58" applyNumberFormat="1" applyFont="1" applyFill="1" applyBorder="1" applyAlignment="1">
      <alignment horizontal="justify" wrapText="1"/>
      <protection/>
    </xf>
    <xf numFmtId="0" fontId="19" fillId="0" borderId="10" xfId="57" applyFont="1" applyFill="1" applyBorder="1" applyAlignment="1">
      <alignment vertical="center" wrapText="1"/>
      <protection/>
    </xf>
    <xf numFmtId="0" fontId="9" fillId="0" borderId="10" xfId="57" applyNumberFormat="1" applyFont="1" applyFill="1" applyBorder="1" applyAlignment="1">
      <alignment wrapText="1"/>
      <protection/>
    </xf>
    <xf numFmtId="0" fontId="9" fillId="0" borderId="10" xfId="57" applyFont="1" applyFill="1" applyBorder="1" applyAlignment="1">
      <alignment horizontal="left" wrapText="1"/>
      <protection/>
    </xf>
    <xf numFmtId="0" fontId="19" fillId="0" borderId="10" xfId="58" applyFont="1" applyFill="1" applyBorder="1" applyAlignment="1">
      <alignment horizontal="center" wrapText="1"/>
      <protection/>
    </xf>
    <xf numFmtId="0" fontId="19" fillId="3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5" fillId="0" borderId="0" xfId="58" applyFont="1">
      <alignment/>
      <protection/>
    </xf>
    <xf numFmtId="0" fontId="4" fillId="0" borderId="10" xfId="54" applyFont="1" applyFill="1" applyBorder="1" applyAlignment="1">
      <alignment horizontal="justify" vertical="top" wrapText="1" shrinkToFit="1"/>
      <protection/>
    </xf>
    <xf numFmtId="49" fontId="20" fillId="0" borderId="19" xfId="0" applyNumberFormat="1" applyFont="1" applyFill="1" applyBorder="1" applyAlignment="1">
      <alignment horizontal="center"/>
    </xf>
    <xf numFmtId="184" fontId="16" fillId="0" borderId="15" xfId="0" applyNumberFormat="1" applyFont="1" applyFill="1" applyBorder="1" applyAlignment="1">
      <alignment/>
    </xf>
    <xf numFmtId="49" fontId="72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184" fontId="73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4" fillId="0" borderId="10" xfId="0" applyNumberFormat="1" applyFont="1" applyFill="1" applyBorder="1" applyAlignment="1">
      <alignment/>
    </xf>
    <xf numFmtId="184" fontId="13" fillId="0" borderId="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16" fillId="0" borderId="2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184" fontId="13" fillId="0" borderId="0" xfId="0" applyNumberFormat="1" applyFont="1" applyFill="1" applyAlignment="1">
      <alignment/>
    </xf>
    <xf numFmtId="184" fontId="4" fillId="0" borderId="0" xfId="58" applyNumberFormat="1" applyFont="1" applyAlignment="1">
      <alignment/>
      <protection/>
    </xf>
    <xf numFmtId="184" fontId="0" fillId="0" borderId="0" xfId="0" applyNumberFormat="1" applyFont="1" applyAlignment="1">
      <alignment wrapText="1"/>
    </xf>
    <xf numFmtId="184" fontId="0" fillId="0" borderId="16" xfId="0" applyNumberFormat="1" applyBorder="1" applyAlignment="1">
      <alignment/>
    </xf>
    <xf numFmtId="184" fontId="5" fillId="0" borderId="10" xfId="58" applyNumberFormat="1" applyFont="1" applyBorder="1" applyAlignment="1">
      <alignment horizontal="center" vertical="center" wrapText="1"/>
      <protection/>
    </xf>
    <xf numFmtId="184" fontId="5" fillId="0" borderId="10" xfId="0" applyNumberFormat="1" applyFont="1" applyBorder="1" applyAlignment="1">
      <alignment horizontal="center" vertical="center" wrapText="1"/>
    </xf>
    <xf numFmtId="184" fontId="4" fillId="0" borderId="0" xfId="58" applyNumberFormat="1" applyFont="1">
      <alignment/>
      <protection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49" fontId="9" fillId="0" borderId="10" xfId="68" applyNumberFormat="1" applyFont="1" applyFill="1" applyBorder="1" applyAlignment="1">
      <alignment vertical="center" wrapText="1"/>
    </xf>
    <xf numFmtId="0" fontId="9" fillId="0" borderId="10" xfId="54" applyFont="1" applyFill="1" applyBorder="1" applyAlignment="1">
      <alignment horizontal="left" vertical="top" wrapText="1" shrinkToFit="1"/>
      <protection/>
    </xf>
    <xf numFmtId="0" fontId="9" fillId="0" borderId="10" xfId="58" applyFont="1" applyFill="1" applyBorder="1" applyAlignment="1">
      <alignment horizontal="left" vertical="top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179" fontId="24" fillId="0" borderId="10" xfId="68" applyFont="1" applyFill="1" applyBorder="1" applyAlignment="1">
      <alignment wrapText="1"/>
    </xf>
    <xf numFmtId="179" fontId="9" fillId="0" borderId="10" xfId="68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84" fontId="19" fillId="0" borderId="0" xfId="0" applyNumberFormat="1" applyFont="1" applyFill="1" applyAlignment="1">
      <alignment/>
    </xf>
    <xf numFmtId="2" fontId="5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13" fillId="0" borderId="10" xfId="0" applyNumberFormat="1" applyFont="1" applyFill="1" applyBorder="1" applyAlignment="1">
      <alignment/>
    </xf>
    <xf numFmtId="49" fontId="5" fillId="0" borderId="10" xfId="58" applyNumberFormat="1" applyFont="1" applyBorder="1" applyAlignment="1">
      <alignment horizontal="center"/>
      <protection/>
    </xf>
    <xf numFmtId="184" fontId="12" fillId="0" borderId="0" xfId="0" applyNumberFormat="1" applyFont="1" applyAlignment="1">
      <alignment wrapText="1"/>
    </xf>
    <xf numFmtId="184" fontId="0" fillId="0" borderId="0" xfId="0" applyNumberFormat="1" applyAlignment="1">
      <alignment wrapText="1"/>
    </xf>
    <xf numFmtId="184" fontId="4" fillId="0" borderId="0" xfId="58" applyNumberFormat="1" applyFont="1" applyAlignment="1">
      <alignment horizontal="left" wrapText="1"/>
      <protection/>
    </xf>
    <xf numFmtId="184" fontId="0" fillId="0" borderId="0" xfId="0" applyNumberFormat="1" applyAlignment="1">
      <alignment horizontal="left" wrapText="1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84" fontId="4" fillId="0" borderId="0" xfId="0" applyNumberFormat="1" applyFont="1" applyFill="1" applyAlignment="1">
      <alignment horizontal="left" vertical="center" wrapText="1"/>
    </xf>
    <xf numFmtId="184" fontId="0" fillId="0" borderId="0" xfId="0" applyNumberForma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184" fontId="2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center" wrapText="1" shrinkToFit="1"/>
    </xf>
    <xf numFmtId="0" fontId="24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182" fontId="13" fillId="0" borderId="10" xfId="0" applyNumberFormat="1" applyFont="1" applyFill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G12" sqref="G12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6" width="12.7109375" style="184" customWidth="1"/>
    <col min="7" max="7" width="11.28125" style="184" customWidth="1"/>
    <col min="8" max="8" width="14.140625" style="184" customWidth="1"/>
    <col min="9" max="16384" width="26.28125" style="1" customWidth="1"/>
  </cols>
  <sheetData>
    <row r="1" spans="3:8" ht="12.75">
      <c r="C1" s="2"/>
      <c r="D1" s="2"/>
      <c r="E1" s="2"/>
      <c r="F1" s="179"/>
      <c r="G1" s="179"/>
      <c r="H1" s="179"/>
    </row>
    <row r="2" spans="1:8" ht="12.75" customHeight="1">
      <c r="A2" s="3"/>
      <c r="C2" s="62" t="s">
        <v>487</v>
      </c>
      <c r="D2" s="87"/>
      <c r="E2" s="87"/>
      <c r="F2" s="202" t="s">
        <v>579</v>
      </c>
      <c r="G2" s="203"/>
      <c r="H2" s="203"/>
    </row>
    <row r="3" spans="1:8" ht="40.5" customHeight="1">
      <c r="A3" s="3"/>
      <c r="D3" s="63"/>
      <c r="E3" s="63"/>
      <c r="F3" s="200" t="s">
        <v>580</v>
      </c>
      <c r="G3" s="201"/>
      <c r="H3" s="201"/>
    </row>
    <row r="4" spans="1:8" ht="9" customHeight="1">
      <c r="A4" s="3"/>
      <c r="B4" s="4"/>
      <c r="C4" s="4"/>
      <c r="D4" s="4"/>
      <c r="E4" s="5"/>
      <c r="F4" s="180"/>
      <c r="G4" s="180"/>
      <c r="H4" s="180"/>
    </row>
    <row r="5" spans="1:8" ht="12.75">
      <c r="A5" s="207" t="s">
        <v>2</v>
      </c>
      <c r="B5" s="208"/>
      <c r="C5" s="208"/>
      <c r="D5" s="209"/>
      <c r="E5" s="210"/>
      <c r="F5" s="210"/>
      <c r="G5" s="206"/>
      <c r="H5" s="206"/>
    </row>
    <row r="6" spans="1:8" ht="27.75" customHeight="1">
      <c r="A6" s="204" t="s">
        <v>504</v>
      </c>
      <c r="B6" s="205"/>
      <c r="C6" s="205"/>
      <c r="D6" s="205"/>
      <c r="E6" s="205"/>
      <c r="F6" s="205"/>
      <c r="G6" s="206"/>
      <c r="H6" s="206"/>
    </row>
    <row r="7" spans="1:8" ht="12.75">
      <c r="A7" s="51"/>
      <c r="B7" s="49"/>
      <c r="C7" s="49"/>
      <c r="D7" s="49"/>
      <c r="E7" s="49"/>
      <c r="F7" s="181"/>
      <c r="G7" s="181"/>
      <c r="H7" s="181" t="s">
        <v>1</v>
      </c>
    </row>
    <row r="8" spans="1:8" ht="63" customHeight="1">
      <c r="A8" s="6" t="s">
        <v>3</v>
      </c>
      <c r="B8" s="6" t="s">
        <v>84</v>
      </c>
      <c r="C8" s="6" t="s">
        <v>85</v>
      </c>
      <c r="D8" s="6" t="s">
        <v>523</v>
      </c>
      <c r="E8" s="85" t="s">
        <v>503</v>
      </c>
      <c r="F8" s="182" t="s">
        <v>488</v>
      </c>
      <c r="G8" s="183" t="s">
        <v>83</v>
      </c>
      <c r="H8" s="182" t="s">
        <v>525</v>
      </c>
    </row>
    <row r="9" spans="1:8" ht="15" customHeight="1">
      <c r="A9" s="7" t="s">
        <v>4</v>
      </c>
      <c r="B9" s="199" t="s">
        <v>5</v>
      </c>
      <c r="C9" s="199"/>
      <c r="D9" s="9">
        <f>D10+D11+D12+D13+D14+D15+D16+D17</f>
        <v>24669.690000000002</v>
      </c>
      <c r="E9" s="14">
        <f>E10+E11+E12+E13+E14+E15+E16+E17</f>
        <v>2631.1356000000005</v>
      </c>
      <c r="F9" s="195">
        <f>F10+F11+F12+F13+F14+F15+F16+F17</f>
        <v>28154.3256</v>
      </c>
      <c r="G9" s="195">
        <f>G10+G11+G12+G13+G14+G15+G16+G17</f>
        <v>619.54</v>
      </c>
      <c r="H9" s="195">
        <f>H10+H11+H12+H13+H14+H15+H16+H17</f>
        <v>28773.865599999997</v>
      </c>
    </row>
    <row r="10" spans="1:8" ht="21.75" customHeight="1">
      <c r="A10" s="10" t="s">
        <v>422</v>
      </c>
      <c r="B10" s="11" t="s">
        <v>6</v>
      </c>
      <c r="C10" s="11" t="s">
        <v>7</v>
      </c>
      <c r="D10" s="12">
        <v>1047.9</v>
      </c>
      <c r="E10" s="12">
        <v>216.64</v>
      </c>
      <c r="F10" s="196">
        <f>D10+E10</f>
        <v>1264.54</v>
      </c>
      <c r="G10" s="196"/>
      <c r="H10" s="196">
        <f aca="true" t="shared" si="0" ref="H10:H32">F10+G10</f>
        <v>1264.54</v>
      </c>
    </row>
    <row r="11" spans="1:8" ht="25.5" customHeight="1">
      <c r="A11" s="10" t="s">
        <v>423</v>
      </c>
      <c r="B11" s="11" t="s">
        <v>6</v>
      </c>
      <c r="C11" s="11" t="s">
        <v>8</v>
      </c>
      <c r="D11" s="12">
        <v>1779.43</v>
      </c>
      <c r="E11" s="12">
        <v>-228</v>
      </c>
      <c r="F11" s="196">
        <v>1703.93</v>
      </c>
      <c r="G11" s="196"/>
      <c r="H11" s="196">
        <f t="shared" si="0"/>
        <v>1703.93</v>
      </c>
    </row>
    <row r="12" spans="1:8" ht="15" customHeight="1">
      <c r="A12" s="10" t="s">
        <v>424</v>
      </c>
      <c r="B12" s="11" t="s">
        <v>6</v>
      </c>
      <c r="C12" s="11" t="s">
        <v>9</v>
      </c>
      <c r="D12" s="12">
        <v>16883.75</v>
      </c>
      <c r="E12" s="12">
        <f>-4932.801+496.2266</f>
        <v>-4436.5744</v>
      </c>
      <c r="F12" s="196">
        <f>D12+E12</f>
        <v>12447.175599999999</v>
      </c>
      <c r="G12" s="196">
        <v>-80</v>
      </c>
      <c r="H12" s="196">
        <f t="shared" si="0"/>
        <v>12367.175599999999</v>
      </c>
    </row>
    <row r="13" spans="1:8" ht="15" customHeight="1" hidden="1">
      <c r="A13" s="10" t="s">
        <v>10</v>
      </c>
      <c r="B13" s="11" t="s">
        <v>6</v>
      </c>
      <c r="C13" s="11" t="s">
        <v>11</v>
      </c>
      <c r="D13" s="12"/>
      <c r="E13" s="12"/>
      <c r="F13" s="196">
        <f>D13+E13</f>
        <v>0</v>
      </c>
      <c r="G13" s="196"/>
      <c r="H13" s="196">
        <f t="shared" si="0"/>
        <v>0</v>
      </c>
    </row>
    <row r="14" spans="1:8" ht="28.5" customHeight="1">
      <c r="A14" s="10" t="s">
        <v>425</v>
      </c>
      <c r="B14" s="11" t="s">
        <v>6</v>
      </c>
      <c r="C14" s="11" t="s">
        <v>12</v>
      </c>
      <c r="D14" s="12">
        <v>3549.22</v>
      </c>
      <c r="E14" s="12">
        <v>1012.26</v>
      </c>
      <c r="F14" s="196">
        <v>4561.98</v>
      </c>
      <c r="G14" s="196">
        <v>218</v>
      </c>
      <c r="H14" s="196">
        <f t="shared" si="0"/>
        <v>4779.98</v>
      </c>
    </row>
    <row r="15" spans="1:8" ht="15" customHeight="1">
      <c r="A15" s="10" t="s">
        <v>13</v>
      </c>
      <c r="B15" s="11" t="s">
        <v>6</v>
      </c>
      <c r="C15" s="11" t="s">
        <v>14</v>
      </c>
      <c r="D15" s="12">
        <v>100</v>
      </c>
      <c r="E15" s="12">
        <v>100</v>
      </c>
      <c r="F15" s="196">
        <v>1014</v>
      </c>
      <c r="G15" s="196"/>
      <c r="H15" s="196">
        <f t="shared" si="0"/>
        <v>1014</v>
      </c>
    </row>
    <row r="16" spans="1:8" ht="15" customHeight="1">
      <c r="A16" s="10" t="s">
        <v>15</v>
      </c>
      <c r="B16" s="11" t="s">
        <v>6</v>
      </c>
      <c r="C16" s="11" t="s">
        <v>16</v>
      </c>
      <c r="D16" s="12">
        <v>333</v>
      </c>
      <c r="E16" s="12">
        <v>-220</v>
      </c>
      <c r="F16" s="196">
        <v>0</v>
      </c>
      <c r="G16" s="196">
        <v>60</v>
      </c>
      <c r="H16" s="196">
        <f t="shared" si="0"/>
        <v>60</v>
      </c>
    </row>
    <row r="17" spans="1:8" ht="15" customHeight="1">
      <c r="A17" s="26" t="s">
        <v>19</v>
      </c>
      <c r="B17" s="11" t="s">
        <v>6</v>
      </c>
      <c r="C17" s="11" t="s">
        <v>18</v>
      </c>
      <c r="D17" s="12">
        <v>976.39</v>
      </c>
      <c r="E17" s="12">
        <f>6683.0366-496.2266</f>
        <v>6186.81</v>
      </c>
      <c r="F17" s="196">
        <v>7162.7</v>
      </c>
      <c r="G17" s="196">
        <v>421.54</v>
      </c>
      <c r="H17" s="196">
        <f t="shared" si="0"/>
        <v>7584.24</v>
      </c>
    </row>
    <row r="18" spans="1:8" ht="15" customHeight="1">
      <c r="A18" s="7" t="s">
        <v>21</v>
      </c>
      <c r="B18" s="199" t="s">
        <v>22</v>
      </c>
      <c r="C18" s="199"/>
      <c r="D18" s="13">
        <f>D19</f>
        <v>564.6</v>
      </c>
      <c r="E18" s="13">
        <f>E19</f>
        <v>21.7</v>
      </c>
      <c r="F18" s="197">
        <f>F19</f>
        <v>531.9</v>
      </c>
      <c r="G18" s="197">
        <f>G19</f>
        <v>0</v>
      </c>
      <c r="H18" s="197">
        <f>H19</f>
        <v>531.9</v>
      </c>
    </row>
    <row r="19" spans="1:8" ht="15" customHeight="1">
      <c r="A19" s="10" t="s">
        <v>23</v>
      </c>
      <c r="B19" s="11" t="s">
        <v>7</v>
      </c>
      <c r="C19" s="11" t="s">
        <v>8</v>
      </c>
      <c r="D19" s="12">
        <v>564.6</v>
      </c>
      <c r="E19" s="12">
        <v>21.7</v>
      </c>
      <c r="F19" s="196">
        <v>531.9</v>
      </c>
      <c r="G19" s="196"/>
      <c r="H19" s="196">
        <f t="shared" si="0"/>
        <v>531.9</v>
      </c>
    </row>
    <row r="20" spans="1:8" ht="15" customHeight="1">
      <c r="A20" s="7" t="s">
        <v>24</v>
      </c>
      <c r="B20" s="199" t="s">
        <v>25</v>
      </c>
      <c r="C20" s="199"/>
      <c r="D20" s="14">
        <f>SUM(D21:D23)</f>
        <v>100</v>
      </c>
      <c r="E20" s="14">
        <f>SUM(E21:E23)</f>
        <v>502.851</v>
      </c>
      <c r="F20" s="197">
        <f>F22+F23</f>
        <v>1103.151</v>
      </c>
      <c r="G20" s="195">
        <f>SUM(G21:G23)</f>
        <v>12.6</v>
      </c>
      <c r="H20" s="197">
        <f t="shared" si="0"/>
        <v>1115.751</v>
      </c>
    </row>
    <row r="21" spans="1:8" ht="15" customHeight="1" hidden="1">
      <c r="A21" s="10" t="s">
        <v>26</v>
      </c>
      <c r="B21" s="11" t="s">
        <v>8</v>
      </c>
      <c r="C21" s="11" t="s">
        <v>7</v>
      </c>
      <c r="D21" s="12"/>
      <c r="E21" s="12"/>
      <c r="F21" s="196">
        <f>D21+E21</f>
        <v>0</v>
      </c>
      <c r="G21" s="196"/>
      <c r="H21" s="196">
        <f t="shared" si="0"/>
        <v>0</v>
      </c>
    </row>
    <row r="22" spans="1:8" ht="25.5" customHeight="1">
      <c r="A22" s="10" t="s">
        <v>27</v>
      </c>
      <c r="B22" s="11" t="s">
        <v>8</v>
      </c>
      <c r="C22" s="11" t="s">
        <v>28</v>
      </c>
      <c r="D22" s="12">
        <v>75</v>
      </c>
      <c r="E22" s="12">
        <v>482.851</v>
      </c>
      <c r="F22" s="196">
        <v>1058.151</v>
      </c>
      <c r="G22" s="196"/>
      <c r="H22" s="196">
        <f t="shared" si="0"/>
        <v>1058.151</v>
      </c>
    </row>
    <row r="23" spans="1:8" ht="15" customHeight="1">
      <c r="A23" s="10" t="s">
        <v>29</v>
      </c>
      <c r="B23" s="11" t="s">
        <v>8</v>
      </c>
      <c r="C23" s="11" t="s">
        <v>20</v>
      </c>
      <c r="D23" s="12">
        <v>25</v>
      </c>
      <c r="E23" s="12">
        <v>20</v>
      </c>
      <c r="F23" s="196">
        <f>D23+E23</f>
        <v>45</v>
      </c>
      <c r="G23" s="196">
        <v>12.6</v>
      </c>
      <c r="H23" s="196">
        <f t="shared" si="0"/>
        <v>57.6</v>
      </c>
    </row>
    <row r="24" spans="1:8" ht="15" customHeight="1">
      <c r="A24" s="7" t="s">
        <v>30</v>
      </c>
      <c r="B24" s="199" t="s">
        <v>31</v>
      </c>
      <c r="C24" s="199"/>
      <c r="D24" s="14">
        <f>SUM(D25:D28)</f>
        <v>1536.54</v>
      </c>
      <c r="E24" s="14">
        <f>SUM(E25:E28)</f>
        <v>1356.95</v>
      </c>
      <c r="F24" s="197">
        <f>F26+F28+F27</f>
        <v>7144.874</v>
      </c>
      <c r="G24" s="197">
        <f>G26+G28+G27</f>
        <v>3140.831</v>
      </c>
      <c r="H24" s="197">
        <f>H26+H28+H27</f>
        <v>10285.705</v>
      </c>
    </row>
    <row r="25" spans="1:8" ht="15" customHeight="1" hidden="1">
      <c r="A25" s="10" t="s">
        <v>32</v>
      </c>
      <c r="B25" s="11" t="s">
        <v>9</v>
      </c>
      <c r="C25" s="11" t="s">
        <v>6</v>
      </c>
      <c r="D25" s="12"/>
      <c r="E25" s="12"/>
      <c r="F25" s="196">
        <f>D25+E25</f>
        <v>0</v>
      </c>
      <c r="G25" s="196"/>
      <c r="H25" s="196">
        <f t="shared" si="0"/>
        <v>0</v>
      </c>
    </row>
    <row r="26" spans="1:8" ht="15" customHeight="1">
      <c r="A26" s="10" t="s">
        <v>33</v>
      </c>
      <c r="B26" s="11" t="s">
        <v>9</v>
      </c>
      <c r="C26" s="11" t="s">
        <v>11</v>
      </c>
      <c r="D26" s="12">
        <v>160</v>
      </c>
      <c r="E26" s="12">
        <v>160</v>
      </c>
      <c r="F26" s="196">
        <v>420</v>
      </c>
      <c r="G26" s="196">
        <v>100</v>
      </c>
      <c r="H26" s="196">
        <f t="shared" si="0"/>
        <v>520</v>
      </c>
    </row>
    <row r="27" spans="1:8" ht="15" customHeight="1">
      <c r="A27" s="10" t="s">
        <v>464</v>
      </c>
      <c r="B27" s="11" t="s">
        <v>9</v>
      </c>
      <c r="C27" s="11" t="s">
        <v>28</v>
      </c>
      <c r="D27" s="12"/>
      <c r="E27" s="12"/>
      <c r="F27" s="196">
        <v>530</v>
      </c>
      <c r="G27" s="196">
        <v>4266.215</v>
      </c>
      <c r="H27" s="196">
        <f t="shared" si="0"/>
        <v>4796.215</v>
      </c>
    </row>
    <row r="28" spans="1:8" ht="15" customHeight="1">
      <c r="A28" s="10" t="s">
        <v>35</v>
      </c>
      <c r="B28" s="11" t="s">
        <v>9</v>
      </c>
      <c r="C28" s="11" t="s">
        <v>17</v>
      </c>
      <c r="D28" s="12">
        <v>1376.54</v>
      </c>
      <c r="E28" s="12">
        <v>1196.95</v>
      </c>
      <c r="F28" s="196">
        <v>6194.874</v>
      </c>
      <c r="G28" s="196">
        <v>-1225.384</v>
      </c>
      <c r="H28" s="196">
        <f t="shared" si="0"/>
        <v>4969.49</v>
      </c>
    </row>
    <row r="29" spans="1:8" ht="15" customHeight="1">
      <c r="A29" s="7" t="s">
        <v>36</v>
      </c>
      <c r="B29" s="199" t="s">
        <v>37</v>
      </c>
      <c r="C29" s="199"/>
      <c r="D29" s="14">
        <f>SUM(D30:D32)</f>
        <v>2350</v>
      </c>
      <c r="E29" s="14">
        <f>SUM(E30:E32)</f>
        <v>2737.6059999999998</v>
      </c>
      <c r="F29" s="197">
        <f>F31+F32</f>
        <v>8535.3344</v>
      </c>
      <c r="G29" s="197">
        <f>G31+G32</f>
        <v>4265.56</v>
      </c>
      <c r="H29" s="197">
        <f>H31+H32</f>
        <v>12800.8944</v>
      </c>
    </row>
    <row r="30" spans="1:8" ht="15" customHeight="1" hidden="1">
      <c r="A30" s="10" t="s">
        <v>38</v>
      </c>
      <c r="B30" s="11" t="s">
        <v>11</v>
      </c>
      <c r="C30" s="11" t="s">
        <v>6</v>
      </c>
      <c r="D30" s="12"/>
      <c r="E30" s="12"/>
      <c r="F30" s="196">
        <f>D30+E30</f>
        <v>0</v>
      </c>
      <c r="G30" s="196"/>
      <c r="H30" s="196">
        <f t="shared" si="0"/>
        <v>0</v>
      </c>
    </row>
    <row r="31" spans="1:8" ht="15" customHeight="1">
      <c r="A31" s="10" t="s">
        <v>39</v>
      </c>
      <c r="B31" s="11" t="s">
        <v>11</v>
      </c>
      <c r="C31" s="11" t="s">
        <v>7</v>
      </c>
      <c r="D31" s="12">
        <v>2350</v>
      </c>
      <c r="E31" s="12">
        <f>2137.616-0.01</f>
        <v>2137.6059999999998</v>
      </c>
      <c r="F31" s="196">
        <v>7555.2744</v>
      </c>
      <c r="G31" s="196">
        <v>4165.56</v>
      </c>
      <c r="H31" s="196">
        <f t="shared" si="0"/>
        <v>11720.8344</v>
      </c>
    </row>
    <row r="32" spans="1:8" ht="15" customHeight="1">
      <c r="A32" s="10" t="s">
        <v>40</v>
      </c>
      <c r="B32" s="11" t="s">
        <v>11</v>
      </c>
      <c r="C32" s="11" t="s">
        <v>8</v>
      </c>
      <c r="D32" s="12"/>
      <c r="E32" s="12">
        <v>600</v>
      </c>
      <c r="F32" s="196">
        <v>980.06</v>
      </c>
      <c r="G32" s="196">
        <v>100</v>
      </c>
      <c r="H32" s="196">
        <f t="shared" si="0"/>
        <v>1080.06</v>
      </c>
    </row>
    <row r="33" spans="1:8" s="163" customFormat="1" ht="15" customHeight="1">
      <c r="A33" s="7" t="s">
        <v>555</v>
      </c>
      <c r="B33" s="199" t="s">
        <v>559</v>
      </c>
      <c r="C33" s="199"/>
      <c r="D33" s="13"/>
      <c r="E33" s="13"/>
      <c r="F33" s="197">
        <f>F34</f>
        <v>100</v>
      </c>
      <c r="G33" s="197">
        <f>G34</f>
        <v>-100</v>
      </c>
      <c r="H33" s="197">
        <f>H34</f>
        <v>0</v>
      </c>
    </row>
    <row r="34" spans="1:8" ht="27" customHeight="1">
      <c r="A34" s="164" t="s">
        <v>556</v>
      </c>
      <c r="B34" s="11" t="s">
        <v>12</v>
      </c>
      <c r="C34" s="11" t="s">
        <v>8</v>
      </c>
      <c r="D34" s="12"/>
      <c r="E34" s="12"/>
      <c r="F34" s="196">
        <v>100</v>
      </c>
      <c r="G34" s="196">
        <v>-100</v>
      </c>
      <c r="H34" s="196">
        <f>F34+G34</f>
        <v>0</v>
      </c>
    </row>
    <row r="35" spans="1:8" ht="15" customHeight="1">
      <c r="A35" s="7" t="s">
        <v>41</v>
      </c>
      <c r="B35" s="199" t="s">
        <v>42</v>
      </c>
      <c r="C35" s="199"/>
      <c r="D35" s="14">
        <f>SUM(D36:D40)</f>
        <v>196132.44</v>
      </c>
      <c r="E35" s="14">
        <f>SUM(E36:E40)</f>
        <v>23192.644000000004</v>
      </c>
      <c r="F35" s="197">
        <f>SUM(F36:F40)</f>
        <v>241859.19</v>
      </c>
      <c r="G35" s="195">
        <f>SUM(G36:G40)</f>
        <v>42762.39000000001</v>
      </c>
      <c r="H35" s="197">
        <f>SUM(H36:H40)</f>
        <v>284621.57999999996</v>
      </c>
    </row>
    <row r="36" spans="1:8" ht="15" customHeight="1">
      <c r="A36" s="10" t="s">
        <v>43</v>
      </c>
      <c r="B36" s="11" t="s">
        <v>14</v>
      </c>
      <c r="C36" s="11" t="s">
        <v>6</v>
      </c>
      <c r="D36" s="12">
        <v>2564.73</v>
      </c>
      <c r="E36" s="12">
        <v>-2564.73</v>
      </c>
      <c r="F36" s="196">
        <v>3271.804</v>
      </c>
      <c r="G36" s="196">
        <v>15550.516</v>
      </c>
      <c r="H36" s="196">
        <f>F36+G36</f>
        <v>18822.32</v>
      </c>
    </row>
    <row r="37" spans="1:8" ht="15" customHeight="1">
      <c r="A37" s="10" t="s">
        <v>44</v>
      </c>
      <c r="B37" s="11" t="s">
        <v>14</v>
      </c>
      <c r="C37" s="11" t="s">
        <v>7</v>
      </c>
      <c r="D37" s="12">
        <v>187323</v>
      </c>
      <c r="E37" s="12">
        <f>19403.544+0.01</f>
        <v>19403.554</v>
      </c>
      <c r="F37" s="196">
        <v>226204.169</v>
      </c>
      <c r="G37" s="196">
        <v>26145.307</v>
      </c>
      <c r="H37" s="196">
        <f>F37+G37</f>
        <v>252349.476</v>
      </c>
    </row>
    <row r="38" spans="1:8" ht="15" customHeight="1">
      <c r="A38" s="10" t="s">
        <v>45</v>
      </c>
      <c r="B38" s="11" t="s">
        <v>14</v>
      </c>
      <c r="C38" s="11" t="s">
        <v>11</v>
      </c>
      <c r="D38" s="12">
        <v>131.5</v>
      </c>
      <c r="E38" s="12">
        <v>671.7</v>
      </c>
      <c r="F38" s="196">
        <v>1003.2</v>
      </c>
      <c r="G38" s="196">
        <v>1313.627</v>
      </c>
      <c r="H38" s="196">
        <f>F38+G38</f>
        <v>2316.827</v>
      </c>
    </row>
    <row r="39" spans="1:8" ht="15" customHeight="1">
      <c r="A39" s="10" t="s">
        <v>46</v>
      </c>
      <c r="B39" s="11" t="s">
        <v>14</v>
      </c>
      <c r="C39" s="11" t="s">
        <v>14</v>
      </c>
      <c r="D39" s="12">
        <v>408.8</v>
      </c>
      <c r="E39" s="12">
        <v>1749.47</v>
      </c>
      <c r="F39" s="196">
        <v>2408.27</v>
      </c>
      <c r="G39" s="196">
        <v>64.68</v>
      </c>
      <c r="H39" s="196">
        <f>F39+G39</f>
        <v>2472.95</v>
      </c>
    </row>
    <row r="40" spans="1:8" ht="15" customHeight="1">
      <c r="A40" s="10" t="s">
        <v>47</v>
      </c>
      <c r="B40" s="11" t="s">
        <v>14</v>
      </c>
      <c r="C40" s="11" t="s">
        <v>28</v>
      </c>
      <c r="D40" s="12">
        <v>5704.41</v>
      </c>
      <c r="E40" s="12">
        <v>3932.65</v>
      </c>
      <c r="F40" s="196">
        <v>8971.747</v>
      </c>
      <c r="G40" s="196">
        <v>-311.74</v>
      </c>
      <c r="H40" s="196">
        <f>F40+G40</f>
        <v>8660.007</v>
      </c>
    </row>
    <row r="41" spans="1:8" ht="15" customHeight="1">
      <c r="A41" s="7" t="s">
        <v>48</v>
      </c>
      <c r="B41" s="199" t="s">
        <v>49</v>
      </c>
      <c r="C41" s="199"/>
      <c r="D41" s="14">
        <f>SUM(D42:D43)</f>
        <v>8517.099999999999</v>
      </c>
      <c r="E41" s="14">
        <f>SUM(E42:E43)</f>
        <v>509.8234</v>
      </c>
      <c r="F41" s="197">
        <f>F42++F43</f>
        <v>15154.69255</v>
      </c>
      <c r="G41" s="197">
        <f>G42++G43</f>
        <v>1856.94</v>
      </c>
      <c r="H41" s="197">
        <f>H42++H43</f>
        <v>17011.63255</v>
      </c>
    </row>
    <row r="42" spans="1:8" ht="15" customHeight="1">
      <c r="A42" s="10" t="s">
        <v>50</v>
      </c>
      <c r="B42" s="11" t="s">
        <v>34</v>
      </c>
      <c r="C42" s="11" t="s">
        <v>6</v>
      </c>
      <c r="D42" s="12">
        <v>6067.61</v>
      </c>
      <c r="E42" s="12">
        <v>-271.38</v>
      </c>
      <c r="F42" s="196">
        <v>11923.99915</v>
      </c>
      <c r="G42" s="196">
        <v>2017.26332</v>
      </c>
      <c r="H42" s="196">
        <f aca="true" t="shared" si="1" ref="H42:H64">F42+G42</f>
        <v>13941.26247</v>
      </c>
    </row>
    <row r="43" spans="1:8" ht="15" customHeight="1">
      <c r="A43" s="10" t="s">
        <v>52</v>
      </c>
      <c r="B43" s="11" t="s">
        <v>34</v>
      </c>
      <c r="C43" s="11" t="s">
        <v>9</v>
      </c>
      <c r="D43" s="12">
        <v>2449.49</v>
      </c>
      <c r="E43" s="12">
        <v>781.2034</v>
      </c>
      <c r="F43" s="196">
        <f aca="true" t="shared" si="2" ref="F43:F48">D43+E43</f>
        <v>3230.6933999999997</v>
      </c>
      <c r="G43" s="196">
        <v>-160.32332</v>
      </c>
      <c r="H43" s="196">
        <f t="shared" si="1"/>
        <v>3070.3700799999997</v>
      </c>
    </row>
    <row r="44" spans="1:8" ht="15" customHeight="1">
      <c r="A44" s="7" t="s">
        <v>53</v>
      </c>
      <c r="B44" s="199" t="s">
        <v>54</v>
      </c>
      <c r="C44" s="199"/>
      <c r="D44" s="14">
        <f>SUM(D45:D48)</f>
        <v>0</v>
      </c>
      <c r="E44" s="14">
        <f>SUM(E45:E48)</f>
        <v>500</v>
      </c>
      <c r="F44" s="197">
        <f t="shared" si="2"/>
        <v>500</v>
      </c>
      <c r="G44" s="195">
        <f>SUM(G45:G48)</f>
        <v>0</v>
      </c>
      <c r="H44" s="197">
        <f t="shared" si="1"/>
        <v>500</v>
      </c>
    </row>
    <row r="45" spans="1:8" ht="15" customHeight="1" hidden="1">
      <c r="A45" s="10" t="s">
        <v>55</v>
      </c>
      <c r="B45" s="11" t="s">
        <v>28</v>
      </c>
      <c r="C45" s="11" t="s">
        <v>6</v>
      </c>
      <c r="D45" s="12"/>
      <c r="E45" s="12"/>
      <c r="F45" s="196">
        <f t="shared" si="2"/>
        <v>0</v>
      </c>
      <c r="G45" s="196"/>
      <c r="H45" s="196">
        <f t="shared" si="1"/>
        <v>0</v>
      </c>
    </row>
    <row r="46" spans="1:8" ht="15" customHeight="1" hidden="1">
      <c r="A46" s="10" t="s">
        <v>56</v>
      </c>
      <c r="B46" s="11" t="s">
        <v>28</v>
      </c>
      <c r="C46" s="11" t="s">
        <v>7</v>
      </c>
      <c r="D46" s="12"/>
      <c r="E46" s="12"/>
      <c r="F46" s="196">
        <f t="shared" si="2"/>
        <v>0</v>
      </c>
      <c r="G46" s="196"/>
      <c r="H46" s="196">
        <f t="shared" si="1"/>
        <v>0</v>
      </c>
    </row>
    <row r="47" spans="1:8" ht="15" customHeight="1" hidden="1">
      <c r="A47" s="10" t="s">
        <v>57</v>
      </c>
      <c r="B47" s="11" t="s">
        <v>28</v>
      </c>
      <c r="C47" s="11" t="s">
        <v>9</v>
      </c>
      <c r="D47" s="12"/>
      <c r="E47" s="12"/>
      <c r="F47" s="196">
        <f t="shared" si="2"/>
        <v>0</v>
      </c>
      <c r="G47" s="196"/>
      <c r="H47" s="196">
        <f t="shared" si="1"/>
        <v>0</v>
      </c>
    </row>
    <row r="48" spans="1:8" ht="15" customHeight="1">
      <c r="A48" s="10" t="s">
        <v>59</v>
      </c>
      <c r="B48" s="11" t="s">
        <v>28</v>
      </c>
      <c r="C48" s="11" t="s">
        <v>28</v>
      </c>
      <c r="D48" s="12"/>
      <c r="E48" s="12">
        <v>500</v>
      </c>
      <c r="F48" s="196">
        <f t="shared" si="2"/>
        <v>500</v>
      </c>
      <c r="G48" s="196"/>
      <c r="H48" s="196">
        <f t="shared" si="1"/>
        <v>500</v>
      </c>
    </row>
    <row r="49" spans="1:8" ht="15" customHeight="1">
      <c r="A49" s="7" t="s">
        <v>62</v>
      </c>
      <c r="B49" s="199" t="s">
        <v>63</v>
      </c>
      <c r="C49" s="199"/>
      <c r="D49" s="14">
        <f>SUM(D50:D54)</f>
        <v>19266.269999999997</v>
      </c>
      <c r="E49" s="14">
        <f>SUM(E50:E54)</f>
        <v>6470.23</v>
      </c>
      <c r="F49" s="197">
        <f>SUM(F50:F54)</f>
        <v>26760.617</v>
      </c>
      <c r="G49" s="195">
        <f>SUM(G50:G54)</f>
        <v>-11888.503999999999</v>
      </c>
      <c r="H49" s="197">
        <f t="shared" si="1"/>
        <v>14872.113</v>
      </c>
    </row>
    <row r="50" spans="1:8" ht="15" customHeight="1">
      <c r="A50" s="10" t="s">
        <v>64</v>
      </c>
      <c r="B50" s="11" t="s">
        <v>61</v>
      </c>
      <c r="C50" s="11" t="s">
        <v>6</v>
      </c>
      <c r="D50" s="12">
        <v>45</v>
      </c>
      <c r="E50" s="12">
        <v>78</v>
      </c>
      <c r="F50" s="196">
        <f>D50+E50</f>
        <v>123</v>
      </c>
      <c r="G50" s="196"/>
      <c r="H50" s="196">
        <f t="shared" si="1"/>
        <v>123</v>
      </c>
    </row>
    <row r="51" spans="1:8" ht="15" customHeight="1">
      <c r="A51" s="10" t="s">
        <v>65</v>
      </c>
      <c r="B51" s="11" t="s">
        <v>61</v>
      </c>
      <c r="C51" s="11" t="s">
        <v>7</v>
      </c>
      <c r="D51" s="12">
        <v>363.57</v>
      </c>
      <c r="E51" s="12">
        <v>-363.57</v>
      </c>
      <c r="F51" s="196">
        <f>D51+E51</f>
        <v>0</v>
      </c>
      <c r="G51" s="196"/>
      <c r="H51" s="196">
        <f t="shared" si="1"/>
        <v>0</v>
      </c>
    </row>
    <row r="52" spans="1:8" ht="15" customHeight="1">
      <c r="A52" s="10" t="s">
        <v>66</v>
      </c>
      <c r="B52" s="11" t="s">
        <v>61</v>
      </c>
      <c r="C52" s="11" t="s">
        <v>8</v>
      </c>
      <c r="D52" s="12">
        <v>1066</v>
      </c>
      <c r="E52" s="12">
        <v>2246.5</v>
      </c>
      <c r="F52" s="196">
        <v>4336.617</v>
      </c>
      <c r="G52" s="196">
        <v>194.144</v>
      </c>
      <c r="H52" s="196">
        <f t="shared" si="1"/>
        <v>4530.761</v>
      </c>
    </row>
    <row r="53" spans="1:8" ht="15" customHeight="1">
      <c r="A53" s="10" t="s">
        <v>67</v>
      </c>
      <c r="B53" s="11" t="s">
        <v>61</v>
      </c>
      <c r="C53" s="11" t="s">
        <v>9</v>
      </c>
      <c r="D53" s="12">
        <v>17598.1</v>
      </c>
      <c r="E53" s="12">
        <v>4482.9</v>
      </c>
      <c r="F53" s="196">
        <f>D53+E53</f>
        <v>22081</v>
      </c>
      <c r="G53" s="196">
        <v>-12112.648</v>
      </c>
      <c r="H53" s="196">
        <f t="shared" si="1"/>
        <v>9968.352</v>
      </c>
    </row>
    <row r="54" spans="1:8" ht="15" customHeight="1">
      <c r="A54" s="10" t="s">
        <v>68</v>
      </c>
      <c r="B54" s="11" t="s">
        <v>61</v>
      </c>
      <c r="C54" s="11" t="s">
        <v>12</v>
      </c>
      <c r="D54" s="12">
        <v>193.6</v>
      </c>
      <c r="E54" s="12">
        <v>26.4</v>
      </c>
      <c r="F54" s="196">
        <f>D54+E54</f>
        <v>220</v>
      </c>
      <c r="G54" s="196">
        <v>30</v>
      </c>
      <c r="H54" s="196">
        <f t="shared" si="1"/>
        <v>250</v>
      </c>
    </row>
    <row r="55" spans="1:8" ht="15" customHeight="1">
      <c r="A55" s="7" t="s">
        <v>58</v>
      </c>
      <c r="B55" s="199" t="s">
        <v>69</v>
      </c>
      <c r="C55" s="199"/>
      <c r="D55" s="13">
        <f>D56</f>
        <v>1287.58</v>
      </c>
      <c r="E55" s="13">
        <f>E56</f>
        <v>582.42</v>
      </c>
      <c r="F55" s="197">
        <f>F56</f>
        <v>3483</v>
      </c>
      <c r="G55" s="197">
        <f>G56</f>
        <v>-420.74</v>
      </c>
      <c r="H55" s="197">
        <f t="shared" si="1"/>
        <v>3062.26</v>
      </c>
    </row>
    <row r="56" spans="1:8" ht="15" customHeight="1">
      <c r="A56" s="10" t="s">
        <v>70</v>
      </c>
      <c r="B56" s="11" t="s">
        <v>16</v>
      </c>
      <c r="C56" s="11" t="s">
        <v>6</v>
      </c>
      <c r="D56" s="12">
        <v>1287.58</v>
      </c>
      <c r="E56" s="12">
        <v>582.42</v>
      </c>
      <c r="F56" s="196">
        <v>3483</v>
      </c>
      <c r="G56" s="196">
        <v>-420.74</v>
      </c>
      <c r="H56" s="196">
        <f t="shared" si="1"/>
        <v>3062.26</v>
      </c>
    </row>
    <row r="57" spans="1:8" ht="15" customHeight="1">
      <c r="A57" s="7" t="s">
        <v>71</v>
      </c>
      <c r="B57" s="199" t="s">
        <v>72</v>
      </c>
      <c r="C57" s="199"/>
      <c r="D57" s="13">
        <f>D58</f>
        <v>903.6</v>
      </c>
      <c r="E57" s="13">
        <f>E58</f>
        <v>230.42</v>
      </c>
      <c r="F57" s="197">
        <f>F58</f>
        <v>1202.02</v>
      </c>
      <c r="G57" s="197">
        <f>G58</f>
        <v>0</v>
      </c>
      <c r="H57" s="197">
        <f>H58</f>
        <v>1202.02</v>
      </c>
    </row>
    <row r="58" spans="1:8" ht="15" customHeight="1">
      <c r="A58" s="10" t="s">
        <v>51</v>
      </c>
      <c r="B58" s="11" t="s">
        <v>17</v>
      </c>
      <c r="C58" s="11" t="s">
        <v>7</v>
      </c>
      <c r="D58" s="12">
        <v>903.6</v>
      </c>
      <c r="E58" s="12">
        <v>230.42</v>
      </c>
      <c r="F58" s="196">
        <v>1202.02</v>
      </c>
      <c r="G58" s="196"/>
      <c r="H58" s="196">
        <f t="shared" si="1"/>
        <v>1202.02</v>
      </c>
    </row>
    <row r="59" spans="1:8" ht="15" customHeight="1">
      <c r="A59" s="7" t="s">
        <v>73</v>
      </c>
      <c r="B59" s="199" t="s">
        <v>74</v>
      </c>
      <c r="C59" s="199"/>
      <c r="D59" s="13">
        <f>D60</f>
        <v>45.04</v>
      </c>
      <c r="E59" s="13">
        <f>E60</f>
        <v>154.96</v>
      </c>
      <c r="F59" s="197">
        <f>D59+E59</f>
        <v>200</v>
      </c>
      <c r="G59" s="197">
        <f>G60</f>
        <v>0</v>
      </c>
      <c r="H59" s="197">
        <f t="shared" si="1"/>
        <v>200</v>
      </c>
    </row>
    <row r="60" spans="1:8" ht="24.75" customHeight="1">
      <c r="A60" s="10" t="s">
        <v>75</v>
      </c>
      <c r="B60" s="11" t="s">
        <v>18</v>
      </c>
      <c r="C60" s="11" t="s">
        <v>6</v>
      </c>
      <c r="D60" s="12">
        <v>45.04</v>
      </c>
      <c r="E60" s="12">
        <v>154.96</v>
      </c>
      <c r="F60" s="196">
        <f>D60+E60</f>
        <v>200</v>
      </c>
      <c r="G60" s="196"/>
      <c r="H60" s="196">
        <f t="shared" si="1"/>
        <v>200</v>
      </c>
    </row>
    <row r="61" spans="1:8" ht="23.25" customHeight="1">
      <c r="A61" s="7" t="s">
        <v>76</v>
      </c>
      <c r="B61" s="199" t="s">
        <v>77</v>
      </c>
      <c r="C61" s="199"/>
      <c r="D61" s="13">
        <f>D62+D63</f>
        <v>29125.9</v>
      </c>
      <c r="E61" s="13">
        <f>E62+E63</f>
        <v>5772.5</v>
      </c>
      <c r="F61" s="197">
        <f>F62+F63</f>
        <v>35671.08</v>
      </c>
      <c r="G61" s="197">
        <f>G62+G63</f>
        <v>0</v>
      </c>
      <c r="H61" s="197">
        <f>H62+H63</f>
        <v>35671.08</v>
      </c>
    </row>
    <row r="62" spans="1:8" ht="23.25" customHeight="1">
      <c r="A62" s="10" t="s">
        <v>78</v>
      </c>
      <c r="B62" s="11" t="s">
        <v>20</v>
      </c>
      <c r="C62" s="11" t="s">
        <v>6</v>
      </c>
      <c r="D62" s="12">
        <v>29125.9</v>
      </c>
      <c r="E62" s="12">
        <v>5772.5</v>
      </c>
      <c r="F62" s="196">
        <f>D62+E62</f>
        <v>34898.4</v>
      </c>
      <c r="G62" s="196"/>
      <c r="H62" s="196">
        <f t="shared" si="1"/>
        <v>34898.4</v>
      </c>
    </row>
    <row r="63" spans="1:8" ht="26.25" customHeight="1">
      <c r="A63" s="10" t="s">
        <v>79</v>
      </c>
      <c r="B63" s="11" t="s">
        <v>20</v>
      </c>
      <c r="C63" s="11" t="s">
        <v>8</v>
      </c>
      <c r="D63" s="12"/>
      <c r="E63" s="12"/>
      <c r="F63" s="196">
        <v>772.68</v>
      </c>
      <c r="G63" s="196"/>
      <c r="H63" s="196">
        <f t="shared" si="1"/>
        <v>772.68</v>
      </c>
    </row>
    <row r="64" spans="1:8" ht="17.25" customHeight="1">
      <c r="A64" s="10" t="s">
        <v>505</v>
      </c>
      <c r="B64" s="11" t="s">
        <v>493</v>
      </c>
      <c r="C64" s="11" t="s">
        <v>493</v>
      </c>
      <c r="D64" s="12">
        <v>7294.84</v>
      </c>
      <c r="E64" s="12">
        <v>-7294.84</v>
      </c>
      <c r="F64" s="196">
        <f>D64+E64</f>
        <v>0</v>
      </c>
      <c r="G64" s="196"/>
      <c r="H64" s="196">
        <f t="shared" si="1"/>
        <v>0</v>
      </c>
    </row>
    <row r="65" spans="1:8" ht="12.75">
      <c r="A65" s="7" t="s">
        <v>80</v>
      </c>
      <c r="B65" s="8"/>
      <c r="C65" s="8"/>
      <c r="D65" s="14">
        <f>D9+D18+D20+D24+D29+D35+D41+D44+D49+D55+D57+D59+D61+D64</f>
        <v>291793.60000000003</v>
      </c>
      <c r="E65" s="14">
        <f>E9+E18+E20+E24+E29+E35+E41+E44+E49+E55+E57+E59+E61+E64</f>
        <v>37368.399999999994</v>
      </c>
      <c r="F65" s="195">
        <f>F9+F18+F20+F24+F29+F35+F41+F44+F49+F55+F57+F59+F61+F64+F33</f>
        <v>370400.18455000006</v>
      </c>
      <c r="G65" s="195">
        <f>G9+G18+G20+G24+G29+G35+G41+G44+G49+G55+G57+G59+G61+G64+G33</f>
        <v>40248.61700000001</v>
      </c>
      <c r="H65" s="195">
        <f>H9+H18+H20+H24+H29+H35+H41+H44+H49+H55+H57+H59+H61+H64+H33</f>
        <v>410648.80155</v>
      </c>
    </row>
    <row r="66" spans="4:5" ht="12.75">
      <c r="D66" s="15"/>
      <c r="E66" s="15"/>
    </row>
    <row r="67" spans="4:5" ht="12.75">
      <c r="D67" s="15"/>
      <c r="E67" s="15"/>
    </row>
  </sheetData>
  <sheetProtection/>
  <mergeCells count="18">
    <mergeCell ref="B44:C44"/>
    <mergeCell ref="B9:C9"/>
    <mergeCell ref="B18:C18"/>
    <mergeCell ref="F3:H3"/>
    <mergeCell ref="F2:H2"/>
    <mergeCell ref="A6:H6"/>
    <mergeCell ref="A5:H5"/>
    <mergeCell ref="B33:C33"/>
    <mergeCell ref="B49:C49"/>
    <mergeCell ref="B55:C55"/>
    <mergeCell ref="B57:C57"/>
    <mergeCell ref="B59:C59"/>
    <mergeCell ref="B61:C61"/>
    <mergeCell ref="B20:C20"/>
    <mergeCell ref="B24:C24"/>
    <mergeCell ref="B29:C29"/>
    <mergeCell ref="B35:C35"/>
    <mergeCell ref="B41:C41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9"/>
  <sheetViews>
    <sheetView tabSelected="1" view="pageBreakPreview" zoomScaleSheetLayoutView="100" zoomScalePageLayoutView="0" workbookViewId="0" topLeftCell="A622">
      <selection activeCell="J644" sqref="J644"/>
    </sheetView>
  </sheetViews>
  <sheetFormatPr defaultColWidth="9.140625" defaultRowHeight="12.75"/>
  <cols>
    <col min="1" max="1" width="37.00390625" style="38" customWidth="1"/>
    <col min="2" max="2" width="5.57421875" style="38" customWidth="1"/>
    <col min="3" max="3" width="4.7109375" style="38" customWidth="1"/>
    <col min="4" max="4" width="5.140625" style="38" customWidth="1"/>
    <col min="5" max="5" width="8.140625" style="38" customWidth="1"/>
    <col min="6" max="6" width="5.8515625" style="38" customWidth="1"/>
    <col min="7" max="7" width="0.13671875" style="16" customWidth="1"/>
    <col min="8" max="9" width="12.140625" style="64" hidden="1" customWidth="1"/>
    <col min="10" max="10" width="16.28125" style="171" customWidth="1"/>
    <col min="11" max="11" width="12.421875" style="171" customWidth="1"/>
    <col min="12" max="12" width="12.8515625" style="171" customWidth="1"/>
    <col min="13" max="16384" width="9.140625" style="16" customWidth="1"/>
  </cols>
  <sheetData>
    <row r="1" spans="2:12" ht="15" customHeight="1">
      <c r="B1" s="91"/>
      <c r="C1" s="91"/>
      <c r="D1" s="91"/>
      <c r="E1" s="92"/>
      <c r="G1" s="88"/>
      <c r="H1" s="88"/>
      <c r="I1" s="88"/>
      <c r="J1" s="213" t="s">
        <v>581</v>
      </c>
      <c r="K1" s="214"/>
      <c r="L1" s="214"/>
    </row>
    <row r="2" spans="2:12" ht="44.25" customHeight="1">
      <c r="B2" s="91"/>
      <c r="C2" s="91"/>
      <c r="D2" s="91"/>
      <c r="E2" s="93"/>
      <c r="G2" s="89"/>
      <c r="H2" s="89"/>
      <c r="I2" s="89"/>
      <c r="J2" s="200" t="s">
        <v>580</v>
      </c>
      <c r="K2" s="201"/>
      <c r="L2" s="201"/>
    </row>
    <row r="3" spans="1:12" ht="32.25" customHeight="1">
      <c r="A3" s="211" t="s">
        <v>550</v>
      </c>
      <c r="B3" s="212"/>
      <c r="C3" s="212"/>
      <c r="D3" s="212"/>
      <c r="E3" s="212"/>
      <c r="F3" s="212"/>
      <c r="G3" s="212"/>
      <c r="H3" s="212"/>
      <c r="I3" s="212"/>
      <c r="J3" s="212"/>
      <c r="K3" s="206"/>
      <c r="L3" s="206"/>
    </row>
    <row r="4" ht="15" customHeight="1">
      <c r="L4" s="171" t="s">
        <v>502</v>
      </c>
    </row>
    <row r="5" spans="1:12" ht="12.75" customHeight="1">
      <c r="A5" s="215" t="s">
        <v>81</v>
      </c>
      <c r="B5" s="215" t="s">
        <v>82</v>
      </c>
      <c r="C5" s="215"/>
      <c r="D5" s="215"/>
      <c r="E5" s="215"/>
      <c r="F5" s="215"/>
      <c r="G5" s="218" t="s">
        <v>83</v>
      </c>
      <c r="H5" s="219" t="s">
        <v>488</v>
      </c>
      <c r="I5" s="221" t="s">
        <v>503</v>
      </c>
      <c r="J5" s="216" t="s">
        <v>488</v>
      </c>
      <c r="K5" s="216" t="s">
        <v>83</v>
      </c>
      <c r="L5" s="216" t="s">
        <v>525</v>
      </c>
    </row>
    <row r="6" spans="1:12" ht="16.5" customHeight="1">
      <c r="A6" s="215"/>
      <c r="B6" s="215" t="s">
        <v>501</v>
      </c>
      <c r="C6" s="215"/>
      <c r="D6" s="215"/>
      <c r="E6" s="215"/>
      <c r="F6" s="215"/>
      <c r="G6" s="218"/>
      <c r="H6" s="220"/>
      <c r="I6" s="222"/>
      <c r="J6" s="223"/>
      <c r="K6" s="217"/>
      <c r="L6" s="216"/>
    </row>
    <row r="7" spans="1:12" ht="20.25" customHeight="1">
      <c r="A7" s="215"/>
      <c r="B7" s="159" t="s">
        <v>498</v>
      </c>
      <c r="C7" s="159" t="s">
        <v>84</v>
      </c>
      <c r="D7" s="159" t="s">
        <v>85</v>
      </c>
      <c r="E7" s="159" t="s">
        <v>499</v>
      </c>
      <c r="F7" s="159" t="s">
        <v>500</v>
      </c>
      <c r="G7" s="218"/>
      <c r="H7" s="220"/>
      <c r="I7" s="222"/>
      <c r="J7" s="223"/>
      <c r="K7" s="217"/>
      <c r="L7" s="216"/>
    </row>
    <row r="8" spans="1:12" s="55" customFormat="1" ht="10.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/>
      <c r="H8" s="161">
        <v>6</v>
      </c>
      <c r="I8" s="162">
        <v>7</v>
      </c>
      <c r="J8" s="185">
        <v>7</v>
      </c>
      <c r="K8" s="186">
        <v>8</v>
      </c>
      <c r="L8" s="185">
        <v>9</v>
      </c>
    </row>
    <row r="9" spans="1:12" ht="43.5" customHeight="1" hidden="1">
      <c r="A9" s="123" t="s">
        <v>60</v>
      </c>
      <c r="B9" s="94" t="s">
        <v>86</v>
      </c>
      <c r="C9" s="94" t="s">
        <v>28</v>
      </c>
      <c r="D9" s="94" t="s">
        <v>61</v>
      </c>
      <c r="E9" s="94"/>
      <c r="F9" s="94"/>
      <c r="G9" s="17">
        <f aca="true" t="shared" si="0" ref="G9:L11">G10</f>
        <v>0</v>
      </c>
      <c r="H9" s="66">
        <v>0</v>
      </c>
      <c r="I9" s="66">
        <f>I10+I13+I15+I17+I19+I21</f>
        <v>0</v>
      </c>
      <c r="J9" s="56">
        <f>J10+J13+J15+J17+J19+J21</f>
        <v>0</v>
      </c>
      <c r="K9" s="56">
        <f>K10+K13+K15+K17+K19+K21</f>
        <v>0</v>
      </c>
      <c r="L9" s="56">
        <f>L10+L13+L15+L17+L19+L21</f>
        <v>0</v>
      </c>
    </row>
    <row r="10" spans="1:12" ht="45" customHeight="1" hidden="1">
      <c r="A10" s="124" t="s">
        <v>103</v>
      </c>
      <c r="B10" s="95" t="s">
        <v>86</v>
      </c>
      <c r="C10" s="95" t="s">
        <v>28</v>
      </c>
      <c r="D10" s="95" t="s">
        <v>61</v>
      </c>
      <c r="E10" s="95" t="s">
        <v>104</v>
      </c>
      <c r="F10" s="95"/>
      <c r="G10" s="22">
        <f t="shared" si="0"/>
        <v>0</v>
      </c>
      <c r="H10" s="69">
        <v>0</v>
      </c>
      <c r="I10" s="69">
        <f t="shared" si="0"/>
        <v>0</v>
      </c>
      <c r="J10" s="172">
        <f t="shared" si="0"/>
        <v>0</v>
      </c>
      <c r="K10" s="172">
        <f t="shared" si="0"/>
        <v>0</v>
      </c>
      <c r="L10" s="172">
        <f t="shared" si="0"/>
        <v>0</v>
      </c>
    </row>
    <row r="11" spans="1:12" ht="30" customHeight="1" hidden="1">
      <c r="A11" s="124" t="s">
        <v>98</v>
      </c>
      <c r="B11" s="95" t="s">
        <v>86</v>
      </c>
      <c r="C11" s="95" t="s">
        <v>28</v>
      </c>
      <c r="D11" s="95" t="s">
        <v>61</v>
      </c>
      <c r="E11" s="95" t="s">
        <v>105</v>
      </c>
      <c r="F11" s="95"/>
      <c r="G11" s="22">
        <f t="shared" si="0"/>
        <v>0</v>
      </c>
      <c r="H11" s="69">
        <v>0</v>
      </c>
      <c r="I11" s="69">
        <f t="shared" si="0"/>
        <v>0</v>
      </c>
      <c r="J11" s="172">
        <f t="shared" si="0"/>
        <v>0</v>
      </c>
      <c r="K11" s="172">
        <f t="shared" si="0"/>
        <v>0</v>
      </c>
      <c r="L11" s="172">
        <f t="shared" si="0"/>
        <v>0</v>
      </c>
    </row>
    <row r="12" spans="1:12" ht="30.75" customHeight="1" hidden="1">
      <c r="A12" s="124" t="s">
        <v>100</v>
      </c>
      <c r="B12" s="95" t="s">
        <v>86</v>
      </c>
      <c r="C12" s="95" t="s">
        <v>28</v>
      </c>
      <c r="D12" s="95" t="s">
        <v>61</v>
      </c>
      <c r="E12" s="95" t="s">
        <v>105</v>
      </c>
      <c r="F12" s="95" t="s">
        <v>97</v>
      </c>
      <c r="G12" s="22"/>
      <c r="H12" s="69">
        <v>0</v>
      </c>
      <c r="I12" s="69"/>
      <c r="J12" s="172">
        <f>H12+I12</f>
        <v>0</v>
      </c>
      <c r="K12" s="172"/>
      <c r="L12" s="172">
        <f>J12+K12</f>
        <v>0</v>
      </c>
    </row>
    <row r="13" spans="1:12" ht="60.75" customHeight="1" hidden="1">
      <c r="A13" s="124" t="s">
        <v>106</v>
      </c>
      <c r="B13" s="96" t="s">
        <v>86</v>
      </c>
      <c r="C13" s="97" t="s">
        <v>28</v>
      </c>
      <c r="D13" s="97" t="s">
        <v>61</v>
      </c>
      <c r="E13" s="98">
        <v>7952014</v>
      </c>
      <c r="F13" s="97"/>
      <c r="G13" s="23"/>
      <c r="H13" s="69">
        <f>H14</f>
        <v>0</v>
      </c>
      <c r="I13" s="69">
        <f>I14</f>
        <v>0</v>
      </c>
      <c r="J13" s="172">
        <f>J14</f>
        <v>0</v>
      </c>
      <c r="K13" s="172">
        <f>K14</f>
        <v>0</v>
      </c>
      <c r="L13" s="172">
        <f>L14</f>
        <v>0</v>
      </c>
    </row>
    <row r="14" spans="1:12" ht="30" customHeight="1" hidden="1" thickBot="1">
      <c r="A14" s="124" t="s">
        <v>94</v>
      </c>
      <c r="B14" s="97" t="s">
        <v>86</v>
      </c>
      <c r="C14" s="97" t="s">
        <v>28</v>
      </c>
      <c r="D14" s="97" t="s">
        <v>61</v>
      </c>
      <c r="E14" s="98">
        <v>7952014</v>
      </c>
      <c r="F14" s="97" t="s">
        <v>93</v>
      </c>
      <c r="G14" s="22"/>
      <c r="H14" s="69"/>
      <c r="I14" s="69"/>
      <c r="J14" s="172">
        <f>H14+I14</f>
        <v>0</v>
      </c>
      <c r="K14" s="172"/>
      <c r="L14" s="172">
        <f>J14+K14</f>
        <v>0</v>
      </c>
    </row>
    <row r="15" spans="1:12" ht="57.75" customHeight="1" hidden="1" thickBot="1">
      <c r="A15" s="124" t="s">
        <v>107</v>
      </c>
      <c r="B15" s="96" t="s">
        <v>86</v>
      </c>
      <c r="C15" s="97" t="s">
        <v>28</v>
      </c>
      <c r="D15" s="97" t="s">
        <v>61</v>
      </c>
      <c r="E15" s="98">
        <v>7952013</v>
      </c>
      <c r="F15" s="97"/>
      <c r="G15" s="22"/>
      <c r="H15" s="69">
        <f>H16</f>
        <v>0</v>
      </c>
      <c r="I15" s="69">
        <f>I16</f>
        <v>0</v>
      </c>
      <c r="J15" s="172">
        <f>J16</f>
        <v>0</v>
      </c>
      <c r="K15" s="172">
        <f>K16</f>
        <v>0</v>
      </c>
      <c r="L15" s="172">
        <f>L16</f>
        <v>0</v>
      </c>
    </row>
    <row r="16" spans="1:12" ht="30" customHeight="1" hidden="1" thickBot="1">
      <c r="A16" s="124" t="s">
        <v>94</v>
      </c>
      <c r="B16" s="97" t="s">
        <v>86</v>
      </c>
      <c r="C16" s="97" t="s">
        <v>28</v>
      </c>
      <c r="D16" s="97" t="s">
        <v>61</v>
      </c>
      <c r="E16" s="98">
        <v>7952013</v>
      </c>
      <c r="F16" s="97" t="s">
        <v>93</v>
      </c>
      <c r="G16" s="22"/>
      <c r="H16" s="69"/>
      <c r="I16" s="69"/>
      <c r="J16" s="172">
        <f>H16+I16</f>
        <v>0</v>
      </c>
      <c r="K16" s="172"/>
      <c r="L16" s="172">
        <f>J16+K16</f>
        <v>0</v>
      </c>
    </row>
    <row r="17" spans="1:12" ht="57" customHeight="1" hidden="1" thickBot="1">
      <c r="A17" s="124" t="s">
        <v>108</v>
      </c>
      <c r="B17" s="96" t="s">
        <v>86</v>
      </c>
      <c r="C17" s="97" t="s">
        <v>28</v>
      </c>
      <c r="D17" s="97" t="s">
        <v>61</v>
      </c>
      <c r="E17" s="98">
        <v>7952015</v>
      </c>
      <c r="F17" s="97"/>
      <c r="G17" s="22"/>
      <c r="H17" s="69">
        <f>H18</f>
        <v>0</v>
      </c>
      <c r="I17" s="69">
        <f>I18</f>
        <v>0</v>
      </c>
      <c r="J17" s="172">
        <f>J18</f>
        <v>0</v>
      </c>
      <c r="K17" s="172">
        <f>K18</f>
        <v>0</v>
      </c>
      <c r="L17" s="172">
        <f>L18</f>
        <v>0</v>
      </c>
    </row>
    <row r="18" spans="1:12" ht="30" customHeight="1" hidden="1" thickBot="1">
      <c r="A18" s="124" t="s">
        <v>94</v>
      </c>
      <c r="B18" s="97" t="s">
        <v>86</v>
      </c>
      <c r="C18" s="97" t="s">
        <v>28</v>
      </c>
      <c r="D18" s="97" t="s">
        <v>61</v>
      </c>
      <c r="E18" s="98">
        <v>7952015</v>
      </c>
      <c r="F18" s="97" t="s">
        <v>93</v>
      </c>
      <c r="G18" s="22"/>
      <c r="H18" s="69"/>
      <c r="I18" s="69"/>
      <c r="J18" s="172">
        <f>H18+I18</f>
        <v>0</v>
      </c>
      <c r="K18" s="172"/>
      <c r="L18" s="172">
        <f>J18+K18</f>
        <v>0</v>
      </c>
    </row>
    <row r="19" spans="1:12" ht="90" customHeight="1" hidden="1" thickBot="1">
      <c r="A19" s="124" t="s">
        <v>109</v>
      </c>
      <c r="B19" s="96" t="s">
        <v>86</v>
      </c>
      <c r="C19" s="97" t="s">
        <v>28</v>
      </c>
      <c r="D19" s="97" t="s">
        <v>61</v>
      </c>
      <c r="E19" s="98">
        <v>7952016</v>
      </c>
      <c r="F19" s="97"/>
      <c r="G19" s="22"/>
      <c r="H19" s="69">
        <f>H20</f>
        <v>0</v>
      </c>
      <c r="I19" s="69">
        <f>I20</f>
        <v>0</v>
      </c>
      <c r="J19" s="172">
        <f>J20</f>
        <v>0</v>
      </c>
      <c r="K19" s="172">
        <f>K20</f>
        <v>0</v>
      </c>
      <c r="L19" s="172">
        <f>L20</f>
        <v>0</v>
      </c>
    </row>
    <row r="20" spans="1:12" ht="30" customHeight="1" hidden="1" thickBot="1">
      <c r="A20" s="124" t="s">
        <v>94</v>
      </c>
      <c r="B20" s="97" t="s">
        <v>86</v>
      </c>
      <c r="C20" s="97" t="s">
        <v>28</v>
      </c>
      <c r="D20" s="97" t="s">
        <v>61</v>
      </c>
      <c r="E20" s="98">
        <v>7952016</v>
      </c>
      <c r="F20" s="97" t="s">
        <v>93</v>
      </c>
      <c r="G20" s="22"/>
      <c r="H20" s="69"/>
      <c r="I20" s="69"/>
      <c r="J20" s="172">
        <f>H20+I20</f>
        <v>0</v>
      </c>
      <c r="K20" s="172"/>
      <c r="L20" s="172">
        <f>J20+K20</f>
        <v>0</v>
      </c>
    </row>
    <row r="21" spans="1:12" ht="45" customHeight="1" hidden="1" thickBot="1">
      <c r="A21" s="124" t="s">
        <v>110</v>
      </c>
      <c r="B21" s="96" t="s">
        <v>86</v>
      </c>
      <c r="C21" s="97" t="s">
        <v>28</v>
      </c>
      <c r="D21" s="97" t="s">
        <v>61</v>
      </c>
      <c r="E21" s="98">
        <v>7952017</v>
      </c>
      <c r="F21" s="97"/>
      <c r="G21" s="22"/>
      <c r="H21" s="69">
        <f>H22</f>
        <v>0</v>
      </c>
      <c r="I21" s="69">
        <f>I22</f>
        <v>0</v>
      </c>
      <c r="J21" s="172">
        <f>J22</f>
        <v>0</v>
      </c>
      <c r="K21" s="172">
        <f>K22</f>
        <v>0</v>
      </c>
      <c r="L21" s="172">
        <f>L22</f>
        <v>0</v>
      </c>
    </row>
    <row r="22" spans="1:12" ht="33" customHeight="1" hidden="1" thickBot="1">
      <c r="A22" s="124" t="s">
        <v>94</v>
      </c>
      <c r="B22" s="97" t="s">
        <v>86</v>
      </c>
      <c r="C22" s="97" t="s">
        <v>28</v>
      </c>
      <c r="D22" s="97" t="s">
        <v>61</v>
      </c>
      <c r="E22" s="98">
        <v>7952017</v>
      </c>
      <c r="F22" s="97" t="s">
        <v>93</v>
      </c>
      <c r="G22" s="22"/>
      <c r="H22" s="69"/>
      <c r="I22" s="69">
        <f>30-30</f>
        <v>0</v>
      </c>
      <c r="J22" s="172">
        <f>H22+I22</f>
        <v>0</v>
      </c>
      <c r="K22" s="172">
        <f>30-30</f>
        <v>0</v>
      </c>
      <c r="L22" s="172">
        <f>J22+K22</f>
        <v>0</v>
      </c>
    </row>
    <row r="23" spans="1:12" ht="15">
      <c r="A23" s="125" t="s">
        <v>111</v>
      </c>
      <c r="B23" s="99" t="s">
        <v>112</v>
      </c>
      <c r="C23" s="99"/>
      <c r="D23" s="99"/>
      <c r="E23" s="99"/>
      <c r="F23" s="99"/>
      <c r="G23" s="53" t="e">
        <f>#REF!+G24+G144</f>
        <v>#REF!</v>
      </c>
      <c r="H23" s="68" t="e">
        <f>H24+H144</f>
        <v>#REF!</v>
      </c>
      <c r="I23" s="68" t="e">
        <f>I24+I144</f>
        <v>#REF!</v>
      </c>
      <c r="J23" s="68">
        <f>J24+J144</f>
        <v>223277.699</v>
      </c>
      <c r="K23" s="68">
        <f>K24+K144</f>
        <v>34507.8079</v>
      </c>
      <c r="L23" s="68">
        <f>L24+L144</f>
        <v>257785.5069</v>
      </c>
    </row>
    <row r="24" spans="1:12" ht="15">
      <c r="A24" s="123" t="s">
        <v>87</v>
      </c>
      <c r="B24" s="94" t="s">
        <v>112</v>
      </c>
      <c r="C24" s="94" t="s">
        <v>14</v>
      </c>
      <c r="D24" s="94"/>
      <c r="E24" s="94"/>
      <c r="F24" s="94"/>
      <c r="G24" s="17" t="e">
        <f>G25+G39+G108+G113+G122</f>
        <v>#REF!</v>
      </c>
      <c r="H24" s="66" t="e">
        <f>H39+H108+H113+H122+H25</f>
        <v>#REF!</v>
      </c>
      <c r="I24" s="66" t="e">
        <f>I39+I108+I113+I122+I25</f>
        <v>#REF!</v>
      </c>
      <c r="J24" s="66">
        <f>J39+J108+J113+J122+J25</f>
        <v>209090.699</v>
      </c>
      <c r="K24" s="66">
        <f>K39+K108+K113+K122+K25</f>
        <v>39584.5219</v>
      </c>
      <c r="L24" s="66">
        <f>L39+L108+L113+L122+L25</f>
        <v>248675.22090000001</v>
      </c>
    </row>
    <row r="25" spans="1:12" ht="15" customHeight="1">
      <c r="A25" s="123" t="s">
        <v>43</v>
      </c>
      <c r="B25" s="94" t="s">
        <v>112</v>
      </c>
      <c r="C25" s="94" t="s">
        <v>14</v>
      </c>
      <c r="D25" s="94" t="s">
        <v>6</v>
      </c>
      <c r="E25" s="94"/>
      <c r="F25" s="94"/>
      <c r="G25" s="17">
        <f aca="true" t="shared" si="1" ref="G25:L27">G26</f>
        <v>-926.36</v>
      </c>
      <c r="H25" s="66">
        <f>H26+H31+H36</f>
        <v>0</v>
      </c>
      <c r="I25" s="66">
        <f>I26+I31+I36</f>
        <v>0</v>
      </c>
      <c r="J25" s="66">
        <f>J26+J31+J36+J29</f>
        <v>3080</v>
      </c>
      <c r="K25" s="66">
        <f>K26+K31+K36+K29</f>
        <v>15550.516</v>
      </c>
      <c r="L25" s="66">
        <f>L26+L31+L36+L29</f>
        <v>18630.516</v>
      </c>
    </row>
    <row r="26" spans="1:12" ht="14.25" customHeight="1">
      <c r="A26" s="124" t="s">
        <v>118</v>
      </c>
      <c r="B26" s="95" t="s">
        <v>112</v>
      </c>
      <c r="C26" s="95" t="s">
        <v>14</v>
      </c>
      <c r="D26" s="95" t="s">
        <v>6</v>
      </c>
      <c r="E26" s="95" t="s">
        <v>119</v>
      </c>
      <c r="F26" s="95"/>
      <c r="G26" s="22">
        <f t="shared" si="1"/>
        <v>-926.36</v>
      </c>
      <c r="H26" s="69">
        <f t="shared" si="1"/>
        <v>0</v>
      </c>
      <c r="I26" s="69">
        <f t="shared" si="1"/>
        <v>0</v>
      </c>
      <c r="J26" s="69">
        <f t="shared" si="1"/>
        <v>200</v>
      </c>
      <c r="K26" s="69">
        <f t="shared" si="1"/>
        <v>1306.776</v>
      </c>
      <c r="L26" s="69">
        <f t="shared" si="1"/>
        <v>1506.776</v>
      </c>
    </row>
    <row r="27" spans="1:12" ht="21.75" customHeight="1">
      <c r="A27" s="124" t="s">
        <v>98</v>
      </c>
      <c r="B27" s="95" t="s">
        <v>112</v>
      </c>
      <c r="C27" s="95" t="s">
        <v>14</v>
      </c>
      <c r="D27" s="95" t="s">
        <v>6</v>
      </c>
      <c r="E27" s="95" t="s">
        <v>120</v>
      </c>
      <c r="F27" s="95"/>
      <c r="G27" s="22">
        <f>G28+G35</f>
        <v>-926.36</v>
      </c>
      <c r="H27" s="69">
        <f t="shared" si="1"/>
        <v>0</v>
      </c>
      <c r="I27" s="69">
        <f t="shared" si="1"/>
        <v>0</v>
      </c>
      <c r="J27" s="69">
        <f t="shared" si="1"/>
        <v>200</v>
      </c>
      <c r="K27" s="69">
        <f t="shared" si="1"/>
        <v>1306.776</v>
      </c>
      <c r="L27" s="69">
        <f t="shared" si="1"/>
        <v>1506.776</v>
      </c>
    </row>
    <row r="28" spans="1:12" ht="21.75" customHeight="1">
      <c r="A28" s="224" t="s">
        <v>163</v>
      </c>
      <c r="B28" s="95" t="s">
        <v>112</v>
      </c>
      <c r="C28" s="95" t="s">
        <v>14</v>
      </c>
      <c r="D28" s="95" t="s">
        <v>6</v>
      </c>
      <c r="E28" s="95" t="s">
        <v>120</v>
      </c>
      <c r="F28" s="95" t="s">
        <v>134</v>
      </c>
      <c r="G28" s="22">
        <f>-36.76+103.4</f>
        <v>66.64000000000001</v>
      </c>
      <c r="H28" s="69"/>
      <c r="I28" s="69"/>
      <c r="J28" s="69">
        <v>200</v>
      </c>
      <c r="K28" s="69">
        <f>1156.776+150</f>
        <v>1306.776</v>
      </c>
      <c r="L28" s="69">
        <f>J28+K28</f>
        <v>1506.776</v>
      </c>
    </row>
    <row r="29" spans="1:12" ht="21.75" customHeight="1">
      <c r="A29" s="224" t="s">
        <v>566</v>
      </c>
      <c r="B29" s="95" t="s">
        <v>112</v>
      </c>
      <c r="C29" s="95" t="s">
        <v>14</v>
      </c>
      <c r="D29" s="95" t="s">
        <v>6</v>
      </c>
      <c r="E29" s="95" t="s">
        <v>567</v>
      </c>
      <c r="F29" s="95"/>
      <c r="G29" s="22"/>
      <c r="H29" s="69"/>
      <c r="I29" s="69"/>
      <c r="J29" s="69">
        <f>J30</f>
        <v>0</v>
      </c>
      <c r="K29" s="69">
        <f>K30</f>
        <v>13907.5</v>
      </c>
      <c r="L29" s="69">
        <f>L30</f>
        <v>13907.5</v>
      </c>
    </row>
    <row r="30" spans="1:12" ht="21.75" customHeight="1">
      <c r="A30" s="224" t="s">
        <v>163</v>
      </c>
      <c r="B30" s="95" t="s">
        <v>112</v>
      </c>
      <c r="C30" s="95" t="s">
        <v>14</v>
      </c>
      <c r="D30" s="95" t="s">
        <v>6</v>
      </c>
      <c r="E30" s="95" t="s">
        <v>567</v>
      </c>
      <c r="F30" s="95" t="s">
        <v>134</v>
      </c>
      <c r="G30" s="22"/>
      <c r="H30" s="69"/>
      <c r="I30" s="69"/>
      <c r="J30" s="69"/>
      <c r="K30" s="69">
        <v>13907.5</v>
      </c>
      <c r="L30" s="69">
        <f>J30+K30</f>
        <v>13907.5</v>
      </c>
    </row>
    <row r="31" spans="1:12" ht="18" customHeight="1">
      <c r="A31" s="126" t="s">
        <v>409</v>
      </c>
      <c r="B31" s="95" t="s">
        <v>112</v>
      </c>
      <c r="C31" s="95" t="s">
        <v>14</v>
      </c>
      <c r="D31" s="95" t="s">
        <v>6</v>
      </c>
      <c r="E31" s="95" t="s">
        <v>318</v>
      </c>
      <c r="F31" s="95"/>
      <c r="G31" s="22"/>
      <c r="H31" s="69">
        <f>H34</f>
        <v>0</v>
      </c>
      <c r="I31" s="69">
        <f>I34</f>
        <v>0</v>
      </c>
      <c r="J31" s="69">
        <f>J34+J32</f>
        <v>1440</v>
      </c>
      <c r="K31" s="69">
        <f>K34+K32</f>
        <v>336.24</v>
      </c>
      <c r="L31" s="69">
        <f>L34+L32</f>
        <v>1776.24</v>
      </c>
    </row>
    <row r="32" spans="1:12" ht="29.25" customHeight="1">
      <c r="A32" s="187" t="s">
        <v>568</v>
      </c>
      <c r="B32" s="95" t="s">
        <v>112</v>
      </c>
      <c r="C32" s="95" t="s">
        <v>14</v>
      </c>
      <c r="D32" s="95" t="s">
        <v>6</v>
      </c>
      <c r="E32" s="95" t="s">
        <v>569</v>
      </c>
      <c r="F32" s="95"/>
      <c r="G32" s="22"/>
      <c r="H32" s="69"/>
      <c r="I32" s="69"/>
      <c r="J32" s="69">
        <f>J33</f>
        <v>0</v>
      </c>
      <c r="K32" s="69">
        <f>K33</f>
        <v>336.24</v>
      </c>
      <c r="L32" s="69">
        <f>L33</f>
        <v>336.24</v>
      </c>
    </row>
    <row r="33" spans="1:12" ht="18" customHeight="1">
      <c r="A33" s="224" t="s">
        <v>163</v>
      </c>
      <c r="B33" s="95" t="s">
        <v>112</v>
      </c>
      <c r="C33" s="95" t="s">
        <v>14</v>
      </c>
      <c r="D33" s="95" t="s">
        <v>6</v>
      </c>
      <c r="E33" s="95" t="s">
        <v>569</v>
      </c>
      <c r="F33" s="95" t="s">
        <v>147</v>
      </c>
      <c r="G33" s="22"/>
      <c r="H33" s="69"/>
      <c r="I33" s="69"/>
      <c r="J33" s="69"/>
      <c r="K33" s="69">
        <f>336.24</f>
        <v>336.24</v>
      </c>
      <c r="L33" s="69">
        <f>J33+K33</f>
        <v>336.24</v>
      </c>
    </row>
    <row r="34" spans="1:12" ht="32.25" customHeight="1">
      <c r="A34" s="126" t="s">
        <v>428</v>
      </c>
      <c r="B34" s="95" t="s">
        <v>112</v>
      </c>
      <c r="C34" s="95" t="s">
        <v>14</v>
      </c>
      <c r="D34" s="95" t="s">
        <v>6</v>
      </c>
      <c r="E34" s="95" t="s">
        <v>429</v>
      </c>
      <c r="F34" s="95"/>
      <c r="G34" s="22"/>
      <c r="H34" s="69">
        <f>H35</f>
        <v>0</v>
      </c>
      <c r="I34" s="69">
        <f>I35</f>
        <v>0</v>
      </c>
      <c r="J34" s="69">
        <f>J35</f>
        <v>1440</v>
      </c>
      <c r="K34" s="69">
        <f>K35</f>
        <v>0</v>
      </c>
      <c r="L34" s="69">
        <f>L35</f>
        <v>1440</v>
      </c>
    </row>
    <row r="35" spans="1:12" ht="15.75" customHeight="1">
      <c r="A35" s="224" t="s">
        <v>163</v>
      </c>
      <c r="B35" s="95" t="s">
        <v>112</v>
      </c>
      <c r="C35" s="95" t="s">
        <v>14</v>
      </c>
      <c r="D35" s="95" t="s">
        <v>6</v>
      </c>
      <c r="E35" s="95" t="s">
        <v>429</v>
      </c>
      <c r="F35" s="95" t="s">
        <v>134</v>
      </c>
      <c r="G35" s="22">
        <f>-112.8-880.2</f>
        <v>-993</v>
      </c>
      <c r="H35" s="69"/>
      <c r="I35" s="69"/>
      <c r="J35" s="69">
        <v>1440</v>
      </c>
      <c r="K35" s="69"/>
      <c r="L35" s="69">
        <f>J35+K35</f>
        <v>1440</v>
      </c>
    </row>
    <row r="36" spans="1:12" ht="15" customHeight="1">
      <c r="A36" s="126" t="s">
        <v>312</v>
      </c>
      <c r="B36" s="95" t="s">
        <v>112</v>
      </c>
      <c r="C36" s="95" t="s">
        <v>14</v>
      </c>
      <c r="D36" s="95" t="s">
        <v>6</v>
      </c>
      <c r="E36" s="95" t="s">
        <v>252</v>
      </c>
      <c r="F36" s="95"/>
      <c r="G36" s="22"/>
      <c r="H36" s="69">
        <f aca="true" t="shared" si="2" ref="H36:L37">H37</f>
        <v>0</v>
      </c>
      <c r="I36" s="69">
        <f t="shared" si="2"/>
        <v>0</v>
      </c>
      <c r="J36" s="69">
        <f t="shared" si="2"/>
        <v>1440</v>
      </c>
      <c r="K36" s="69">
        <f t="shared" si="2"/>
        <v>0</v>
      </c>
      <c r="L36" s="69">
        <f t="shared" si="2"/>
        <v>1440</v>
      </c>
    </row>
    <row r="37" spans="1:12" ht="29.25" customHeight="1">
      <c r="A37" s="127" t="s">
        <v>278</v>
      </c>
      <c r="B37" s="95" t="s">
        <v>112</v>
      </c>
      <c r="C37" s="95" t="s">
        <v>14</v>
      </c>
      <c r="D37" s="95" t="s">
        <v>6</v>
      </c>
      <c r="E37" s="95" t="s">
        <v>279</v>
      </c>
      <c r="F37" s="95"/>
      <c r="G37" s="22"/>
      <c r="H37" s="69">
        <f t="shared" si="2"/>
        <v>0</v>
      </c>
      <c r="I37" s="69">
        <f t="shared" si="2"/>
        <v>0</v>
      </c>
      <c r="J37" s="69">
        <f t="shared" si="2"/>
        <v>1440</v>
      </c>
      <c r="K37" s="69">
        <f t="shared" si="2"/>
        <v>0</v>
      </c>
      <c r="L37" s="69">
        <f t="shared" si="2"/>
        <v>1440</v>
      </c>
    </row>
    <row r="38" spans="1:15" ht="15" customHeight="1">
      <c r="A38" s="224" t="s">
        <v>163</v>
      </c>
      <c r="B38" s="95" t="s">
        <v>112</v>
      </c>
      <c r="C38" s="95" t="s">
        <v>14</v>
      </c>
      <c r="D38" s="95" t="s">
        <v>6</v>
      </c>
      <c r="E38" s="95" t="s">
        <v>279</v>
      </c>
      <c r="F38" s="95" t="s">
        <v>134</v>
      </c>
      <c r="G38" s="22"/>
      <c r="H38" s="69"/>
      <c r="I38" s="69"/>
      <c r="J38" s="69">
        <v>1440</v>
      </c>
      <c r="K38" s="69"/>
      <c r="L38" s="69">
        <f>J38+K38</f>
        <v>1440</v>
      </c>
      <c r="M38" s="170">
        <f>J38+J95</f>
        <v>1740</v>
      </c>
      <c r="N38" s="170">
        <f>K38+K95</f>
        <v>0</v>
      </c>
      <c r="O38" s="170">
        <f>L38+L95</f>
        <v>1740</v>
      </c>
    </row>
    <row r="39" spans="1:12" ht="15">
      <c r="A39" s="123" t="s">
        <v>44</v>
      </c>
      <c r="B39" s="94" t="s">
        <v>112</v>
      </c>
      <c r="C39" s="94" t="s">
        <v>14</v>
      </c>
      <c r="D39" s="94" t="s">
        <v>7</v>
      </c>
      <c r="E39" s="94"/>
      <c r="F39" s="94"/>
      <c r="G39" s="18" t="e">
        <f>G40+G61+#REF!+#REF!+#REF!+#REF!</f>
        <v>#REF!</v>
      </c>
      <c r="H39" s="66" t="e">
        <f>H40+H61+H80+H91+H71+H78-H81</f>
        <v>#REF!</v>
      </c>
      <c r="I39" s="66" t="e">
        <f>I40+I61+I80+I91+I71+I78</f>
        <v>#REF!</v>
      </c>
      <c r="J39" s="66">
        <f>J40+J61+J80+J91+J71+J78</f>
        <v>194318.3</v>
      </c>
      <c r="K39" s="66">
        <f>K40+K61+K80+K91+K71+K78</f>
        <v>22967.4389</v>
      </c>
      <c r="L39" s="66">
        <f>L40+L61+L80+L91+L71+L78</f>
        <v>217285.7389</v>
      </c>
    </row>
    <row r="40" spans="1:12" ht="23.25">
      <c r="A40" s="124" t="s">
        <v>122</v>
      </c>
      <c r="B40" s="95" t="s">
        <v>112</v>
      </c>
      <c r="C40" s="95" t="s">
        <v>14</v>
      </c>
      <c r="D40" s="95" t="s">
        <v>7</v>
      </c>
      <c r="E40" s="95" t="s">
        <v>123</v>
      </c>
      <c r="F40" s="95"/>
      <c r="G40" s="21">
        <f>G43</f>
        <v>867.76</v>
      </c>
      <c r="H40" s="69">
        <f>H41+H43+H49+H52+H54+H56+H57+H58</f>
        <v>170660.06</v>
      </c>
      <c r="I40" s="69">
        <f>I41+I43+I49+I52+I54+I56+I57+I58</f>
        <v>7623.319999999999</v>
      </c>
      <c r="J40" s="69">
        <f>J41+J43+J49+J52+J54+J56+J57+J58</f>
        <v>171113.43</v>
      </c>
      <c r="K40" s="69">
        <f>K41+K43+K49+K52+K54+K56+K57+K58</f>
        <v>22639.397</v>
      </c>
      <c r="L40" s="69">
        <f>L41+L43+L49+L52+L54+L56+L57+L58</f>
        <v>193752.827</v>
      </c>
    </row>
    <row r="41" spans="1:12" ht="67.5">
      <c r="A41" s="225" t="s">
        <v>401</v>
      </c>
      <c r="B41" s="96" t="s">
        <v>112</v>
      </c>
      <c r="C41" s="96" t="s">
        <v>14</v>
      </c>
      <c r="D41" s="96" t="s">
        <v>7</v>
      </c>
      <c r="E41" s="100" t="s">
        <v>130</v>
      </c>
      <c r="F41" s="95"/>
      <c r="G41" s="21"/>
      <c r="H41" s="69">
        <f>H42</f>
        <v>136352</v>
      </c>
      <c r="I41" s="69">
        <f>I42</f>
        <v>2035</v>
      </c>
      <c r="J41" s="69">
        <f>J42</f>
        <v>138387</v>
      </c>
      <c r="K41" s="69">
        <f>K42</f>
        <v>25409</v>
      </c>
      <c r="L41" s="69">
        <f>L42</f>
        <v>163796</v>
      </c>
    </row>
    <row r="42" spans="1:12" ht="45">
      <c r="A42" s="126" t="s">
        <v>551</v>
      </c>
      <c r="B42" s="95" t="s">
        <v>112</v>
      </c>
      <c r="C42" s="95" t="s">
        <v>14</v>
      </c>
      <c r="D42" s="95" t="s">
        <v>7</v>
      </c>
      <c r="E42" s="95" t="s">
        <v>130</v>
      </c>
      <c r="F42" s="95" t="s">
        <v>126</v>
      </c>
      <c r="G42" s="22"/>
      <c r="H42" s="69">
        <v>136352</v>
      </c>
      <c r="I42" s="69">
        <v>2035</v>
      </c>
      <c r="J42" s="69">
        <f>SUM(H42:I42)</f>
        <v>138387</v>
      </c>
      <c r="K42" s="69">
        <f>25409</f>
        <v>25409</v>
      </c>
      <c r="L42" s="69">
        <f>J42+K42</f>
        <v>163796</v>
      </c>
    </row>
    <row r="43" spans="1:12" ht="23.25">
      <c r="A43" s="124" t="s">
        <v>98</v>
      </c>
      <c r="B43" s="95" t="s">
        <v>112</v>
      </c>
      <c r="C43" s="95" t="s">
        <v>14</v>
      </c>
      <c r="D43" s="95" t="s">
        <v>7</v>
      </c>
      <c r="E43" s="95" t="s">
        <v>124</v>
      </c>
      <c r="F43" s="95"/>
      <c r="G43" s="22">
        <f>G44+G50</f>
        <v>867.76</v>
      </c>
      <c r="H43" s="69">
        <f>H44+H47+H48+H45+H46</f>
        <v>30536.26</v>
      </c>
      <c r="I43" s="69">
        <f>I44+I47+I48+I45+I46</f>
        <v>9360.119999999999</v>
      </c>
      <c r="J43" s="69">
        <f>J44+J47+J48+J45+J46</f>
        <v>32726.43</v>
      </c>
      <c r="K43" s="69">
        <f>K44+K47+K48+K45+K46</f>
        <v>-2769.603</v>
      </c>
      <c r="L43" s="69">
        <f>L44+L47+L48+L45+L46</f>
        <v>29956.827</v>
      </c>
    </row>
    <row r="44" spans="1:12" ht="31.5" customHeight="1" hidden="1">
      <c r="A44" s="126" t="s">
        <v>153</v>
      </c>
      <c r="B44" s="95" t="s">
        <v>112</v>
      </c>
      <c r="C44" s="95" t="s">
        <v>14</v>
      </c>
      <c r="D44" s="95" t="s">
        <v>7</v>
      </c>
      <c r="E44" s="95" t="s">
        <v>124</v>
      </c>
      <c r="F44" s="95" t="s">
        <v>154</v>
      </c>
      <c r="G44" s="22">
        <f>36.76+38-200</f>
        <v>-125.24000000000001</v>
      </c>
      <c r="H44" s="69"/>
      <c r="I44" s="69"/>
      <c r="J44" s="69">
        <f>H44+I44</f>
        <v>0</v>
      </c>
      <c r="K44" s="69"/>
      <c r="L44" s="69">
        <f>J44+K44</f>
        <v>0</v>
      </c>
    </row>
    <row r="45" spans="1:12" ht="31.5" customHeight="1" hidden="1">
      <c r="A45" s="126" t="s">
        <v>156</v>
      </c>
      <c r="B45" s="95" t="s">
        <v>112</v>
      </c>
      <c r="C45" s="95" t="s">
        <v>14</v>
      </c>
      <c r="D45" s="95" t="s">
        <v>7</v>
      </c>
      <c r="E45" s="95" t="s">
        <v>124</v>
      </c>
      <c r="F45" s="95" t="s">
        <v>157</v>
      </c>
      <c r="G45" s="22"/>
      <c r="H45" s="69"/>
      <c r="I45" s="69"/>
      <c r="J45" s="69">
        <f>H45+I45</f>
        <v>0</v>
      </c>
      <c r="K45" s="69"/>
      <c r="L45" s="69">
        <f>J45+K45</f>
        <v>0</v>
      </c>
    </row>
    <row r="46" spans="1:12" ht="31.5" customHeight="1" hidden="1">
      <c r="A46" s="126" t="s">
        <v>145</v>
      </c>
      <c r="B46" s="95" t="s">
        <v>112</v>
      </c>
      <c r="C46" s="95" t="s">
        <v>14</v>
      </c>
      <c r="D46" s="95" t="s">
        <v>7</v>
      </c>
      <c r="E46" s="95" t="s">
        <v>124</v>
      </c>
      <c r="F46" s="95" t="s">
        <v>147</v>
      </c>
      <c r="G46" s="22"/>
      <c r="H46" s="69"/>
      <c r="I46" s="69"/>
      <c r="J46" s="69">
        <f>H46+I46</f>
        <v>0</v>
      </c>
      <c r="K46" s="69"/>
      <c r="L46" s="69">
        <f>J46+K46</f>
        <v>0</v>
      </c>
    </row>
    <row r="47" spans="1:12" ht="45">
      <c r="A47" s="126" t="s">
        <v>551</v>
      </c>
      <c r="B47" s="95" t="s">
        <v>112</v>
      </c>
      <c r="C47" s="95" t="s">
        <v>14</v>
      </c>
      <c r="D47" s="95" t="s">
        <v>7</v>
      </c>
      <c r="E47" s="95" t="s">
        <v>124</v>
      </c>
      <c r="F47" s="95" t="s">
        <v>126</v>
      </c>
      <c r="G47" s="22"/>
      <c r="H47" s="69">
        <v>30536.26</v>
      </c>
      <c r="I47" s="69">
        <v>-1004.68</v>
      </c>
      <c r="J47" s="69">
        <v>24284.4</v>
      </c>
      <c r="K47" s="69">
        <f>-452.42-754.4-731.207+1000</f>
        <v>-938.027</v>
      </c>
      <c r="L47" s="69">
        <f>J47+K47</f>
        <v>23346.373</v>
      </c>
    </row>
    <row r="48" spans="1:12" ht="15">
      <c r="A48" s="126" t="s">
        <v>408</v>
      </c>
      <c r="B48" s="95" t="s">
        <v>112</v>
      </c>
      <c r="C48" s="95" t="s">
        <v>14</v>
      </c>
      <c r="D48" s="95" t="s">
        <v>7</v>
      </c>
      <c r="E48" s="95" t="s">
        <v>124</v>
      </c>
      <c r="F48" s="95" t="s">
        <v>134</v>
      </c>
      <c r="G48" s="22"/>
      <c r="H48" s="69"/>
      <c r="I48" s="69">
        <f>474.8+5000+4520+370</f>
        <v>10364.8</v>
      </c>
      <c r="J48" s="69">
        <v>8442.03</v>
      </c>
      <c r="K48" s="69">
        <f>9.00463-9.00463-1631.576-200</f>
        <v>-1831.576</v>
      </c>
      <c r="L48" s="69">
        <f>J48+K48</f>
        <v>6610.454000000001</v>
      </c>
    </row>
    <row r="49" spans="1:12" ht="34.5" hidden="1">
      <c r="A49" s="124" t="s">
        <v>99</v>
      </c>
      <c r="B49" s="95" t="s">
        <v>112</v>
      </c>
      <c r="C49" s="95" t="s">
        <v>14</v>
      </c>
      <c r="D49" s="95" t="s">
        <v>7</v>
      </c>
      <c r="E49" s="95" t="s">
        <v>127</v>
      </c>
      <c r="F49" s="95"/>
      <c r="G49" s="22"/>
      <c r="H49" s="69">
        <f>H50+H51</f>
        <v>3771.8</v>
      </c>
      <c r="I49" s="69">
        <f>I50+I51</f>
        <v>-3771.8</v>
      </c>
      <c r="J49" s="69">
        <f>J50+J51</f>
        <v>0</v>
      </c>
      <c r="K49" s="69">
        <f>K50+K51</f>
        <v>0</v>
      </c>
      <c r="L49" s="69">
        <f>L50+L51</f>
        <v>0</v>
      </c>
    </row>
    <row r="50" spans="1:12" ht="15" customHeight="1" hidden="1">
      <c r="A50" s="124" t="s">
        <v>100</v>
      </c>
      <c r="B50" s="95" t="s">
        <v>112</v>
      </c>
      <c r="C50" s="95" t="s">
        <v>14</v>
      </c>
      <c r="D50" s="95" t="s">
        <v>7</v>
      </c>
      <c r="E50" s="95" t="s">
        <v>127</v>
      </c>
      <c r="F50" s="95" t="s">
        <v>97</v>
      </c>
      <c r="G50" s="22">
        <f>112.8+880.2</f>
        <v>993</v>
      </c>
      <c r="H50" s="69"/>
      <c r="I50" s="69"/>
      <c r="J50" s="69">
        <f>H50+I50</f>
        <v>0</v>
      </c>
      <c r="K50" s="69"/>
      <c r="L50" s="69">
        <f>J50+K50</f>
        <v>0</v>
      </c>
    </row>
    <row r="51" spans="1:12" ht="45" hidden="1">
      <c r="A51" s="126" t="s">
        <v>125</v>
      </c>
      <c r="B51" s="95" t="s">
        <v>112</v>
      </c>
      <c r="C51" s="95" t="s">
        <v>14</v>
      </c>
      <c r="D51" s="95" t="s">
        <v>7</v>
      </c>
      <c r="E51" s="95" t="s">
        <v>127</v>
      </c>
      <c r="F51" s="95" t="s">
        <v>126</v>
      </c>
      <c r="G51" s="22"/>
      <c r="H51" s="69">
        <v>3771.8</v>
      </c>
      <c r="I51" s="69">
        <v>-3771.8</v>
      </c>
      <c r="J51" s="69">
        <f>SUM(H51:I51)</f>
        <v>0</v>
      </c>
      <c r="K51" s="69"/>
      <c r="L51" s="69">
        <f>J51+K51</f>
        <v>0</v>
      </c>
    </row>
    <row r="52" spans="1:12" ht="21" customHeight="1" hidden="1">
      <c r="A52" s="126" t="s">
        <v>404</v>
      </c>
      <c r="B52" s="95" t="s">
        <v>112</v>
      </c>
      <c r="C52" s="95" t="s">
        <v>14</v>
      </c>
      <c r="D52" s="95" t="s">
        <v>7</v>
      </c>
      <c r="E52" s="95" t="s">
        <v>133</v>
      </c>
      <c r="F52" s="95"/>
      <c r="G52" s="22"/>
      <c r="H52" s="69">
        <f>H53</f>
        <v>0</v>
      </c>
      <c r="I52" s="69">
        <f>I53</f>
        <v>0</v>
      </c>
      <c r="J52" s="69">
        <f>J53</f>
        <v>0</v>
      </c>
      <c r="K52" s="69">
        <f>K53</f>
        <v>0</v>
      </c>
      <c r="L52" s="69">
        <f>L53</f>
        <v>0</v>
      </c>
    </row>
    <row r="53" spans="1:12" ht="15" customHeight="1" hidden="1">
      <c r="A53" s="224" t="s">
        <v>163</v>
      </c>
      <c r="B53" s="95" t="s">
        <v>112</v>
      </c>
      <c r="C53" s="95" t="s">
        <v>14</v>
      </c>
      <c r="D53" s="95" t="s">
        <v>7</v>
      </c>
      <c r="E53" s="95" t="s">
        <v>133</v>
      </c>
      <c r="F53" s="95" t="s">
        <v>134</v>
      </c>
      <c r="G53" s="22"/>
      <c r="H53" s="69">
        <v>0</v>
      </c>
      <c r="I53" s="69"/>
      <c r="J53" s="69">
        <f>H53+I53</f>
        <v>0</v>
      </c>
      <c r="K53" s="69"/>
      <c r="L53" s="69">
        <f>J53+K53</f>
        <v>0</v>
      </c>
    </row>
    <row r="54" spans="1:12" ht="21.75" customHeight="1" hidden="1">
      <c r="A54" s="124" t="s">
        <v>403</v>
      </c>
      <c r="B54" s="95" t="s">
        <v>112</v>
      </c>
      <c r="C54" s="95" t="s">
        <v>14</v>
      </c>
      <c r="D54" s="95" t="s">
        <v>7</v>
      </c>
      <c r="E54" s="95" t="s">
        <v>135</v>
      </c>
      <c r="F54" s="95"/>
      <c r="G54" s="22"/>
      <c r="H54" s="69">
        <f>H55</f>
        <v>0</v>
      </c>
      <c r="I54" s="69">
        <f>I55</f>
        <v>0</v>
      </c>
      <c r="J54" s="69">
        <f>J55</f>
        <v>0</v>
      </c>
      <c r="K54" s="69">
        <f>K55</f>
        <v>0</v>
      </c>
      <c r="L54" s="69">
        <f>L55</f>
        <v>0</v>
      </c>
    </row>
    <row r="55" spans="1:12" ht="15" customHeight="1" hidden="1">
      <c r="A55" s="224" t="s">
        <v>163</v>
      </c>
      <c r="B55" s="95" t="s">
        <v>112</v>
      </c>
      <c r="C55" s="95" t="s">
        <v>14</v>
      </c>
      <c r="D55" s="95" t="s">
        <v>7</v>
      </c>
      <c r="E55" s="95" t="s">
        <v>135</v>
      </c>
      <c r="F55" s="95" t="s">
        <v>134</v>
      </c>
      <c r="G55" s="22"/>
      <c r="H55" s="69">
        <v>0</v>
      </c>
      <c r="I55" s="69"/>
      <c r="J55" s="69">
        <f>H55+I55</f>
        <v>0</v>
      </c>
      <c r="K55" s="69"/>
      <c r="L55" s="69">
        <f>J55+K55</f>
        <v>0</v>
      </c>
    </row>
    <row r="56" spans="1:12" ht="42" customHeight="1" hidden="1">
      <c r="A56" s="128" t="s">
        <v>128</v>
      </c>
      <c r="B56" s="95" t="s">
        <v>112</v>
      </c>
      <c r="C56" s="95" t="s">
        <v>14</v>
      </c>
      <c r="D56" s="95" t="s">
        <v>7</v>
      </c>
      <c r="E56" s="95" t="s">
        <v>129</v>
      </c>
      <c r="F56" s="95" t="s">
        <v>97</v>
      </c>
      <c r="G56" s="22"/>
      <c r="H56" s="69"/>
      <c r="I56" s="69"/>
      <c r="J56" s="69">
        <f>H56+I56</f>
        <v>0</v>
      </c>
      <c r="K56" s="69"/>
      <c r="L56" s="69">
        <f>J56+K56</f>
        <v>0</v>
      </c>
    </row>
    <row r="57" spans="1:12" ht="32.25" customHeight="1" hidden="1">
      <c r="A57" s="124" t="s">
        <v>131</v>
      </c>
      <c r="B57" s="95" t="s">
        <v>112</v>
      </c>
      <c r="C57" s="95" t="s">
        <v>14</v>
      </c>
      <c r="D57" s="95" t="s">
        <v>7</v>
      </c>
      <c r="E57" s="95" t="s">
        <v>132</v>
      </c>
      <c r="F57" s="95" t="s">
        <v>97</v>
      </c>
      <c r="G57" s="22"/>
      <c r="H57" s="69"/>
      <c r="I57" s="69"/>
      <c r="J57" s="69">
        <f>H57+I57</f>
        <v>0</v>
      </c>
      <c r="K57" s="69"/>
      <c r="L57" s="69">
        <f>J57+K57</f>
        <v>0</v>
      </c>
    </row>
    <row r="58" spans="1:12" ht="21.75" customHeight="1" hidden="1">
      <c r="A58" s="124" t="s">
        <v>136</v>
      </c>
      <c r="B58" s="95" t="s">
        <v>112</v>
      </c>
      <c r="C58" s="95" t="s">
        <v>14</v>
      </c>
      <c r="D58" s="95" t="s">
        <v>7</v>
      </c>
      <c r="E58" s="95" t="s">
        <v>137</v>
      </c>
      <c r="F58" s="95"/>
      <c r="G58" s="22"/>
      <c r="H58" s="69">
        <f>H59+H60</f>
        <v>0</v>
      </c>
      <c r="I58" s="69">
        <f>I59+I60</f>
        <v>0</v>
      </c>
      <c r="J58" s="69">
        <f>J59+J60</f>
        <v>0</v>
      </c>
      <c r="K58" s="69">
        <f>K59+K60</f>
        <v>0</v>
      </c>
      <c r="L58" s="69">
        <f>L59+L60</f>
        <v>0</v>
      </c>
    </row>
    <row r="59" spans="1:12" ht="21.75" customHeight="1" hidden="1">
      <c r="A59" s="124" t="s">
        <v>136</v>
      </c>
      <c r="B59" s="95" t="s">
        <v>112</v>
      </c>
      <c r="C59" s="95" t="s">
        <v>14</v>
      </c>
      <c r="D59" s="95" t="s">
        <v>7</v>
      </c>
      <c r="E59" s="95" t="s">
        <v>137</v>
      </c>
      <c r="F59" s="95" t="s">
        <v>97</v>
      </c>
      <c r="G59" s="22"/>
      <c r="H59" s="69"/>
      <c r="I59" s="69"/>
      <c r="J59" s="69">
        <f>H59+I59</f>
        <v>0</v>
      </c>
      <c r="K59" s="69"/>
      <c r="L59" s="69">
        <f>J59+K59</f>
        <v>0</v>
      </c>
    </row>
    <row r="60" spans="1:12" ht="31.5" customHeight="1" hidden="1">
      <c r="A60" s="126" t="s">
        <v>125</v>
      </c>
      <c r="B60" s="95" t="s">
        <v>112</v>
      </c>
      <c r="C60" s="95" t="s">
        <v>14</v>
      </c>
      <c r="D60" s="95" t="s">
        <v>7</v>
      </c>
      <c r="E60" s="95" t="s">
        <v>137</v>
      </c>
      <c r="F60" s="95" t="s">
        <v>126</v>
      </c>
      <c r="G60" s="22"/>
      <c r="H60" s="69"/>
      <c r="I60" s="69"/>
      <c r="J60" s="69">
        <f>SUM(H60:I60)</f>
        <v>0</v>
      </c>
      <c r="K60" s="69"/>
      <c r="L60" s="69">
        <f>SUM(J60:K60)</f>
        <v>0</v>
      </c>
    </row>
    <row r="61" spans="1:12" ht="15">
      <c r="A61" s="124" t="s">
        <v>138</v>
      </c>
      <c r="B61" s="95" t="s">
        <v>112</v>
      </c>
      <c r="C61" s="95" t="s">
        <v>14</v>
      </c>
      <c r="D61" s="95" t="s">
        <v>7</v>
      </c>
      <c r="E61" s="95" t="s">
        <v>139</v>
      </c>
      <c r="F61" s="95"/>
      <c r="G61" s="22" t="e">
        <f aca="true" t="shared" si="3" ref="G61:L61">G62</f>
        <v>#REF!</v>
      </c>
      <c r="H61" s="69" t="e">
        <f t="shared" si="3"/>
        <v>#REF!</v>
      </c>
      <c r="I61" s="69" t="e">
        <f t="shared" si="3"/>
        <v>#REF!</v>
      </c>
      <c r="J61" s="69">
        <f t="shared" si="3"/>
        <v>4206.6900000000005</v>
      </c>
      <c r="K61" s="69">
        <f t="shared" si="3"/>
        <v>50</v>
      </c>
      <c r="L61" s="69">
        <f t="shared" si="3"/>
        <v>4256.6900000000005</v>
      </c>
    </row>
    <row r="62" spans="1:12" ht="23.25">
      <c r="A62" s="124" t="s">
        <v>98</v>
      </c>
      <c r="B62" s="95" t="s">
        <v>112</v>
      </c>
      <c r="C62" s="95" t="s">
        <v>14</v>
      </c>
      <c r="D62" s="95" t="s">
        <v>7</v>
      </c>
      <c r="E62" s="95" t="s">
        <v>140</v>
      </c>
      <c r="F62" s="95"/>
      <c r="G62" s="22" t="e">
        <f>G63+#REF!</f>
        <v>#REF!</v>
      </c>
      <c r="H62" s="69" t="e">
        <f>H69+#REF!</f>
        <v>#REF!</v>
      </c>
      <c r="I62" s="69" t="e">
        <f>I69+#REF!</f>
        <v>#REF!</v>
      </c>
      <c r="J62" s="69">
        <f>J69+J70</f>
        <v>4206.6900000000005</v>
      </c>
      <c r="K62" s="69">
        <f>K69+K70</f>
        <v>50</v>
      </c>
      <c r="L62" s="69">
        <f>L69+L70</f>
        <v>4256.6900000000005</v>
      </c>
    </row>
    <row r="63" spans="1:12" ht="21.75" customHeight="1" hidden="1">
      <c r="A63" s="129" t="s">
        <v>150</v>
      </c>
      <c r="B63" s="95" t="s">
        <v>112</v>
      </c>
      <c r="C63" s="95" t="s">
        <v>14</v>
      </c>
      <c r="D63" s="95" t="s">
        <v>7</v>
      </c>
      <c r="E63" s="95" t="s">
        <v>140</v>
      </c>
      <c r="F63" s="95" t="s">
        <v>151</v>
      </c>
      <c r="G63" s="22">
        <v>165.6</v>
      </c>
      <c r="H63" s="69"/>
      <c r="I63" s="69"/>
      <c r="J63" s="69">
        <f aca="true" t="shared" si="4" ref="J63:L68">H63+I63</f>
        <v>0</v>
      </c>
      <c r="K63" s="69"/>
      <c r="L63" s="69">
        <f t="shared" si="4"/>
        <v>0</v>
      </c>
    </row>
    <row r="64" spans="1:12" ht="31.5" customHeight="1" hidden="1">
      <c r="A64" s="126" t="s">
        <v>153</v>
      </c>
      <c r="B64" s="95" t="s">
        <v>112</v>
      </c>
      <c r="C64" s="95" t="s">
        <v>14</v>
      </c>
      <c r="D64" s="95" t="s">
        <v>7</v>
      </c>
      <c r="E64" s="95" t="s">
        <v>140</v>
      </c>
      <c r="F64" s="95" t="s">
        <v>154</v>
      </c>
      <c r="G64" s="22"/>
      <c r="H64" s="69"/>
      <c r="I64" s="69"/>
      <c r="J64" s="69">
        <f t="shared" si="4"/>
        <v>0</v>
      </c>
      <c r="K64" s="69"/>
      <c r="L64" s="69">
        <f t="shared" si="4"/>
        <v>0</v>
      </c>
    </row>
    <row r="65" spans="1:12" ht="31.5" customHeight="1" hidden="1">
      <c r="A65" s="126" t="s">
        <v>156</v>
      </c>
      <c r="B65" s="95" t="s">
        <v>112</v>
      </c>
      <c r="C65" s="95" t="s">
        <v>14</v>
      </c>
      <c r="D65" s="95" t="s">
        <v>7</v>
      </c>
      <c r="E65" s="95" t="s">
        <v>140</v>
      </c>
      <c r="F65" s="95" t="s">
        <v>157</v>
      </c>
      <c r="G65" s="22"/>
      <c r="H65" s="69"/>
      <c r="I65" s="69"/>
      <c r="J65" s="69">
        <f t="shared" si="4"/>
        <v>0</v>
      </c>
      <c r="K65" s="69"/>
      <c r="L65" s="69">
        <f t="shared" si="4"/>
        <v>0</v>
      </c>
    </row>
    <row r="66" spans="1:12" ht="31.5" customHeight="1" hidden="1">
      <c r="A66" s="126" t="s">
        <v>145</v>
      </c>
      <c r="B66" s="95" t="s">
        <v>112</v>
      </c>
      <c r="C66" s="95" t="s">
        <v>14</v>
      </c>
      <c r="D66" s="95" t="s">
        <v>7</v>
      </c>
      <c r="E66" s="95" t="s">
        <v>140</v>
      </c>
      <c r="F66" s="95" t="s">
        <v>147</v>
      </c>
      <c r="G66" s="22"/>
      <c r="H66" s="69"/>
      <c r="I66" s="69"/>
      <c r="J66" s="69">
        <f t="shared" si="4"/>
        <v>0</v>
      </c>
      <c r="K66" s="69"/>
      <c r="L66" s="69">
        <f t="shared" si="4"/>
        <v>0</v>
      </c>
    </row>
    <row r="67" spans="1:12" ht="31.5" customHeight="1" hidden="1">
      <c r="A67" s="126" t="s">
        <v>158</v>
      </c>
      <c r="B67" s="95" t="s">
        <v>112</v>
      </c>
      <c r="C67" s="95" t="s">
        <v>14</v>
      </c>
      <c r="D67" s="95" t="s">
        <v>7</v>
      </c>
      <c r="E67" s="95" t="s">
        <v>140</v>
      </c>
      <c r="F67" s="95" t="s">
        <v>159</v>
      </c>
      <c r="G67" s="22"/>
      <c r="H67" s="69"/>
      <c r="I67" s="69"/>
      <c r="J67" s="69">
        <f t="shared" si="4"/>
        <v>0</v>
      </c>
      <c r="K67" s="69"/>
      <c r="L67" s="69">
        <f t="shared" si="4"/>
        <v>0</v>
      </c>
    </row>
    <row r="68" spans="1:12" ht="15" customHeight="1" hidden="1">
      <c r="A68" s="126" t="s">
        <v>160</v>
      </c>
      <c r="B68" s="95" t="s">
        <v>112</v>
      </c>
      <c r="C68" s="95" t="s">
        <v>14</v>
      </c>
      <c r="D68" s="95" t="s">
        <v>7</v>
      </c>
      <c r="E68" s="95" t="s">
        <v>140</v>
      </c>
      <c r="F68" s="95" t="s">
        <v>161</v>
      </c>
      <c r="G68" s="22"/>
      <c r="H68" s="69"/>
      <c r="I68" s="69"/>
      <c r="J68" s="69">
        <f t="shared" si="4"/>
        <v>0</v>
      </c>
      <c r="K68" s="69"/>
      <c r="L68" s="69">
        <f t="shared" si="4"/>
        <v>0</v>
      </c>
    </row>
    <row r="69" spans="1:12" ht="36" customHeight="1">
      <c r="A69" s="126" t="s">
        <v>551</v>
      </c>
      <c r="B69" s="95" t="s">
        <v>112</v>
      </c>
      <c r="C69" s="95" t="s">
        <v>14</v>
      </c>
      <c r="D69" s="95" t="s">
        <v>7</v>
      </c>
      <c r="E69" s="95" t="s">
        <v>140</v>
      </c>
      <c r="F69" s="95" t="s">
        <v>126</v>
      </c>
      <c r="G69" s="22"/>
      <c r="H69" s="69">
        <v>7817.31</v>
      </c>
      <c r="I69" s="69">
        <v>-3810.62</v>
      </c>
      <c r="J69" s="69">
        <f>SUM(H69:I69)</f>
        <v>4006.6900000000005</v>
      </c>
      <c r="K69" s="69"/>
      <c r="L69" s="69">
        <f>J69+K69</f>
        <v>4006.6900000000005</v>
      </c>
    </row>
    <row r="70" spans="1:12" ht="15" customHeight="1">
      <c r="A70" s="126" t="s">
        <v>408</v>
      </c>
      <c r="B70" s="95" t="s">
        <v>112</v>
      </c>
      <c r="C70" s="95" t="s">
        <v>14</v>
      </c>
      <c r="D70" s="95" t="s">
        <v>7</v>
      </c>
      <c r="E70" s="95" t="s">
        <v>140</v>
      </c>
      <c r="F70" s="95" t="s">
        <v>134</v>
      </c>
      <c r="G70" s="22"/>
      <c r="H70" s="69"/>
      <c r="I70" s="69">
        <v>50</v>
      </c>
      <c r="J70" s="69">
        <v>200</v>
      </c>
      <c r="K70" s="69">
        <f>50</f>
        <v>50</v>
      </c>
      <c r="L70" s="69">
        <f>J70+K70</f>
        <v>250</v>
      </c>
    </row>
    <row r="71" spans="1:12" ht="27.75" customHeight="1">
      <c r="A71" s="126" t="s">
        <v>446</v>
      </c>
      <c r="B71" s="95" t="s">
        <v>112</v>
      </c>
      <c r="C71" s="95" t="s">
        <v>14</v>
      </c>
      <c r="D71" s="95" t="s">
        <v>7</v>
      </c>
      <c r="E71" s="95" t="s">
        <v>448</v>
      </c>
      <c r="F71" s="95"/>
      <c r="G71" s="22"/>
      <c r="H71" s="69">
        <f>H72+H74+H76</f>
        <v>0</v>
      </c>
      <c r="I71" s="69">
        <f>I72+I74+I76</f>
        <v>0</v>
      </c>
      <c r="J71" s="69">
        <f>J72+J74+J76</f>
        <v>3092</v>
      </c>
      <c r="K71" s="69">
        <f>K72+K74+K76</f>
        <v>0</v>
      </c>
      <c r="L71" s="69">
        <f>L72+L74+L76</f>
        <v>3092</v>
      </c>
    </row>
    <row r="72" spans="1:12" ht="27.75" customHeight="1">
      <c r="A72" s="124" t="s">
        <v>546</v>
      </c>
      <c r="B72" s="95" t="s">
        <v>112</v>
      </c>
      <c r="C72" s="95" t="s">
        <v>14</v>
      </c>
      <c r="D72" s="95" t="s">
        <v>7</v>
      </c>
      <c r="E72" s="95" t="s">
        <v>447</v>
      </c>
      <c r="F72" s="95"/>
      <c r="G72" s="22"/>
      <c r="H72" s="69">
        <f>H73</f>
        <v>0</v>
      </c>
      <c r="I72" s="69">
        <f>I73</f>
        <v>0</v>
      </c>
      <c r="J72" s="69">
        <f>J73</f>
        <v>3092</v>
      </c>
      <c r="K72" s="69">
        <f>K73</f>
        <v>0</v>
      </c>
      <c r="L72" s="69">
        <f>L73</f>
        <v>3092</v>
      </c>
    </row>
    <row r="73" spans="1:12" ht="18.75" customHeight="1">
      <c r="A73" s="126" t="s">
        <v>408</v>
      </c>
      <c r="B73" s="95" t="s">
        <v>112</v>
      </c>
      <c r="C73" s="95" t="s">
        <v>14</v>
      </c>
      <c r="D73" s="95" t="s">
        <v>7</v>
      </c>
      <c r="E73" s="95" t="s">
        <v>447</v>
      </c>
      <c r="F73" s="95" t="s">
        <v>134</v>
      </c>
      <c r="G73" s="22"/>
      <c r="H73" s="69"/>
      <c r="I73" s="69"/>
      <c r="J73" s="69">
        <v>3092</v>
      </c>
      <c r="K73" s="69"/>
      <c r="L73" s="69">
        <f>J73+K73</f>
        <v>3092</v>
      </c>
    </row>
    <row r="74" spans="1:12" ht="27.75" customHeight="1" hidden="1">
      <c r="A74" s="126" t="s">
        <v>450</v>
      </c>
      <c r="B74" s="95" t="s">
        <v>112</v>
      </c>
      <c r="C74" s="95" t="s">
        <v>14</v>
      </c>
      <c r="D74" s="95" t="s">
        <v>7</v>
      </c>
      <c r="E74" s="95" t="s">
        <v>451</v>
      </c>
      <c r="F74" s="95"/>
      <c r="G74" s="22"/>
      <c r="H74" s="69">
        <f>H75</f>
        <v>0</v>
      </c>
      <c r="I74" s="69">
        <f>I75</f>
        <v>0</v>
      </c>
      <c r="J74" s="69">
        <f>J75</f>
        <v>0</v>
      </c>
      <c r="K74" s="69">
        <f>K75</f>
        <v>0</v>
      </c>
      <c r="L74" s="69">
        <f>L75</f>
        <v>0</v>
      </c>
    </row>
    <row r="75" spans="1:12" ht="27.75" customHeight="1" hidden="1">
      <c r="A75" s="224" t="s">
        <v>163</v>
      </c>
      <c r="B75" s="95" t="s">
        <v>112</v>
      </c>
      <c r="C75" s="95" t="s">
        <v>14</v>
      </c>
      <c r="D75" s="95" t="s">
        <v>7</v>
      </c>
      <c r="E75" s="95" t="s">
        <v>451</v>
      </c>
      <c r="F75" s="95" t="s">
        <v>134</v>
      </c>
      <c r="G75" s="22"/>
      <c r="H75" s="69"/>
      <c r="I75" s="69"/>
      <c r="J75" s="69">
        <f>H75+I75</f>
        <v>0</v>
      </c>
      <c r="K75" s="69"/>
      <c r="L75" s="69">
        <f>J75+K75</f>
        <v>0</v>
      </c>
    </row>
    <row r="76" spans="1:12" ht="46.5" customHeight="1" hidden="1">
      <c r="A76" s="126" t="s">
        <v>449</v>
      </c>
      <c r="B76" s="95" t="s">
        <v>112</v>
      </c>
      <c r="C76" s="95" t="s">
        <v>14</v>
      </c>
      <c r="D76" s="95" t="s">
        <v>7</v>
      </c>
      <c r="E76" s="95" t="s">
        <v>452</v>
      </c>
      <c r="F76" s="95"/>
      <c r="G76" s="22"/>
      <c r="H76" s="69">
        <f>H77</f>
        <v>0</v>
      </c>
      <c r="I76" s="69">
        <f>I77</f>
        <v>0</v>
      </c>
      <c r="J76" s="69">
        <f>J77</f>
        <v>0</v>
      </c>
      <c r="K76" s="69">
        <f>K77</f>
        <v>0</v>
      </c>
      <c r="L76" s="69">
        <f>L77</f>
        <v>0</v>
      </c>
    </row>
    <row r="77" spans="1:12" ht="27.75" customHeight="1" hidden="1">
      <c r="A77" s="224" t="s">
        <v>163</v>
      </c>
      <c r="B77" s="95" t="s">
        <v>112</v>
      </c>
      <c r="C77" s="95" t="s">
        <v>14</v>
      </c>
      <c r="D77" s="95" t="s">
        <v>7</v>
      </c>
      <c r="E77" s="95" t="s">
        <v>452</v>
      </c>
      <c r="F77" s="95" t="s">
        <v>134</v>
      </c>
      <c r="G77" s="22"/>
      <c r="H77" s="69"/>
      <c r="I77" s="69"/>
      <c r="J77" s="69">
        <f>H77+I77</f>
        <v>0</v>
      </c>
      <c r="K77" s="69"/>
      <c r="L77" s="69">
        <f>J77+K77</f>
        <v>0</v>
      </c>
    </row>
    <row r="78" spans="1:12" ht="25.5" customHeight="1">
      <c r="A78" s="126" t="s">
        <v>453</v>
      </c>
      <c r="B78" s="95" t="s">
        <v>112</v>
      </c>
      <c r="C78" s="95" t="s">
        <v>14</v>
      </c>
      <c r="D78" s="95" t="s">
        <v>7</v>
      </c>
      <c r="E78" s="95" t="s">
        <v>454</v>
      </c>
      <c r="F78" s="95"/>
      <c r="G78" s="22"/>
      <c r="H78" s="69">
        <f>H79</f>
        <v>0</v>
      </c>
      <c r="I78" s="69">
        <f>I79</f>
        <v>0</v>
      </c>
      <c r="J78" s="69">
        <f>J79</f>
        <v>2800</v>
      </c>
      <c r="K78" s="69">
        <f>K79</f>
        <v>0</v>
      </c>
      <c r="L78" s="69">
        <f>L79</f>
        <v>2800</v>
      </c>
    </row>
    <row r="79" spans="1:12" ht="15" customHeight="1">
      <c r="A79" s="224" t="s">
        <v>163</v>
      </c>
      <c r="B79" s="95" t="s">
        <v>112</v>
      </c>
      <c r="C79" s="95" t="s">
        <v>14</v>
      </c>
      <c r="D79" s="95" t="s">
        <v>7</v>
      </c>
      <c r="E79" s="95" t="s">
        <v>454</v>
      </c>
      <c r="F79" s="95" t="s">
        <v>134</v>
      </c>
      <c r="G79" s="22"/>
      <c r="H79" s="69"/>
      <c r="I79" s="69"/>
      <c r="J79" s="69">
        <v>2800</v>
      </c>
      <c r="K79" s="69"/>
      <c r="L79" s="69">
        <f>J79+K79</f>
        <v>2800</v>
      </c>
    </row>
    <row r="80" spans="1:12" ht="20.25" customHeight="1">
      <c r="A80" s="126" t="s">
        <v>409</v>
      </c>
      <c r="B80" s="95" t="s">
        <v>112</v>
      </c>
      <c r="C80" s="95" t="s">
        <v>14</v>
      </c>
      <c r="D80" s="95" t="s">
        <v>7</v>
      </c>
      <c r="E80" s="95" t="s">
        <v>318</v>
      </c>
      <c r="F80" s="95"/>
      <c r="G80" s="22"/>
      <c r="H80" s="69">
        <f>H81+H83+H87</f>
        <v>2101.1</v>
      </c>
      <c r="I80" s="69">
        <f>I81+I83+I87</f>
        <v>516.9</v>
      </c>
      <c r="J80" s="69">
        <f>J81+J83+J87+J85+J89</f>
        <v>7177</v>
      </c>
      <c r="K80" s="69">
        <f>K81+K83+K87+K85+K89</f>
        <v>278.0419</v>
      </c>
      <c r="L80" s="69">
        <f>L81+L83+L87+L85+L89</f>
        <v>7455.0419</v>
      </c>
    </row>
    <row r="81" spans="1:12" ht="27.75" customHeight="1">
      <c r="A81" s="126" t="s">
        <v>410</v>
      </c>
      <c r="B81" s="95" t="s">
        <v>112</v>
      </c>
      <c r="C81" s="95" t="s">
        <v>14</v>
      </c>
      <c r="D81" s="95" t="s">
        <v>7</v>
      </c>
      <c r="E81" s="95" t="s">
        <v>411</v>
      </c>
      <c r="F81" s="95"/>
      <c r="G81" s="22"/>
      <c r="H81" s="69">
        <f>H82</f>
        <v>1667.4</v>
      </c>
      <c r="I81" s="69">
        <f>I82</f>
        <v>479.6</v>
      </c>
      <c r="J81" s="69">
        <f>J82</f>
        <v>2056</v>
      </c>
      <c r="K81" s="69">
        <f>K82</f>
        <v>0</v>
      </c>
      <c r="L81" s="69">
        <f>L82</f>
        <v>2056</v>
      </c>
    </row>
    <row r="82" spans="1:12" ht="27.75" customHeight="1">
      <c r="A82" s="126" t="s">
        <v>551</v>
      </c>
      <c r="B82" s="95" t="s">
        <v>112</v>
      </c>
      <c r="C82" s="95" t="s">
        <v>14</v>
      </c>
      <c r="D82" s="95" t="s">
        <v>7</v>
      </c>
      <c r="E82" s="95" t="s">
        <v>411</v>
      </c>
      <c r="F82" s="95" t="s">
        <v>126</v>
      </c>
      <c r="G82" s="22"/>
      <c r="H82" s="69">
        <v>1667.4</v>
      </c>
      <c r="I82" s="69">
        <v>479.6</v>
      </c>
      <c r="J82" s="69">
        <v>2056</v>
      </c>
      <c r="K82" s="69"/>
      <c r="L82" s="69">
        <f>J82+K82</f>
        <v>2056</v>
      </c>
    </row>
    <row r="83" spans="1:12" ht="44.25" customHeight="1">
      <c r="A83" s="126" t="s">
        <v>564</v>
      </c>
      <c r="B83" s="95" t="s">
        <v>112</v>
      </c>
      <c r="C83" s="95" t="s">
        <v>14</v>
      </c>
      <c r="D83" s="95" t="s">
        <v>7</v>
      </c>
      <c r="E83" s="95" t="s">
        <v>562</v>
      </c>
      <c r="F83" s="95"/>
      <c r="G83" s="22"/>
      <c r="H83" s="69">
        <f>H84</f>
        <v>433.7</v>
      </c>
      <c r="I83" s="69">
        <f>I84</f>
        <v>37.3</v>
      </c>
      <c r="J83" s="69">
        <f>J84</f>
        <v>471</v>
      </c>
      <c r="K83" s="69">
        <f>K84</f>
        <v>148</v>
      </c>
      <c r="L83" s="69">
        <f>L84</f>
        <v>619</v>
      </c>
    </row>
    <row r="84" spans="1:12" ht="42" customHeight="1">
      <c r="A84" s="126" t="s">
        <v>551</v>
      </c>
      <c r="B84" s="95" t="s">
        <v>112</v>
      </c>
      <c r="C84" s="95" t="s">
        <v>14</v>
      </c>
      <c r="D84" s="95" t="s">
        <v>7</v>
      </c>
      <c r="E84" s="95" t="s">
        <v>562</v>
      </c>
      <c r="F84" s="95" t="s">
        <v>126</v>
      </c>
      <c r="G84" s="22"/>
      <c r="H84" s="69">
        <v>433.7</v>
      </c>
      <c r="I84" s="69">
        <v>37.3</v>
      </c>
      <c r="J84" s="69">
        <f>H84+I84</f>
        <v>471</v>
      </c>
      <c r="K84" s="69">
        <f>148</f>
        <v>148</v>
      </c>
      <c r="L84" s="69">
        <f>J84+K84</f>
        <v>619</v>
      </c>
    </row>
    <row r="85" spans="1:12" ht="22.5">
      <c r="A85" s="126" t="s">
        <v>450</v>
      </c>
      <c r="B85" s="95" t="s">
        <v>112</v>
      </c>
      <c r="C85" s="95" t="s">
        <v>14</v>
      </c>
      <c r="D85" s="95" t="s">
        <v>7</v>
      </c>
      <c r="E85" s="95" t="s">
        <v>533</v>
      </c>
      <c r="F85" s="95"/>
      <c r="G85" s="22"/>
      <c r="H85" s="69"/>
      <c r="I85" s="69"/>
      <c r="J85" s="69">
        <f>J86</f>
        <v>4500</v>
      </c>
      <c r="K85" s="69">
        <f>K86</f>
        <v>0</v>
      </c>
      <c r="L85" s="69">
        <f>L86</f>
        <v>4500</v>
      </c>
    </row>
    <row r="86" spans="1:12" ht="15">
      <c r="A86" s="224" t="s">
        <v>163</v>
      </c>
      <c r="B86" s="95" t="s">
        <v>112</v>
      </c>
      <c r="C86" s="95" t="s">
        <v>14</v>
      </c>
      <c r="D86" s="95" t="s">
        <v>7</v>
      </c>
      <c r="E86" s="95" t="s">
        <v>533</v>
      </c>
      <c r="F86" s="95" t="s">
        <v>134</v>
      </c>
      <c r="G86" s="22"/>
      <c r="H86" s="69"/>
      <c r="I86" s="69"/>
      <c r="J86" s="69">
        <v>4500</v>
      </c>
      <c r="K86" s="69"/>
      <c r="L86" s="69">
        <f>J86+K86</f>
        <v>4500</v>
      </c>
    </row>
    <row r="87" spans="1:12" ht="27.75" customHeight="1">
      <c r="A87" s="126" t="s">
        <v>428</v>
      </c>
      <c r="B87" s="95" t="s">
        <v>112</v>
      </c>
      <c r="C87" s="95" t="s">
        <v>14</v>
      </c>
      <c r="D87" s="95" t="s">
        <v>7</v>
      </c>
      <c r="E87" s="95" t="s">
        <v>429</v>
      </c>
      <c r="F87" s="95"/>
      <c r="G87" s="22"/>
      <c r="H87" s="69">
        <f>H88</f>
        <v>0</v>
      </c>
      <c r="I87" s="69">
        <f>I88</f>
        <v>0</v>
      </c>
      <c r="J87" s="69">
        <f>J88</f>
        <v>150</v>
      </c>
      <c r="K87" s="69">
        <f>K88</f>
        <v>0</v>
      </c>
      <c r="L87" s="69">
        <f>L88</f>
        <v>150</v>
      </c>
    </row>
    <row r="88" spans="1:12" ht="15" customHeight="1">
      <c r="A88" s="224" t="s">
        <v>163</v>
      </c>
      <c r="B88" s="95" t="s">
        <v>112</v>
      </c>
      <c r="C88" s="95" t="s">
        <v>14</v>
      </c>
      <c r="D88" s="95" t="s">
        <v>7</v>
      </c>
      <c r="E88" s="95" t="s">
        <v>429</v>
      </c>
      <c r="F88" s="95" t="s">
        <v>134</v>
      </c>
      <c r="G88" s="22"/>
      <c r="H88" s="69"/>
      <c r="I88" s="69"/>
      <c r="J88" s="69">
        <v>150</v>
      </c>
      <c r="K88" s="69"/>
      <c r="L88" s="69">
        <f>J88+K88</f>
        <v>150</v>
      </c>
    </row>
    <row r="89" spans="1:12" ht="40.5" customHeight="1">
      <c r="A89" s="226" t="s">
        <v>563</v>
      </c>
      <c r="B89" s="95" t="s">
        <v>112</v>
      </c>
      <c r="C89" s="95" t="s">
        <v>14</v>
      </c>
      <c r="D89" s="95" t="s">
        <v>7</v>
      </c>
      <c r="E89" s="95" t="s">
        <v>565</v>
      </c>
      <c r="F89" s="95"/>
      <c r="G89" s="22"/>
      <c r="H89" s="69"/>
      <c r="I89" s="69"/>
      <c r="J89" s="69">
        <f>J90</f>
        <v>0</v>
      </c>
      <c r="K89" s="69">
        <f>K90</f>
        <v>130.0419</v>
      </c>
      <c r="L89" s="69">
        <f>L90</f>
        <v>130.0419</v>
      </c>
    </row>
    <row r="90" spans="1:12" ht="15" customHeight="1">
      <c r="A90" s="126" t="s">
        <v>551</v>
      </c>
      <c r="B90" s="95" t="s">
        <v>112</v>
      </c>
      <c r="C90" s="95" t="s">
        <v>14</v>
      </c>
      <c r="D90" s="95" t="s">
        <v>7</v>
      </c>
      <c r="E90" s="95" t="s">
        <v>565</v>
      </c>
      <c r="F90" s="95" t="s">
        <v>126</v>
      </c>
      <c r="G90" s="22"/>
      <c r="H90" s="69"/>
      <c r="I90" s="69"/>
      <c r="J90" s="69"/>
      <c r="K90" s="69">
        <f>130.0419</f>
        <v>130.0419</v>
      </c>
      <c r="L90" s="69">
        <f>J90+K90</f>
        <v>130.0419</v>
      </c>
    </row>
    <row r="91" spans="1:12" ht="15" customHeight="1">
      <c r="A91" s="126" t="s">
        <v>312</v>
      </c>
      <c r="B91" s="95" t="s">
        <v>112</v>
      </c>
      <c r="C91" s="95" t="s">
        <v>14</v>
      </c>
      <c r="D91" s="95" t="s">
        <v>7</v>
      </c>
      <c r="E91" s="95" t="s">
        <v>252</v>
      </c>
      <c r="F91" s="95"/>
      <c r="G91" s="22"/>
      <c r="H91" s="69">
        <f>H94+H96</f>
        <v>0</v>
      </c>
      <c r="I91" s="69">
        <f>I94+I96</f>
        <v>0</v>
      </c>
      <c r="J91" s="69">
        <f>J94+J96+J98+J100+J102+J92</f>
        <v>5929.18</v>
      </c>
      <c r="K91" s="69">
        <f>K94+K96+K98+K100+K102+K92</f>
        <v>0</v>
      </c>
      <c r="L91" s="69">
        <f>L94+L96+L98+L100+L102+L92</f>
        <v>5929.18</v>
      </c>
    </row>
    <row r="92" spans="1:12" ht="44.25" customHeight="1">
      <c r="A92" s="126" t="s">
        <v>524</v>
      </c>
      <c r="B92" s="95" t="s">
        <v>112</v>
      </c>
      <c r="C92" s="95" t="s">
        <v>14</v>
      </c>
      <c r="D92" s="95" t="s">
        <v>7</v>
      </c>
      <c r="E92" s="95" t="s">
        <v>162</v>
      </c>
      <c r="F92" s="95"/>
      <c r="G92" s="22"/>
      <c r="H92" s="69"/>
      <c r="I92" s="69"/>
      <c r="J92" s="69">
        <f>J93</f>
        <v>342</v>
      </c>
      <c r="K92" s="69">
        <f>K93</f>
        <v>0</v>
      </c>
      <c r="L92" s="69">
        <f>L93</f>
        <v>342</v>
      </c>
    </row>
    <row r="93" spans="1:12" ht="15" customHeight="1">
      <c r="A93" s="126" t="s">
        <v>163</v>
      </c>
      <c r="B93" s="95" t="s">
        <v>112</v>
      </c>
      <c r="C93" s="95" t="s">
        <v>14</v>
      </c>
      <c r="D93" s="95" t="s">
        <v>7</v>
      </c>
      <c r="E93" s="95" t="s">
        <v>162</v>
      </c>
      <c r="F93" s="95" t="s">
        <v>134</v>
      </c>
      <c r="G93" s="22"/>
      <c r="H93" s="69"/>
      <c r="I93" s="69"/>
      <c r="J93" s="69">
        <v>342</v>
      </c>
      <c r="K93" s="69"/>
      <c r="L93" s="69">
        <f>J93+K93</f>
        <v>342</v>
      </c>
    </row>
    <row r="94" spans="1:12" ht="28.5" customHeight="1">
      <c r="A94" s="127" t="s">
        <v>278</v>
      </c>
      <c r="B94" s="95" t="s">
        <v>112</v>
      </c>
      <c r="C94" s="95" t="s">
        <v>14</v>
      </c>
      <c r="D94" s="95" t="s">
        <v>7</v>
      </c>
      <c r="E94" s="95" t="s">
        <v>279</v>
      </c>
      <c r="F94" s="95"/>
      <c r="G94" s="22"/>
      <c r="H94" s="69">
        <f>H95</f>
        <v>0</v>
      </c>
      <c r="I94" s="69">
        <f>I95</f>
        <v>0</v>
      </c>
      <c r="J94" s="69">
        <f>J95</f>
        <v>300</v>
      </c>
      <c r="K94" s="69">
        <f>K95</f>
        <v>0</v>
      </c>
      <c r="L94" s="69">
        <f>L95</f>
        <v>300</v>
      </c>
    </row>
    <row r="95" spans="1:12" ht="15" customHeight="1">
      <c r="A95" s="224" t="s">
        <v>163</v>
      </c>
      <c r="B95" s="95" t="s">
        <v>112</v>
      </c>
      <c r="C95" s="95" t="s">
        <v>14</v>
      </c>
      <c r="D95" s="95" t="s">
        <v>7</v>
      </c>
      <c r="E95" s="95" t="s">
        <v>279</v>
      </c>
      <c r="F95" s="95" t="s">
        <v>134</v>
      </c>
      <c r="G95" s="22"/>
      <c r="H95" s="69"/>
      <c r="I95" s="69"/>
      <c r="J95" s="69">
        <v>300</v>
      </c>
      <c r="K95" s="69"/>
      <c r="L95" s="69">
        <f>J95+K95</f>
        <v>300</v>
      </c>
    </row>
    <row r="96" spans="1:13" ht="30.75" customHeight="1">
      <c r="A96" s="130" t="s">
        <v>313</v>
      </c>
      <c r="B96" s="95" t="s">
        <v>112</v>
      </c>
      <c r="C96" s="95" t="s">
        <v>14</v>
      </c>
      <c r="D96" s="95" t="s">
        <v>7</v>
      </c>
      <c r="E96" s="95" t="s">
        <v>314</v>
      </c>
      <c r="F96" s="95"/>
      <c r="G96" s="22"/>
      <c r="H96" s="69">
        <f>H97</f>
        <v>0</v>
      </c>
      <c r="I96" s="69">
        <f>I97</f>
        <v>0</v>
      </c>
      <c r="J96" s="69">
        <f>J97</f>
        <v>167</v>
      </c>
      <c r="K96" s="69">
        <f>K97</f>
        <v>0</v>
      </c>
      <c r="L96" s="69">
        <f>L97</f>
        <v>167</v>
      </c>
      <c r="M96" s="170">
        <f>J96</f>
        <v>167</v>
      </c>
    </row>
    <row r="97" spans="1:12" ht="15" customHeight="1">
      <c r="A97" s="224" t="s">
        <v>163</v>
      </c>
      <c r="B97" s="95" t="s">
        <v>112</v>
      </c>
      <c r="C97" s="95" t="s">
        <v>14</v>
      </c>
      <c r="D97" s="95" t="s">
        <v>7</v>
      </c>
      <c r="E97" s="95" t="s">
        <v>314</v>
      </c>
      <c r="F97" s="95" t="s">
        <v>134</v>
      </c>
      <c r="G97" s="22"/>
      <c r="H97" s="69"/>
      <c r="I97" s="69"/>
      <c r="J97" s="69">
        <v>167</v>
      </c>
      <c r="K97" s="69"/>
      <c r="L97" s="69">
        <f>J97+K97</f>
        <v>167</v>
      </c>
    </row>
    <row r="98" spans="1:12" ht="30" customHeight="1">
      <c r="A98" s="131" t="s">
        <v>528</v>
      </c>
      <c r="B98" s="95" t="s">
        <v>112</v>
      </c>
      <c r="C98" s="95" t="s">
        <v>14</v>
      </c>
      <c r="D98" s="95" t="s">
        <v>7</v>
      </c>
      <c r="E98" s="95" t="s">
        <v>529</v>
      </c>
      <c r="F98" s="95"/>
      <c r="G98" s="22"/>
      <c r="H98" s="69"/>
      <c r="I98" s="69"/>
      <c r="J98" s="69">
        <f>J99</f>
        <v>4500</v>
      </c>
      <c r="K98" s="69">
        <f>K99</f>
        <v>0</v>
      </c>
      <c r="L98" s="69">
        <f>L99</f>
        <v>4500</v>
      </c>
    </row>
    <row r="99" spans="1:12" ht="45" customHeight="1">
      <c r="A99" s="126" t="s">
        <v>551</v>
      </c>
      <c r="B99" s="95" t="s">
        <v>112</v>
      </c>
      <c r="C99" s="95" t="s">
        <v>14</v>
      </c>
      <c r="D99" s="95" t="s">
        <v>7</v>
      </c>
      <c r="E99" s="95" t="s">
        <v>529</v>
      </c>
      <c r="F99" s="95" t="s">
        <v>126</v>
      </c>
      <c r="G99" s="22"/>
      <c r="H99" s="69"/>
      <c r="I99" s="69"/>
      <c r="J99" s="69">
        <v>4500</v>
      </c>
      <c r="K99" s="69"/>
      <c r="L99" s="69">
        <f>J99+K99</f>
        <v>4500</v>
      </c>
    </row>
    <row r="100" spans="1:12" ht="33.75" customHeight="1">
      <c r="A100" s="132" t="s">
        <v>526</v>
      </c>
      <c r="B100" s="95" t="s">
        <v>112</v>
      </c>
      <c r="C100" s="95" t="s">
        <v>14</v>
      </c>
      <c r="D100" s="95" t="s">
        <v>7</v>
      </c>
      <c r="E100" s="95" t="s">
        <v>527</v>
      </c>
      <c r="F100" s="95"/>
      <c r="G100" s="22"/>
      <c r="H100" s="69"/>
      <c r="I100" s="69"/>
      <c r="J100" s="69">
        <f>J101</f>
        <v>570.18</v>
      </c>
      <c r="K100" s="69">
        <f>K101</f>
        <v>0</v>
      </c>
      <c r="L100" s="69">
        <f>L101</f>
        <v>570.18</v>
      </c>
    </row>
    <row r="101" spans="1:12" ht="45" customHeight="1">
      <c r="A101" s="126" t="s">
        <v>551</v>
      </c>
      <c r="B101" s="95" t="s">
        <v>112</v>
      </c>
      <c r="C101" s="95" t="s">
        <v>14</v>
      </c>
      <c r="D101" s="95" t="s">
        <v>7</v>
      </c>
      <c r="E101" s="95" t="s">
        <v>527</v>
      </c>
      <c r="F101" s="95" t="s">
        <v>126</v>
      </c>
      <c r="G101" s="22"/>
      <c r="H101" s="69"/>
      <c r="I101" s="69"/>
      <c r="J101" s="69">
        <v>570.18</v>
      </c>
      <c r="K101" s="69"/>
      <c r="L101" s="69">
        <f>J101+K101</f>
        <v>570.18</v>
      </c>
    </row>
    <row r="102" spans="1:12" ht="46.5" customHeight="1">
      <c r="A102" s="133" t="s">
        <v>530</v>
      </c>
      <c r="B102" s="95" t="s">
        <v>112</v>
      </c>
      <c r="C102" s="95" t="s">
        <v>14</v>
      </c>
      <c r="D102" s="95" t="s">
        <v>7</v>
      </c>
      <c r="E102" s="95" t="s">
        <v>531</v>
      </c>
      <c r="F102" s="95"/>
      <c r="G102" s="22"/>
      <c r="H102" s="69"/>
      <c r="I102" s="69"/>
      <c r="J102" s="69">
        <f>J103</f>
        <v>50</v>
      </c>
      <c r="K102" s="69">
        <f>K103</f>
        <v>0</v>
      </c>
      <c r="L102" s="69">
        <f>L103</f>
        <v>50</v>
      </c>
    </row>
    <row r="103" spans="1:12" ht="15" customHeight="1">
      <c r="A103" s="224" t="s">
        <v>163</v>
      </c>
      <c r="B103" s="95" t="s">
        <v>112</v>
      </c>
      <c r="C103" s="95" t="s">
        <v>14</v>
      </c>
      <c r="D103" s="95" t="s">
        <v>7</v>
      </c>
      <c r="E103" s="95" t="s">
        <v>531</v>
      </c>
      <c r="F103" s="95" t="s">
        <v>134</v>
      </c>
      <c r="G103" s="22"/>
      <c r="H103" s="69"/>
      <c r="I103" s="69"/>
      <c r="J103" s="69">
        <v>50</v>
      </c>
      <c r="K103" s="69"/>
      <c r="L103" s="69">
        <f>J103+K103</f>
        <v>50</v>
      </c>
    </row>
    <row r="104" spans="1:12" ht="15" customHeight="1" hidden="1">
      <c r="A104" s="134"/>
      <c r="B104" s="95"/>
      <c r="C104" s="95"/>
      <c r="D104" s="95"/>
      <c r="E104" s="95"/>
      <c r="F104" s="95"/>
      <c r="G104" s="22"/>
      <c r="H104" s="69"/>
      <c r="I104" s="69"/>
      <c r="J104" s="69"/>
      <c r="K104" s="69"/>
      <c r="L104" s="69"/>
    </row>
    <row r="105" spans="1:12" ht="15" customHeight="1" hidden="1">
      <c r="A105" s="134"/>
      <c r="B105" s="95"/>
      <c r="C105" s="95"/>
      <c r="D105" s="95"/>
      <c r="E105" s="95"/>
      <c r="F105" s="95"/>
      <c r="G105" s="22"/>
      <c r="H105" s="69"/>
      <c r="I105" s="69"/>
      <c r="J105" s="69"/>
      <c r="K105" s="69"/>
      <c r="L105" s="69"/>
    </row>
    <row r="106" spans="1:12" ht="15" customHeight="1" hidden="1">
      <c r="A106" s="134"/>
      <c r="B106" s="95"/>
      <c r="C106" s="95"/>
      <c r="D106" s="95"/>
      <c r="E106" s="95"/>
      <c r="F106" s="95"/>
      <c r="G106" s="22"/>
      <c r="H106" s="69"/>
      <c r="I106" s="69"/>
      <c r="J106" s="69"/>
      <c r="K106" s="69"/>
      <c r="L106" s="69"/>
    </row>
    <row r="107" spans="1:12" ht="15" customHeight="1" hidden="1">
      <c r="A107" s="134"/>
      <c r="B107" s="95"/>
      <c r="C107" s="95"/>
      <c r="D107" s="95"/>
      <c r="E107" s="95"/>
      <c r="F107" s="95"/>
      <c r="G107" s="22"/>
      <c r="H107" s="69"/>
      <c r="I107" s="69"/>
      <c r="J107" s="69"/>
      <c r="K107" s="69"/>
      <c r="L107" s="69"/>
    </row>
    <row r="108" spans="1:12" ht="15">
      <c r="A108" s="123" t="s">
        <v>141</v>
      </c>
      <c r="B108" s="94" t="s">
        <v>112</v>
      </c>
      <c r="C108" s="94" t="s">
        <v>14</v>
      </c>
      <c r="D108" s="94" t="s">
        <v>11</v>
      </c>
      <c r="E108" s="94"/>
      <c r="F108" s="94"/>
      <c r="G108" s="17" t="e">
        <f>G109+#REF!</f>
        <v>#REF!</v>
      </c>
      <c r="H108" s="66">
        <f aca="true" t="shared" si="5" ref="H108:L109">H109</f>
        <v>100</v>
      </c>
      <c r="I108" s="66">
        <f t="shared" si="5"/>
        <v>460</v>
      </c>
      <c r="J108" s="66">
        <f t="shared" si="5"/>
        <v>760</v>
      </c>
      <c r="K108" s="66">
        <f t="shared" si="5"/>
        <v>1313.627</v>
      </c>
      <c r="L108" s="66">
        <f t="shared" si="5"/>
        <v>2073.627</v>
      </c>
    </row>
    <row r="109" spans="1:12" ht="23.25">
      <c r="A109" s="124" t="s">
        <v>88</v>
      </c>
      <c r="B109" s="95" t="s">
        <v>112</v>
      </c>
      <c r="C109" s="95" t="s">
        <v>14</v>
      </c>
      <c r="D109" s="95" t="s">
        <v>11</v>
      </c>
      <c r="E109" s="95" t="s">
        <v>89</v>
      </c>
      <c r="F109" s="95"/>
      <c r="G109" s="22">
        <f>G110</f>
        <v>-224</v>
      </c>
      <c r="H109" s="69">
        <f t="shared" si="5"/>
        <v>100</v>
      </c>
      <c r="I109" s="69">
        <f t="shared" si="5"/>
        <v>460</v>
      </c>
      <c r="J109" s="69">
        <f t="shared" si="5"/>
        <v>760</v>
      </c>
      <c r="K109" s="69">
        <f t="shared" si="5"/>
        <v>1313.627</v>
      </c>
      <c r="L109" s="69">
        <f t="shared" si="5"/>
        <v>2073.627</v>
      </c>
    </row>
    <row r="110" spans="1:12" ht="23.25">
      <c r="A110" s="124" t="s">
        <v>90</v>
      </c>
      <c r="B110" s="95" t="s">
        <v>112</v>
      </c>
      <c r="C110" s="95" t="s">
        <v>14</v>
      </c>
      <c r="D110" s="95" t="s">
        <v>11</v>
      </c>
      <c r="E110" s="95" t="s">
        <v>91</v>
      </c>
      <c r="F110" s="95"/>
      <c r="G110" s="22">
        <f>G111</f>
        <v>-224</v>
      </c>
      <c r="H110" s="69">
        <f>H111+H112</f>
        <v>100</v>
      </c>
      <c r="I110" s="69">
        <f>I111+I112</f>
        <v>460</v>
      </c>
      <c r="J110" s="69">
        <f>J111+J112</f>
        <v>760</v>
      </c>
      <c r="K110" s="69">
        <f>K111+K112</f>
        <v>1313.627</v>
      </c>
      <c r="L110" s="69">
        <f>L111+L112</f>
        <v>2073.627</v>
      </c>
    </row>
    <row r="111" spans="1:12" ht="31.5" customHeight="1" hidden="1">
      <c r="A111" s="124" t="s">
        <v>100</v>
      </c>
      <c r="B111" s="95" t="s">
        <v>112</v>
      </c>
      <c r="C111" s="95" t="s">
        <v>14</v>
      </c>
      <c r="D111" s="95" t="s">
        <v>11</v>
      </c>
      <c r="E111" s="95" t="s">
        <v>91</v>
      </c>
      <c r="F111" s="95" t="s">
        <v>93</v>
      </c>
      <c r="G111" s="22">
        <v>-224</v>
      </c>
      <c r="H111" s="69"/>
      <c r="I111" s="69"/>
      <c r="J111" s="69">
        <f>H111+I111</f>
        <v>0</v>
      </c>
      <c r="K111" s="69"/>
      <c r="L111" s="69">
        <f>J111+K111</f>
        <v>0</v>
      </c>
    </row>
    <row r="112" spans="1:12" ht="47.25" customHeight="1">
      <c r="A112" s="126" t="s">
        <v>551</v>
      </c>
      <c r="B112" s="95" t="s">
        <v>112</v>
      </c>
      <c r="C112" s="95" t="s">
        <v>14</v>
      </c>
      <c r="D112" s="95" t="s">
        <v>11</v>
      </c>
      <c r="E112" s="95" t="s">
        <v>91</v>
      </c>
      <c r="F112" s="95" t="s">
        <v>126</v>
      </c>
      <c r="G112" s="20"/>
      <c r="H112" s="69">
        <v>100</v>
      </c>
      <c r="I112" s="69">
        <v>460</v>
      </c>
      <c r="J112" s="69">
        <v>760</v>
      </c>
      <c r="K112" s="69">
        <f>130+452.42+731.207</f>
        <v>1313.627</v>
      </c>
      <c r="L112" s="69">
        <f>J112+K112</f>
        <v>2073.627</v>
      </c>
    </row>
    <row r="113" spans="1:12" ht="15">
      <c r="A113" s="123" t="s">
        <v>46</v>
      </c>
      <c r="B113" s="94" t="s">
        <v>112</v>
      </c>
      <c r="C113" s="94" t="s">
        <v>14</v>
      </c>
      <c r="D113" s="94" t="s">
        <v>14</v>
      </c>
      <c r="E113" s="94"/>
      <c r="F113" s="94"/>
      <c r="G113" s="17" t="e">
        <f aca="true" t="shared" si="6" ref="G113:L113">G114</f>
        <v>#REF!</v>
      </c>
      <c r="H113" s="66">
        <f t="shared" si="6"/>
        <v>190.2</v>
      </c>
      <c r="I113" s="66">
        <f t="shared" si="6"/>
        <v>1613.8</v>
      </c>
      <c r="J113" s="66">
        <f>J114</f>
        <v>1960.652</v>
      </c>
      <c r="K113" s="66">
        <f>K114</f>
        <v>64.68</v>
      </c>
      <c r="L113" s="66">
        <f t="shared" si="6"/>
        <v>2025.332</v>
      </c>
    </row>
    <row r="114" spans="1:12" ht="23.25">
      <c r="A114" s="124" t="s">
        <v>142</v>
      </c>
      <c r="B114" s="95" t="s">
        <v>112</v>
      </c>
      <c r="C114" s="95" t="s">
        <v>14</v>
      </c>
      <c r="D114" s="95" t="s">
        <v>14</v>
      </c>
      <c r="E114" s="95" t="s">
        <v>143</v>
      </c>
      <c r="F114" s="95"/>
      <c r="G114" s="22" t="e">
        <f>G115</f>
        <v>#REF!</v>
      </c>
      <c r="H114" s="69">
        <f>H115+H117+H119+H121+H120</f>
        <v>190.2</v>
      </c>
      <c r="I114" s="69">
        <f>I115+I117+I119+I121+I120</f>
        <v>1613.8</v>
      </c>
      <c r="J114" s="69">
        <f>J115+J117+J119+J121</f>
        <v>1960.652</v>
      </c>
      <c r="K114" s="69">
        <f>K115+K117+K119+K121</f>
        <v>64.68</v>
      </c>
      <c r="L114" s="69">
        <f>L115+L117+L119+L121</f>
        <v>2025.332</v>
      </c>
    </row>
    <row r="115" spans="1:12" ht="15" customHeight="1" hidden="1">
      <c r="A115" s="124" t="s">
        <v>406</v>
      </c>
      <c r="B115" s="95" t="s">
        <v>112</v>
      </c>
      <c r="C115" s="95" t="s">
        <v>14</v>
      </c>
      <c r="D115" s="95" t="s">
        <v>14</v>
      </c>
      <c r="E115" s="95" t="s">
        <v>144</v>
      </c>
      <c r="F115" s="95"/>
      <c r="G115" s="22" t="e">
        <f>G116+#REF!</f>
        <v>#REF!</v>
      </c>
      <c r="H115" s="69">
        <f>H116</f>
        <v>0</v>
      </c>
      <c r="I115" s="69">
        <f>I116</f>
        <v>0</v>
      </c>
      <c r="J115" s="69">
        <f>J116</f>
        <v>0</v>
      </c>
      <c r="K115" s="69">
        <f>K116</f>
        <v>0</v>
      </c>
      <c r="L115" s="69">
        <f>L116</f>
        <v>0</v>
      </c>
    </row>
    <row r="116" spans="1:12" ht="15" customHeight="1" hidden="1">
      <c r="A116" s="124" t="s">
        <v>100</v>
      </c>
      <c r="B116" s="95" t="s">
        <v>112</v>
      </c>
      <c r="C116" s="95" t="s">
        <v>14</v>
      </c>
      <c r="D116" s="95" t="s">
        <v>14</v>
      </c>
      <c r="E116" s="95" t="s">
        <v>144</v>
      </c>
      <c r="F116" s="95" t="s">
        <v>134</v>
      </c>
      <c r="G116" s="22">
        <v>321</v>
      </c>
      <c r="H116" s="69"/>
      <c r="I116" s="69"/>
      <c r="J116" s="69">
        <f>H116+I116</f>
        <v>0</v>
      </c>
      <c r="K116" s="69"/>
      <c r="L116" s="69">
        <f>J116+K116</f>
        <v>0</v>
      </c>
    </row>
    <row r="117" spans="1:12" ht="21.75" customHeight="1">
      <c r="A117" s="124" t="s">
        <v>405</v>
      </c>
      <c r="B117" s="95" t="s">
        <v>112</v>
      </c>
      <c r="C117" s="95" t="s">
        <v>14</v>
      </c>
      <c r="D117" s="95" t="s">
        <v>14</v>
      </c>
      <c r="E117" s="95" t="s">
        <v>148</v>
      </c>
      <c r="F117" s="95"/>
      <c r="G117" s="22"/>
      <c r="H117" s="69">
        <f>H118</f>
        <v>0</v>
      </c>
      <c r="I117" s="69">
        <f>I118</f>
        <v>1804</v>
      </c>
      <c r="J117" s="69">
        <f>J118</f>
        <v>1710.652</v>
      </c>
      <c r="K117" s="69">
        <f>K118</f>
        <v>64.68</v>
      </c>
      <c r="L117" s="69">
        <f>L118</f>
        <v>1775.332</v>
      </c>
    </row>
    <row r="118" spans="1:12" ht="15" customHeight="1">
      <c r="A118" s="224" t="s">
        <v>163</v>
      </c>
      <c r="B118" s="95" t="s">
        <v>112</v>
      </c>
      <c r="C118" s="95" t="s">
        <v>14</v>
      </c>
      <c r="D118" s="95" t="s">
        <v>14</v>
      </c>
      <c r="E118" s="95" t="s">
        <v>148</v>
      </c>
      <c r="F118" s="95" t="s">
        <v>134</v>
      </c>
      <c r="G118" s="22">
        <v>500</v>
      </c>
      <c r="H118" s="69"/>
      <c r="I118" s="69">
        <v>1804</v>
      </c>
      <c r="J118" s="69">
        <v>1710.652</v>
      </c>
      <c r="K118" s="69">
        <f>64.68</f>
        <v>64.68</v>
      </c>
      <c r="L118" s="69">
        <f>J118+K118</f>
        <v>1775.332</v>
      </c>
    </row>
    <row r="119" spans="1:12" ht="24" customHeight="1">
      <c r="A119" s="124" t="s">
        <v>534</v>
      </c>
      <c r="B119" s="95" t="s">
        <v>112</v>
      </c>
      <c r="C119" s="95" t="s">
        <v>14</v>
      </c>
      <c r="D119" s="95" t="s">
        <v>14</v>
      </c>
      <c r="E119" s="95" t="s">
        <v>146</v>
      </c>
      <c r="F119" s="95"/>
      <c r="G119" s="22"/>
      <c r="H119" s="69"/>
      <c r="I119" s="69"/>
      <c r="J119" s="69">
        <f>J120</f>
        <v>250</v>
      </c>
      <c r="K119" s="69">
        <f>K120</f>
        <v>0</v>
      </c>
      <c r="L119" s="69">
        <f>L120</f>
        <v>250</v>
      </c>
    </row>
    <row r="120" spans="1:12" ht="26.25" customHeight="1">
      <c r="A120" s="224" t="s">
        <v>163</v>
      </c>
      <c r="B120" s="95" t="s">
        <v>112</v>
      </c>
      <c r="C120" s="95" t="s">
        <v>14</v>
      </c>
      <c r="D120" s="95" t="s">
        <v>14</v>
      </c>
      <c r="E120" s="95" t="s">
        <v>146</v>
      </c>
      <c r="F120" s="95" t="s">
        <v>134</v>
      </c>
      <c r="G120" s="22"/>
      <c r="H120" s="69">
        <v>190.2</v>
      </c>
      <c r="I120" s="69">
        <v>-190.2</v>
      </c>
      <c r="J120" s="69">
        <v>250</v>
      </c>
      <c r="K120" s="69"/>
      <c r="L120" s="69">
        <f>J120+K120</f>
        <v>250</v>
      </c>
    </row>
    <row r="121" spans="1:12" ht="31.5" customHeight="1" hidden="1">
      <c r="A121" s="126"/>
      <c r="B121" s="95"/>
      <c r="C121" s="95"/>
      <c r="D121" s="95"/>
      <c r="E121" s="95"/>
      <c r="F121" s="95"/>
      <c r="G121" s="22"/>
      <c r="H121" s="69"/>
      <c r="I121" s="69"/>
      <c r="J121" s="69"/>
      <c r="K121" s="69"/>
      <c r="L121" s="69"/>
    </row>
    <row r="122" spans="1:12" ht="15.75" customHeight="1">
      <c r="A122" s="123" t="s">
        <v>47</v>
      </c>
      <c r="B122" s="94" t="s">
        <v>112</v>
      </c>
      <c r="C122" s="94" t="s">
        <v>14</v>
      </c>
      <c r="D122" s="94" t="s">
        <v>28</v>
      </c>
      <c r="E122" s="94"/>
      <c r="F122" s="94"/>
      <c r="G122" s="18" t="e">
        <f>G123+G133+#REF!+#REF!+G127+G142</f>
        <v>#REF!</v>
      </c>
      <c r="H122" s="66">
        <f>H123+H127+H133+H142</f>
        <v>5704.41</v>
      </c>
      <c r="I122" s="66">
        <f>I123+I127+I133+I142</f>
        <v>3932.65</v>
      </c>
      <c r="J122" s="66">
        <f>J123+J127+J133+J142</f>
        <v>8971.747000000001</v>
      </c>
      <c r="K122" s="66">
        <f>K123+K127+K133+K142</f>
        <v>-311.74</v>
      </c>
      <c r="L122" s="66">
        <f>L123+L127+L133+L142</f>
        <v>8660.007000000001</v>
      </c>
    </row>
    <row r="123" spans="1:12" ht="23.25">
      <c r="A123" s="124" t="s">
        <v>552</v>
      </c>
      <c r="B123" s="95" t="s">
        <v>112</v>
      </c>
      <c r="C123" s="95" t="s">
        <v>14</v>
      </c>
      <c r="D123" s="95" t="s">
        <v>28</v>
      </c>
      <c r="E123" s="95" t="s">
        <v>115</v>
      </c>
      <c r="F123" s="95"/>
      <c r="G123" s="22" t="e">
        <f aca="true" t="shared" si="7" ref="G123:L123">G124</f>
        <v>#REF!</v>
      </c>
      <c r="H123" s="69">
        <f t="shared" si="7"/>
        <v>1049.99</v>
      </c>
      <c r="I123" s="69">
        <f t="shared" si="7"/>
        <v>246.5</v>
      </c>
      <c r="J123" s="69">
        <f t="shared" si="7"/>
        <v>1296.49</v>
      </c>
      <c r="K123" s="69">
        <f t="shared" si="7"/>
        <v>0</v>
      </c>
      <c r="L123" s="69">
        <f t="shared" si="7"/>
        <v>1296.49</v>
      </c>
    </row>
    <row r="124" spans="1:12" ht="15">
      <c r="A124" s="124" t="s">
        <v>116</v>
      </c>
      <c r="B124" s="95" t="s">
        <v>112</v>
      </c>
      <c r="C124" s="95" t="s">
        <v>14</v>
      </c>
      <c r="D124" s="95" t="s">
        <v>28</v>
      </c>
      <c r="E124" s="95" t="s">
        <v>117</v>
      </c>
      <c r="F124" s="95"/>
      <c r="G124" s="22" t="e">
        <f>#REF!+#REF!</f>
        <v>#REF!</v>
      </c>
      <c r="H124" s="69">
        <f>H125+H126</f>
        <v>1049.99</v>
      </c>
      <c r="I124" s="69">
        <f>I125+I126</f>
        <v>246.5</v>
      </c>
      <c r="J124" s="69">
        <f>J125+J126</f>
        <v>1296.49</v>
      </c>
      <c r="K124" s="69">
        <f>K125+K126</f>
        <v>0</v>
      </c>
      <c r="L124" s="69">
        <f>L125+L126</f>
        <v>1296.49</v>
      </c>
    </row>
    <row r="125" spans="1:12" ht="22.5">
      <c r="A125" s="126" t="s">
        <v>150</v>
      </c>
      <c r="B125" s="95" t="s">
        <v>112</v>
      </c>
      <c r="C125" s="95" t="s">
        <v>14</v>
      </c>
      <c r="D125" s="95" t="s">
        <v>28</v>
      </c>
      <c r="E125" s="95" t="s">
        <v>117</v>
      </c>
      <c r="F125" s="95" t="s">
        <v>151</v>
      </c>
      <c r="G125" s="22"/>
      <c r="H125" s="69">
        <v>1049.99</v>
      </c>
      <c r="I125" s="69">
        <v>246.5</v>
      </c>
      <c r="J125" s="69">
        <f>H125+I125</f>
        <v>1296.49</v>
      </c>
      <c r="K125" s="69"/>
      <c r="L125" s="69">
        <f>J125+K125</f>
        <v>1296.49</v>
      </c>
    </row>
    <row r="126" spans="1:12" ht="15" customHeight="1" hidden="1">
      <c r="A126" s="124" t="s">
        <v>94</v>
      </c>
      <c r="B126" s="95" t="s">
        <v>112</v>
      </c>
      <c r="C126" s="95" t="s">
        <v>14</v>
      </c>
      <c r="D126" s="95" t="s">
        <v>28</v>
      </c>
      <c r="E126" s="95" t="s">
        <v>117</v>
      </c>
      <c r="F126" s="95" t="s">
        <v>93</v>
      </c>
      <c r="G126" s="22">
        <f>519.1+79</f>
        <v>598.1</v>
      </c>
      <c r="H126" s="69"/>
      <c r="I126" s="69"/>
      <c r="J126" s="69">
        <f>H126+I126</f>
        <v>0</v>
      </c>
      <c r="K126" s="69"/>
      <c r="L126" s="69">
        <f>J126+K126</f>
        <v>0</v>
      </c>
    </row>
    <row r="127" spans="1:12" ht="67.5">
      <c r="A127" s="225" t="s">
        <v>402</v>
      </c>
      <c r="B127" s="95" t="s">
        <v>112</v>
      </c>
      <c r="C127" s="95" t="s">
        <v>14</v>
      </c>
      <c r="D127" s="95" t="s">
        <v>28</v>
      </c>
      <c r="E127" s="95" t="s">
        <v>152</v>
      </c>
      <c r="F127" s="95"/>
      <c r="G127" s="22"/>
      <c r="H127" s="69">
        <f>H128+H129+H131+H132</f>
        <v>665.8</v>
      </c>
      <c r="I127" s="69">
        <f>I128+I129+I131+I132</f>
        <v>49</v>
      </c>
      <c r="J127" s="69">
        <f>J128+J129+J131+J132+J130</f>
        <v>714.8000000000001</v>
      </c>
      <c r="K127" s="69">
        <f>K128+K129+K131+K132+K130</f>
        <v>-219.33</v>
      </c>
      <c r="L127" s="69">
        <f>L128+L129+L131+L132+L130</f>
        <v>495.46999999999997</v>
      </c>
    </row>
    <row r="128" spans="1:12" ht="22.5">
      <c r="A128" s="126" t="s">
        <v>150</v>
      </c>
      <c r="B128" s="95" t="s">
        <v>112</v>
      </c>
      <c r="C128" s="95" t="s">
        <v>14</v>
      </c>
      <c r="D128" s="95" t="s">
        <v>28</v>
      </c>
      <c r="E128" s="95" t="s">
        <v>152</v>
      </c>
      <c r="F128" s="95" t="s">
        <v>151</v>
      </c>
      <c r="G128" s="22"/>
      <c r="H128" s="69">
        <v>487.61</v>
      </c>
      <c r="I128" s="69">
        <v>49</v>
      </c>
      <c r="J128" s="69">
        <f>SUM(H128:I128)</f>
        <v>536.61</v>
      </c>
      <c r="K128" s="69">
        <f>-151.25597-17.37492</f>
        <v>-168.63089</v>
      </c>
      <c r="L128" s="69">
        <f>SUM(J128:K128)</f>
        <v>367.97911</v>
      </c>
    </row>
    <row r="129" spans="1:12" ht="26.25" customHeight="1">
      <c r="A129" s="126" t="s">
        <v>153</v>
      </c>
      <c r="B129" s="95" t="s">
        <v>112</v>
      </c>
      <c r="C129" s="95" t="s">
        <v>14</v>
      </c>
      <c r="D129" s="95" t="s">
        <v>28</v>
      </c>
      <c r="E129" s="95" t="s">
        <v>152</v>
      </c>
      <c r="F129" s="95" t="s">
        <v>154</v>
      </c>
      <c r="G129" s="22"/>
      <c r="H129" s="69">
        <v>10.2</v>
      </c>
      <c r="I129" s="69"/>
      <c r="J129" s="69">
        <f>SUM(H129:I129)</f>
        <v>10.2</v>
      </c>
      <c r="K129" s="69">
        <f>-3.9-1.9</f>
        <v>-5.8</v>
      </c>
      <c r="L129" s="69">
        <f>SUM(J129:K129)</f>
        <v>4.3999999999999995</v>
      </c>
    </row>
    <row r="130" spans="1:12" ht="26.25" customHeight="1">
      <c r="A130" s="126" t="s">
        <v>156</v>
      </c>
      <c r="B130" s="95" t="s">
        <v>112</v>
      </c>
      <c r="C130" s="95" t="s">
        <v>14</v>
      </c>
      <c r="D130" s="95" t="s">
        <v>28</v>
      </c>
      <c r="E130" s="95" t="s">
        <v>152</v>
      </c>
      <c r="F130" s="95" t="s">
        <v>157</v>
      </c>
      <c r="G130" s="22"/>
      <c r="H130" s="69">
        <v>166.99</v>
      </c>
      <c r="I130" s="69"/>
      <c r="J130" s="69"/>
      <c r="K130" s="69">
        <f>-0.5+4</f>
        <v>3.5</v>
      </c>
      <c r="L130" s="69">
        <f>SUM(J130:K130)</f>
        <v>3.5</v>
      </c>
    </row>
    <row r="131" spans="1:12" ht="24" customHeight="1">
      <c r="A131" s="126" t="s">
        <v>548</v>
      </c>
      <c r="B131" s="95" t="s">
        <v>112</v>
      </c>
      <c r="C131" s="95" t="s">
        <v>14</v>
      </c>
      <c r="D131" s="95" t="s">
        <v>28</v>
      </c>
      <c r="E131" s="95" t="s">
        <v>152</v>
      </c>
      <c r="F131" s="95" t="s">
        <v>147</v>
      </c>
      <c r="G131" s="22"/>
      <c r="H131" s="69">
        <v>167.99</v>
      </c>
      <c r="I131" s="69"/>
      <c r="J131" s="69">
        <f>SUM(H131:I131)</f>
        <v>167.99</v>
      </c>
      <c r="K131" s="69">
        <f>20.47492-64.87403-4</f>
        <v>-48.39911000000001</v>
      </c>
      <c r="L131" s="69">
        <f>SUM(J131:K131)</f>
        <v>119.59089</v>
      </c>
    </row>
    <row r="132" spans="1:12" ht="15" customHeight="1" hidden="1">
      <c r="A132" s="124" t="s">
        <v>94</v>
      </c>
      <c r="B132" s="95" t="s">
        <v>112</v>
      </c>
      <c r="C132" s="95" t="s">
        <v>14</v>
      </c>
      <c r="D132" s="95" t="s">
        <v>28</v>
      </c>
      <c r="E132" s="95" t="s">
        <v>152</v>
      </c>
      <c r="F132" s="95" t="s">
        <v>93</v>
      </c>
      <c r="G132" s="22"/>
      <c r="H132" s="69"/>
      <c r="I132" s="69"/>
      <c r="J132" s="69">
        <f>H132+I132</f>
        <v>0</v>
      </c>
      <c r="K132" s="69"/>
      <c r="L132" s="69">
        <f>J132+K132</f>
        <v>0</v>
      </c>
    </row>
    <row r="133" spans="1:12" ht="68.25">
      <c r="A133" s="124" t="s">
        <v>155</v>
      </c>
      <c r="B133" s="95" t="s">
        <v>112</v>
      </c>
      <c r="C133" s="95" t="s">
        <v>14</v>
      </c>
      <c r="D133" s="95" t="s">
        <v>28</v>
      </c>
      <c r="E133" s="95" t="s">
        <v>104</v>
      </c>
      <c r="F133" s="95"/>
      <c r="G133" s="22">
        <f aca="true" t="shared" si="8" ref="G133:L133">G134</f>
        <v>80</v>
      </c>
      <c r="H133" s="69">
        <f t="shared" si="8"/>
        <v>3988.62</v>
      </c>
      <c r="I133" s="69">
        <f t="shared" si="8"/>
        <v>3387.15</v>
      </c>
      <c r="J133" s="69">
        <f t="shared" si="8"/>
        <v>6960.457000000001</v>
      </c>
      <c r="K133" s="69">
        <f t="shared" si="8"/>
        <v>-92.41</v>
      </c>
      <c r="L133" s="69">
        <f t="shared" si="8"/>
        <v>6868.0470000000005</v>
      </c>
    </row>
    <row r="134" spans="1:12" ht="23.25">
      <c r="A134" s="124" t="s">
        <v>98</v>
      </c>
      <c r="B134" s="95" t="s">
        <v>112</v>
      </c>
      <c r="C134" s="95" t="s">
        <v>14</v>
      </c>
      <c r="D134" s="95" t="s">
        <v>28</v>
      </c>
      <c r="E134" s="95" t="s">
        <v>105</v>
      </c>
      <c r="F134" s="95"/>
      <c r="G134" s="22">
        <f>G135</f>
        <v>80</v>
      </c>
      <c r="H134" s="69">
        <f>H135+H136+H137+H139+H138+H140+H141</f>
        <v>3988.62</v>
      </c>
      <c r="I134" s="69">
        <f>I135+I136+I137+I139+I138+I140+I141</f>
        <v>3387.15</v>
      </c>
      <c r="J134" s="69">
        <f>J135+J136+J137+J139+J138+J140+J141</f>
        <v>6960.457000000001</v>
      </c>
      <c r="K134" s="69">
        <f>K135+K136+K137+K139+K138+K140+K141</f>
        <v>-92.41</v>
      </c>
      <c r="L134" s="69">
        <f>L135+L136+L137+L139+L138+L140+L141</f>
        <v>6868.0470000000005</v>
      </c>
    </row>
    <row r="135" spans="1:12" ht="15" customHeight="1" hidden="1">
      <c r="A135" s="124" t="s">
        <v>121</v>
      </c>
      <c r="B135" s="95" t="s">
        <v>112</v>
      </c>
      <c r="C135" s="95" t="s">
        <v>14</v>
      </c>
      <c r="D135" s="95" t="s">
        <v>28</v>
      </c>
      <c r="E135" s="95" t="s">
        <v>105</v>
      </c>
      <c r="F135" s="95" t="s">
        <v>97</v>
      </c>
      <c r="G135" s="22">
        <f>50+30</f>
        <v>80</v>
      </c>
      <c r="H135" s="69"/>
      <c r="I135" s="69"/>
      <c r="J135" s="69">
        <f>H135+I135</f>
        <v>0</v>
      </c>
      <c r="K135" s="69"/>
      <c r="L135" s="69">
        <f>J135+K135</f>
        <v>0</v>
      </c>
    </row>
    <row r="136" spans="1:12" ht="30" customHeight="1">
      <c r="A136" s="129" t="s">
        <v>150</v>
      </c>
      <c r="B136" s="95" t="s">
        <v>112</v>
      </c>
      <c r="C136" s="95" t="s">
        <v>14</v>
      </c>
      <c r="D136" s="95" t="s">
        <v>28</v>
      </c>
      <c r="E136" s="95" t="s">
        <v>105</v>
      </c>
      <c r="F136" s="95" t="s">
        <v>151</v>
      </c>
      <c r="G136" s="22"/>
      <c r="H136" s="69">
        <v>2962.84</v>
      </c>
      <c r="I136" s="69">
        <v>2193.43</v>
      </c>
      <c r="J136" s="69">
        <v>4740.957</v>
      </c>
      <c r="K136" s="69"/>
      <c r="L136" s="69">
        <f>J136+K136</f>
        <v>4740.957</v>
      </c>
    </row>
    <row r="137" spans="1:12" ht="30" customHeight="1">
      <c r="A137" s="126" t="s">
        <v>153</v>
      </c>
      <c r="B137" s="95" t="s">
        <v>112</v>
      </c>
      <c r="C137" s="95" t="s">
        <v>14</v>
      </c>
      <c r="D137" s="95" t="s">
        <v>28</v>
      </c>
      <c r="E137" s="95" t="s">
        <v>105</v>
      </c>
      <c r="F137" s="95" t="s">
        <v>154</v>
      </c>
      <c r="G137" s="22"/>
      <c r="H137" s="69">
        <v>19.2</v>
      </c>
      <c r="I137" s="69"/>
      <c r="J137" s="69">
        <f>SUM(H137:I137)</f>
        <v>19.2</v>
      </c>
      <c r="K137" s="69"/>
      <c r="L137" s="69">
        <f aca="true" t="shared" si="9" ref="L137:L143">J137+K137</f>
        <v>19.2</v>
      </c>
    </row>
    <row r="138" spans="1:12" ht="30" customHeight="1">
      <c r="A138" s="126" t="s">
        <v>156</v>
      </c>
      <c r="B138" s="95" t="s">
        <v>112</v>
      </c>
      <c r="C138" s="95" t="s">
        <v>14</v>
      </c>
      <c r="D138" s="95" t="s">
        <v>28</v>
      </c>
      <c r="E138" s="95" t="s">
        <v>105</v>
      </c>
      <c r="F138" s="95" t="s">
        <v>157</v>
      </c>
      <c r="G138" s="22"/>
      <c r="H138" s="69"/>
      <c r="I138" s="69">
        <v>48.3</v>
      </c>
      <c r="J138" s="69">
        <f>SUM(H138:I138)</f>
        <v>48.3</v>
      </c>
      <c r="K138" s="69"/>
      <c r="L138" s="69">
        <f t="shared" si="9"/>
        <v>48.3</v>
      </c>
    </row>
    <row r="139" spans="1:12" ht="24" customHeight="1">
      <c r="A139" s="126" t="s">
        <v>548</v>
      </c>
      <c r="B139" s="95" t="s">
        <v>112</v>
      </c>
      <c r="C139" s="95" t="s">
        <v>14</v>
      </c>
      <c r="D139" s="95" t="s">
        <v>28</v>
      </c>
      <c r="E139" s="95" t="s">
        <v>105</v>
      </c>
      <c r="F139" s="95" t="s">
        <v>147</v>
      </c>
      <c r="G139" s="22"/>
      <c r="H139" s="69">
        <v>1006.58</v>
      </c>
      <c r="I139" s="69">
        <v>986.82</v>
      </c>
      <c r="J139" s="69">
        <f>SUM(H139:I139)</f>
        <v>1993.4</v>
      </c>
      <c r="K139" s="69">
        <f>0.8</f>
        <v>0.8</v>
      </c>
      <c r="L139" s="69">
        <f t="shared" si="9"/>
        <v>1994.2</v>
      </c>
    </row>
    <row r="140" spans="1:12" ht="30" customHeight="1">
      <c r="A140" s="126" t="s">
        <v>158</v>
      </c>
      <c r="B140" s="95" t="s">
        <v>112</v>
      </c>
      <c r="C140" s="95" t="s">
        <v>14</v>
      </c>
      <c r="D140" s="95" t="s">
        <v>28</v>
      </c>
      <c r="E140" s="95" t="s">
        <v>105</v>
      </c>
      <c r="F140" s="95" t="s">
        <v>159</v>
      </c>
      <c r="G140" s="22"/>
      <c r="H140" s="69"/>
      <c r="I140" s="69">
        <v>149.6</v>
      </c>
      <c r="J140" s="69">
        <v>149.3</v>
      </c>
      <c r="K140" s="69">
        <v>-93.21</v>
      </c>
      <c r="L140" s="69">
        <f t="shared" si="9"/>
        <v>56.09000000000002</v>
      </c>
    </row>
    <row r="141" spans="1:12" ht="17.25" customHeight="1">
      <c r="A141" s="126" t="s">
        <v>160</v>
      </c>
      <c r="B141" s="95" t="s">
        <v>112</v>
      </c>
      <c r="C141" s="95" t="s">
        <v>14</v>
      </c>
      <c r="D141" s="95" t="s">
        <v>28</v>
      </c>
      <c r="E141" s="95" t="s">
        <v>105</v>
      </c>
      <c r="F141" s="95" t="s">
        <v>161</v>
      </c>
      <c r="G141" s="22"/>
      <c r="H141" s="69"/>
      <c r="I141" s="69">
        <v>9</v>
      </c>
      <c r="J141" s="69">
        <v>9.3</v>
      </c>
      <c r="K141" s="69"/>
      <c r="L141" s="69">
        <f t="shared" si="9"/>
        <v>9.3</v>
      </c>
    </row>
    <row r="142" spans="1:12" ht="40.5" customHeight="1" hidden="1">
      <c r="A142" s="126" t="s">
        <v>524</v>
      </c>
      <c r="B142" s="95" t="s">
        <v>112</v>
      </c>
      <c r="C142" s="95" t="s">
        <v>14</v>
      </c>
      <c r="D142" s="95" t="s">
        <v>28</v>
      </c>
      <c r="E142" s="95" t="s">
        <v>162</v>
      </c>
      <c r="F142" s="95"/>
      <c r="G142" s="22"/>
      <c r="H142" s="69">
        <f>H143</f>
        <v>0</v>
      </c>
      <c r="I142" s="69">
        <f>I143</f>
        <v>250</v>
      </c>
      <c r="J142" s="69">
        <f>J143</f>
        <v>0</v>
      </c>
      <c r="K142" s="69">
        <f>K143</f>
        <v>0</v>
      </c>
      <c r="L142" s="69">
        <f>L143</f>
        <v>0</v>
      </c>
    </row>
    <row r="143" spans="1:12" ht="30" customHeight="1" hidden="1">
      <c r="A143" s="126" t="s">
        <v>163</v>
      </c>
      <c r="B143" s="95" t="s">
        <v>112</v>
      </c>
      <c r="C143" s="95" t="s">
        <v>14</v>
      </c>
      <c r="D143" s="95" t="s">
        <v>28</v>
      </c>
      <c r="E143" s="95" t="s">
        <v>162</v>
      </c>
      <c r="F143" s="95" t="s">
        <v>134</v>
      </c>
      <c r="G143" s="22"/>
      <c r="H143" s="69"/>
      <c r="I143" s="69">
        <v>250</v>
      </c>
      <c r="J143" s="69">
        <v>0</v>
      </c>
      <c r="K143" s="69"/>
      <c r="L143" s="69">
        <f t="shared" si="9"/>
        <v>0</v>
      </c>
    </row>
    <row r="144" spans="1:12" ht="15">
      <c r="A144" s="123" t="s">
        <v>62</v>
      </c>
      <c r="B144" s="94" t="s">
        <v>112</v>
      </c>
      <c r="C144" s="94" t="s">
        <v>61</v>
      </c>
      <c r="D144" s="94"/>
      <c r="E144" s="94"/>
      <c r="F144" s="94"/>
      <c r="G144" s="17" t="e">
        <f aca="true" t="shared" si="10" ref="G144:L144">G145+G148</f>
        <v>#REF!</v>
      </c>
      <c r="H144" s="66">
        <f t="shared" si="10"/>
        <v>17598.1</v>
      </c>
      <c r="I144" s="66">
        <f t="shared" si="10"/>
        <v>4482.9</v>
      </c>
      <c r="J144" s="66">
        <f t="shared" si="10"/>
        <v>14187</v>
      </c>
      <c r="K144" s="66">
        <f t="shared" si="10"/>
        <v>-5076.714</v>
      </c>
      <c r="L144" s="66">
        <f t="shared" si="10"/>
        <v>9110.286</v>
      </c>
    </row>
    <row r="145" spans="1:12" ht="15" customHeight="1" hidden="1">
      <c r="A145" s="123" t="s">
        <v>164</v>
      </c>
      <c r="B145" s="94" t="s">
        <v>112</v>
      </c>
      <c r="C145" s="94" t="s">
        <v>61</v>
      </c>
      <c r="D145" s="94" t="s">
        <v>8</v>
      </c>
      <c r="E145" s="94"/>
      <c r="F145" s="94"/>
      <c r="G145" s="17" t="e">
        <f aca="true" t="shared" si="11" ref="G145:L146">G146</f>
        <v>#REF!</v>
      </c>
      <c r="H145" s="66">
        <f t="shared" si="11"/>
        <v>0</v>
      </c>
      <c r="I145" s="66">
        <f t="shared" si="11"/>
        <v>0</v>
      </c>
      <c r="J145" s="66">
        <f t="shared" si="11"/>
        <v>0</v>
      </c>
      <c r="K145" s="66">
        <f t="shared" si="11"/>
        <v>0</v>
      </c>
      <c r="L145" s="66">
        <f t="shared" si="11"/>
        <v>0</v>
      </c>
    </row>
    <row r="146" spans="1:12" ht="42.75" customHeight="1" hidden="1">
      <c r="A146" s="124" t="s">
        <v>165</v>
      </c>
      <c r="B146" s="95" t="s">
        <v>112</v>
      </c>
      <c r="C146" s="95" t="s">
        <v>61</v>
      </c>
      <c r="D146" s="95" t="s">
        <v>8</v>
      </c>
      <c r="E146" s="95" t="s">
        <v>166</v>
      </c>
      <c r="F146" s="95"/>
      <c r="G146" s="22" t="e">
        <f>#REF!+G147</f>
        <v>#REF!</v>
      </c>
      <c r="H146" s="69">
        <f>H147</f>
        <v>0</v>
      </c>
      <c r="I146" s="69">
        <f t="shared" si="11"/>
        <v>0</v>
      </c>
      <c r="J146" s="69">
        <f t="shared" si="11"/>
        <v>0</v>
      </c>
      <c r="K146" s="69">
        <f t="shared" si="11"/>
        <v>0</v>
      </c>
      <c r="L146" s="69">
        <f t="shared" si="11"/>
        <v>0</v>
      </c>
    </row>
    <row r="147" spans="1:12" ht="15" customHeight="1" hidden="1">
      <c r="A147" s="124" t="s">
        <v>167</v>
      </c>
      <c r="B147" s="95" t="s">
        <v>112</v>
      </c>
      <c r="C147" s="95" t="s">
        <v>61</v>
      </c>
      <c r="D147" s="95" t="s">
        <v>8</v>
      </c>
      <c r="E147" s="95" t="s">
        <v>169</v>
      </c>
      <c r="F147" s="95" t="s">
        <v>168</v>
      </c>
      <c r="G147" s="22">
        <v>2819.6</v>
      </c>
      <c r="H147" s="69"/>
      <c r="I147" s="69"/>
      <c r="J147" s="69">
        <f>H147+I147</f>
        <v>0</v>
      </c>
      <c r="K147" s="69"/>
      <c r="L147" s="69">
        <f>J147+K147</f>
        <v>0</v>
      </c>
    </row>
    <row r="148" spans="1:12" ht="15">
      <c r="A148" s="123" t="s">
        <v>170</v>
      </c>
      <c r="B148" s="94" t="s">
        <v>112</v>
      </c>
      <c r="C148" s="94" t="s">
        <v>61</v>
      </c>
      <c r="D148" s="94" t="s">
        <v>9</v>
      </c>
      <c r="E148" s="94"/>
      <c r="F148" s="94"/>
      <c r="G148" s="18" t="e">
        <f>#REF!+G156+#REF!+#REF!</f>
        <v>#REF!</v>
      </c>
      <c r="H148" s="66">
        <f>H149+H156</f>
        <v>17598.1</v>
      </c>
      <c r="I148" s="66">
        <f>I149+I156</f>
        <v>4482.9</v>
      </c>
      <c r="J148" s="66">
        <f>J149+J156</f>
        <v>14187</v>
      </c>
      <c r="K148" s="66">
        <f>K149+K156</f>
        <v>-5076.714</v>
      </c>
      <c r="L148" s="66">
        <f>L149+L156</f>
        <v>9110.286</v>
      </c>
    </row>
    <row r="149" spans="1:12" ht="15" hidden="1">
      <c r="A149" s="105" t="s">
        <v>245</v>
      </c>
      <c r="B149" s="95" t="s">
        <v>112</v>
      </c>
      <c r="C149" s="95" t="s">
        <v>61</v>
      </c>
      <c r="D149" s="95" t="s">
        <v>9</v>
      </c>
      <c r="E149" s="95" t="s">
        <v>246</v>
      </c>
      <c r="F149" s="95"/>
      <c r="G149" s="21"/>
      <c r="H149" s="69">
        <f>H150+H154</f>
        <v>3432</v>
      </c>
      <c r="I149" s="69">
        <f>I150+I154</f>
        <v>4462</v>
      </c>
      <c r="J149" s="69">
        <f>J150+J154+J152</f>
        <v>0</v>
      </c>
      <c r="K149" s="69">
        <f>K150+K154+K152</f>
        <v>0</v>
      </c>
      <c r="L149" s="69">
        <f>L150+L154+L152</f>
        <v>0</v>
      </c>
    </row>
    <row r="150" spans="1:12" ht="46.5" customHeight="1" hidden="1">
      <c r="A150" s="124" t="s">
        <v>165</v>
      </c>
      <c r="B150" s="95" t="s">
        <v>112</v>
      </c>
      <c r="C150" s="95" t="s">
        <v>61</v>
      </c>
      <c r="D150" s="95" t="s">
        <v>9</v>
      </c>
      <c r="E150" s="95" t="s">
        <v>171</v>
      </c>
      <c r="F150" s="95"/>
      <c r="G150" s="22"/>
      <c r="H150" s="69">
        <f>H151</f>
        <v>3432</v>
      </c>
      <c r="I150" s="69">
        <f>I151</f>
        <v>4337</v>
      </c>
      <c r="J150" s="69">
        <f>J151</f>
        <v>0</v>
      </c>
      <c r="K150" s="69">
        <f>K151</f>
        <v>0</v>
      </c>
      <c r="L150" s="69">
        <f>L151</f>
        <v>0</v>
      </c>
    </row>
    <row r="151" spans="1:12" ht="25.5" customHeight="1" hidden="1">
      <c r="A151" s="124" t="s">
        <v>172</v>
      </c>
      <c r="B151" s="95" t="s">
        <v>112</v>
      </c>
      <c r="C151" s="95" t="s">
        <v>61</v>
      </c>
      <c r="D151" s="95" t="s">
        <v>9</v>
      </c>
      <c r="E151" s="95" t="s">
        <v>171</v>
      </c>
      <c r="F151" s="95" t="s">
        <v>173</v>
      </c>
      <c r="G151" s="22"/>
      <c r="H151" s="69">
        <v>3432</v>
      </c>
      <c r="I151" s="69">
        <v>4337</v>
      </c>
      <c r="J151" s="69">
        <v>0</v>
      </c>
      <c r="K151" s="69"/>
      <c r="L151" s="69">
        <f>J151+K151</f>
        <v>0</v>
      </c>
    </row>
    <row r="152" spans="1:12" ht="25.5" customHeight="1" hidden="1">
      <c r="A152" s="124" t="s">
        <v>165</v>
      </c>
      <c r="B152" s="95" t="s">
        <v>112</v>
      </c>
      <c r="C152" s="95" t="s">
        <v>61</v>
      </c>
      <c r="D152" s="95" t="s">
        <v>9</v>
      </c>
      <c r="E152" s="95" t="s">
        <v>169</v>
      </c>
      <c r="F152" s="95"/>
      <c r="G152" s="22"/>
      <c r="H152" s="69"/>
      <c r="I152" s="69"/>
      <c r="J152" s="69">
        <f>J153</f>
        <v>0</v>
      </c>
      <c r="K152" s="69">
        <f>K153</f>
        <v>0</v>
      </c>
      <c r="L152" s="69">
        <f>L153</f>
        <v>0</v>
      </c>
    </row>
    <row r="153" spans="1:12" ht="25.5" customHeight="1" hidden="1">
      <c r="A153" s="124" t="s">
        <v>172</v>
      </c>
      <c r="B153" s="95" t="s">
        <v>112</v>
      </c>
      <c r="C153" s="95" t="s">
        <v>61</v>
      </c>
      <c r="D153" s="95" t="s">
        <v>9</v>
      </c>
      <c r="E153" s="95" t="s">
        <v>169</v>
      </c>
      <c r="F153" s="95" t="s">
        <v>173</v>
      </c>
      <c r="G153" s="22"/>
      <c r="H153" s="69"/>
      <c r="I153" s="69"/>
      <c r="J153" s="69"/>
      <c r="K153" s="69"/>
      <c r="L153" s="69">
        <f>J153+K153</f>
        <v>0</v>
      </c>
    </row>
    <row r="154" spans="1:12" ht="43.5" customHeight="1" hidden="1">
      <c r="A154" s="126" t="s">
        <v>174</v>
      </c>
      <c r="B154" s="101" t="s">
        <v>112</v>
      </c>
      <c r="C154" s="101" t="s">
        <v>61</v>
      </c>
      <c r="D154" s="101" t="s">
        <v>9</v>
      </c>
      <c r="E154" s="101" t="s">
        <v>175</v>
      </c>
      <c r="F154" s="95"/>
      <c r="G154" s="22"/>
      <c r="H154" s="69">
        <f>H155</f>
        <v>0</v>
      </c>
      <c r="I154" s="69">
        <f>I155</f>
        <v>125</v>
      </c>
      <c r="J154" s="69">
        <f>J155</f>
        <v>0</v>
      </c>
      <c r="K154" s="69">
        <f>K155</f>
        <v>0</v>
      </c>
      <c r="L154" s="69">
        <f>L155</f>
        <v>0</v>
      </c>
    </row>
    <row r="155" spans="1:12" ht="25.5" customHeight="1" hidden="1">
      <c r="A155" s="124" t="s">
        <v>172</v>
      </c>
      <c r="B155" s="101" t="s">
        <v>112</v>
      </c>
      <c r="C155" s="101" t="s">
        <v>61</v>
      </c>
      <c r="D155" s="101" t="s">
        <v>9</v>
      </c>
      <c r="E155" s="101" t="s">
        <v>175</v>
      </c>
      <c r="F155" s="95" t="s">
        <v>173</v>
      </c>
      <c r="G155" s="22"/>
      <c r="H155" s="69"/>
      <c r="I155" s="69">
        <v>125</v>
      </c>
      <c r="J155" s="69">
        <v>0</v>
      </c>
      <c r="K155" s="69"/>
      <c r="L155" s="69">
        <f>J155+K155</f>
        <v>0</v>
      </c>
    </row>
    <row r="156" spans="1:12" ht="18.75" customHeight="1">
      <c r="A156" s="124" t="s">
        <v>101</v>
      </c>
      <c r="B156" s="95" t="s">
        <v>112</v>
      </c>
      <c r="C156" s="95" t="s">
        <v>61</v>
      </c>
      <c r="D156" s="95" t="s">
        <v>9</v>
      </c>
      <c r="E156" s="95" t="s">
        <v>102</v>
      </c>
      <c r="F156" s="95"/>
      <c r="G156" s="21" t="e">
        <f>G160+G157</f>
        <v>#REF!</v>
      </c>
      <c r="H156" s="69">
        <f>H157+H160</f>
        <v>14166.1</v>
      </c>
      <c r="I156" s="69">
        <f>I157+I160</f>
        <v>20.9</v>
      </c>
      <c r="J156" s="69">
        <f>J157+J160</f>
        <v>14187</v>
      </c>
      <c r="K156" s="69">
        <f>K157+K160</f>
        <v>-5076.714</v>
      </c>
      <c r="L156" s="69">
        <f>L157+L160</f>
        <v>9110.286</v>
      </c>
    </row>
    <row r="157" spans="1:12" ht="43.5" customHeight="1">
      <c r="A157" s="124" t="s">
        <v>176</v>
      </c>
      <c r="B157" s="95" t="s">
        <v>112</v>
      </c>
      <c r="C157" s="95" t="s">
        <v>61</v>
      </c>
      <c r="D157" s="95" t="s">
        <v>9</v>
      </c>
      <c r="E157" s="95" t="s">
        <v>177</v>
      </c>
      <c r="F157" s="95"/>
      <c r="G157" s="22">
        <f>G158</f>
        <v>1011.2162</v>
      </c>
      <c r="H157" s="69">
        <f>H158+H159</f>
        <v>1372.6</v>
      </c>
      <c r="I157" s="69">
        <f>I158+I159</f>
        <v>17.4</v>
      </c>
      <c r="J157" s="69">
        <f>J158+J159</f>
        <v>1390</v>
      </c>
      <c r="K157" s="69">
        <f>K158+K159</f>
        <v>0</v>
      </c>
      <c r="L157" s="69">
        <f>L158+L159</f>
        <v>1390</v>
      </c>
    </row>
    <row r="158" spans="1:12" ht="15" customHeight="1" hidden="1">
      <c r="A158" s="124" t="s">
        <v>167</v>
      </c>
      <c r="B158" s="95" t="s">
        <v>112</v>
      </c>
      <c r="C158" s="95" t="s">
        <v>61</v>
      </c>
      <c r="D158" s="95" t="s">
        <v>9</v>
      </c>
      <c r="E158" s="95" t="s">
        <v>177</v>
      </c>
      <c r="F158" s="95" t="s">
        <v>168</v>
      </c>
      <c r="G158" s="22">
        <f>11.2162+1000</f>
        <v>1011.2162</v>
      </c>
      <c r="H158" s="69"/>
      <c r="I158" s="69"/>
      <c r="J158" s="69">
        <f>H158+I158</f>
        <v>0</v>
      </c>
      <c r="K158" s="69"/>
      <c r="L158" s="69">
        <f>J158+K158</f>
        <v>0</v>
      </c>
    </row>
    <row r="159" spans="1:12" ht="15" customHeight="1">
      <c r="A159" s="126" t="s">
        <v>178</v>
      </c>
      <c r="B159" s="95" t="s">
        <v>112</v>
      </c>
      <c r="C159" s="95" t="s">
        <v>61</v>
      </c>
      <c r="D159" s="95" t="s">
        <v>9</v>
      </c>
      <c r="E159" s="95" t="s">
        <v>177</v>
      </c>
      <c r="F159" s="95" t="s">
        <v>179</v>
      </c>
      <c r="G159" s="22"/>
      <c r="H159" s="69">
        <v>1372.6</v>
      </c>
      <c r="I159" s="69">
        <v>17.4</v>
      </c>
      <c r="J159" s="69">
        <f>SUM(H159:I159)</f>
        <v>1390</v>
      </c>
      <c r="K159" s="69"/>
      <c r="L159" s="69">
        <f>J159+K159</f>
        <v>1390</v>
      </c>
    </row>
    <row r="160" spans="1:12" ht="23.25">
      <c r="A160" s="124" t="s">
        <v>180</v>
      </c>
      <c r="B160" s="95" t="s">
        <v>112</v>
      </c>
      <c r="C160" s="95" t="s">
        <v>61</v>
      </c>
      <c r="D160" s="95" t="s">
        <v>9</v>
      </c>
      <c r="E160" s="95" t="s">
        <v>181</v>
      </c>
      <c r="F160" s="95"/>
      <c r="G160" s="21" t="e">
        <f>#REF!+G161+G162</f>
        <v>#REF!</v>
      </c>
      <c r="H160" s="69">
        <f>H161+H162+H163+H164</f>
        <v>12793.5</v>
      </c>
      <c r="I160" s="69">
        <f>I161+I162+I163+I164</f>
        <v>3.5</v>
      </c>
      <c r="J160" s="69">
        <f>J161+J162+J163+J164</f>
        <v>12797</v>
      </c>
      <c r="K160" s="69">
        <f>K161+K162+K163+K164</f>
        <v>-5076.714</v>
      </c>
      <c r="L160" s="69">
        <f>L161+L162+L163+L164</f>
        <v>7720.286</v>
      </c>
    </row>
    <row r="161" spans="1:12" ht="45" customHeight="1" hidden="1">
      <c r="A161" s="124" t="s">
        <v>182</v>
      </c>
      <c r="B161" s="95" t="s">
        <v>112</v>
      </c>
      <c r="C161" s="95" t="s">
        <v>61</v>
      </c>
      <c r="D161" s="95" t="s">
        <v>9</v>
      </c>
      <c r="E161" s="95" t="s">
        <v>183</v>
      </c>
      <c r="F161" s="95" t="s">
        <v>97</v>
      </c>
      <c r="G161" s="22">
        <v>-94.76</v>
      </c>
      <c r="H161" s="69">
        <v>0</v>
      </c>
      <c r="I161" s="69"/>
      <c r="J161" s="69">
        <f>H161+I161</f>
        <v>0</v>
      </c>
      <c r="K161" s="69"/>
      <c r="L161" s="69">
        <f>J161+K161</f>
        <v>0</v>
      </c>
    </row>
    <row r="162" spans="1:12" ht="21.75" customHeight="1" hidden="1">
      <c r="A162" s="135" t="s">
        <v>182</v>
      </c>
      <c r="B162" s="95" t="s">
        <v>112</v>
      </c>
      <c r="C162" s="95" t="s">
        <v>61</v>
      </c>
      <c r="D162" s="95" t="s">
        <v>9</v>
      </c>
      <c r="E162" s="95" t="s">
        <v>183</v>
      </c>
      <c r="F162" s="95" t="s">
        <v>168</v>
      </c>
      <c r="G162" s="22">
        <f>94.76+6519.9</f>
        <v>6614.66</v>
      </c>
      <c r="H162" s="69"/>
      <c r="I162" s="69"/>
      <c r="J162" s="69">
        <f>H162+I162</f>
        <v>0</v>
      </c>
      <c r="K162" s="69"/>
      <c r="L162" s="69">
        <f>J162+K162</f>
        <v>0</v>
      </c>
    </row>
    <row r="163" spans="1:12" ht="23.25" customHeight="1">
      <c r="A163" s="126" t="s">
        <v>184</v>
      </c>
      <c r="B163" s="95" t="s">
        <v>112</v>
      </c>
      <c r="C163" s="95" t="s">
        <v>61</v>
      </c>
      <c r="D163" s="95" t="s">
        <v>9</v>
      </c>
      <c r="E163" s="95" t="s">
        <v>183</v>
      </c>
      <c r="F163" s="95" t="s">
        <v>185</v>
      </c>
      <c r="G163" s="22"/>
      <c r="H163" s="69">
        <v>12793.5</v>
      </c>
      <c r="I163" s="69">
        <v>3.5</v>
      </c>
      <c r="J163" s="69">
        <f>SUM(H163:I163)</f>
        <v>12797</v>
      </c>
      <c r="K163" s="69">
        <f>-5076.714</f>
        <v>-5076.714</v>
      </c>
      <c r="L163" s="69">
        <f>J163+K163</f>
        <v>7720.286</v>
      </c>
    </row>
    <row r="164" spans="1:12" ht="42.75" customHeight="1" hidden="1" thickBot="1">
      <c r="A164" s="124" t="s">
        <v>172</v>
      </c>
      <c r="B164" s="95" t="s">
        <v>112</v>
      </c>
      <c r="C164" s="95" t="s">
        <v>61</v>
      </c>
      <c r="D164" s="95" t="s">
        <v>9</v>
      </c>
      <c r="E164" s="95" t="s">
        <v>183</v>
      </c>
      <c r="F164" s="95" t="s">
        <v>173</v>
      </c>
      <c r="G164" s="22"/>
      <c r="H164" s="69"/>
      <c r="I164" s="69"/>
      <c r="J164" s="69">
        <f>SUM(H164:I164)</f>
        <v>0</v>
      </c>
      <c r="K164" s="69"/>
      <c r="L164" s="69">
        <f>SUM(J164:K164)</f>
        <v>0</v>
      </c>
    </row>
    <row r="165" spans="1:12" ht="22.5">
      <c r="A165" s="125" t="s">
        <v>186</v>
      </c>
      <c r="B165" s="99" t="s">
        <v>0</v>
      </c>
      <c r="C165" s="99"/>
      <c r="D165" s="99"/>
      <c r="E165" s="99"/>
      <c r="F165" s="99"/>
      <c r="G165" s="54" t="e">
        <f>G166+G212+#REF!+#REF!</f>
        <v>#REF!</v>
      </c>
      <c r="H165" s="68">
        <f>H166+H212+H200+H265+H271+H195+H231+H257+H261+H251</f>
        <v>33974.700000000004</v>
      </c>
      <c r="I165" s="68">
        <f>I166+I212+I200+I265+I271+I195+I231+I257+I261+I251</f>
        <v>10878.17</v>
      </c>
      <c r="J165" s="68">
        <f>J166+J212+J200+J265+J271+J195+J231+J257+J261+J251</f>
        <v>52696.15</v>
      </c>
      <c r="K165" s="68">
        <f>K166+K212+K200+K265+K271+K195+K231+K257+K261+K251</f>
        <v>6733.103</v>
      </c>
      <c r="L165" s="68">
        <f>L166+L212+L200+L265+L271+L195+L231+L257+L261+L251</f>
        <v>59429.253000000004</v>
      </c>
    </row>
    <row r="166" spans="1:12" ht="15">
      <c r="A166" s="123" t="s">
        <v>187</v>
      </c>
      <c r="B166" s="94" t="s">
        <v>0</v>
      </c>
      <c r="C166" s="94" t="s">
        <v>6</v>
      </c>
      <c r="D166" s="95"/>
      <c r="E166" s="95"/>
      <c r="F166" s="95"/>
      <c r="G166" s="17" t="e">
        <f>G173+#REF!+#REF!+G195+G167</f>
        <v>#REF!</v>
      </c>
      <c r="H166" s="66">
        <f>H167+H173+H184+H189</f>
        <v>4239.160000000001</v>
      </c>
      <c r="I166" s="66">
        <f>I167+I173+I184+I189</f>
        <v>434.01</v>
      </c>
      <c r="J166" s="66">
        <f>J167+J173+J184+J189</f>
        <v>4560.17</v>
      </c>
      <c r="K166" s="66">
        <f>K167+K173+K184+K189</f>
        <v>198</v>
      </c>
      <c r="L166" s="66">
        <f>L167+L173+L184+L189</f>
        <v>4758.17</v>
      </c>
    </row>
    <row r="167" spans="1:12" ht="43.5">
      <c r="A167" s="136" t="s">
        <v>188</v>
      </c>
      <c r="B167" s="94" t="s">
        <v>0</v>
      </c>
      <c r="C167" s="94" t="s">
        <v>6</v>
      </c>
      <c r="D167" s="94" t="s">
        <v>9</v>
      </c>
      <c r="E167" s="95"/>
      <c r="F167" s="95"/>
      <c r="G167" s="17">
        <f>G168</f>
        <v>0.4</v>
      </c>
      <c r="H167" s="66">
        <f>H168+H170</f>
        <v>726.34</v>
      </c>
      <c r="I167" s="66">
        <f>I168+I170</f>
        <v>54.86</v>
      </c>
      <c r="J167" s="66">
        <f>J168+J170</f>
        <v>781.2</v>
      </c>
      <c r="K167" s="66">
        <f>K168+K170</f>
        <v>-80</v>
      </c>
      <c r="L167" s="66">
        <f>L168+L170</f>
        <v>701.2</v>
      </c>
    </row>
    <row r="168" spans="1:12" ht="32.25" customHeight="1" hidden="1">
      <c r="A168" s="124" t="s">
        <v>189</v>
      </c>
      <c r="B168" s="95" t="s">
        <v>0</v>
      </c>
      <c r="C168" s="95" t="s">
        <v>6</v>
      </c>
      <c r="D168" s="95" t="s">
        <v>9</v>
      </c>
      <c r="E168" s="95" t="s">
        <v>190</v>
      </c>
      <c r="F168" s="95"/>
      <c r="G168" s="17">
        <f>G169</f>
        <v>0.4</v>
      </c>
      <c r="H168" s="69">
        <f>H169</f>
        <v>0</v>
      </c>
      <c r="I168" s="69">
        <f>I169</f>
        <v>0</v>
      </c>
      <c r="J168" s="69">
        <f>J169</f>
        <v>0</v>
      </c>
      <c r="K168" s="69">
        <f>K169</f>
        <v>0</v>
      </c>
      <c r="L168" s="69">
        <f>L169</f>
        <v>0</v>
      </c>
    </row>
    <row r="169" spans="1:12" ht="15" customHeight="1" hidden="1">
      <c r="A169" s="137" t="s">
        <v>96</v>
      </c>
      <c r="B169" s="95" t="s">
        <v>0</v>
      </c>
      <c r="C169" s="95" t="s">
        <v>6</v>
      </c>
      <c r="D169" s="95" t="s">
        <v>9</v>
      </c>
      <c r="E169" s="95" t="s">
        <v>190</v>
      </c>
      <c r="F169" s="95" t="s">
        <v>97</v>
      </c>
      <c r="G169" s="17">
        <v>0.4</v>
      </c>
      <c r="H169" s="69"/>
      <c r="I169" s="66"/>
      <c r="J169" s="69">
        <f>H169+I169</f>
        <v>0</v>
      </c>
      <c r="K169" s="66"/>
      <c r="L169" s="69">
        <f>J169+K169</f>
        <v>0</v>
      </c>
    </row>
    <row r="170" spans="1:12" ht="45.75">
      <c r="A170" s="138" t="s">
        <v>192</v>
      </c>
      <c r="B170" s="95" t="s">
        <v>0</v>
      </c>
      <c r="C170" s="95" t="s">
        <v>6</v>
      </c>
      <c r="D170" s="95" t="s">
        <v>9</v>
      </c>
      <c r="E170" s="95" t="s">
        <v>115</v>
      </c>
      <c r="F170" s="95"/>
      <c r="G170" s="17"/>
      <c r="H170" s="69">
        <f>H171+H172</f>
        <v>726.34</v>
      </c>
      <c r="I170" s="69">
        <f>I171+I172</f>
        <v>54.86</v>
      </c>
      <c r="J170" s="69">
        <f>J171+J172</f>
        <v>781.2</v>
      </c>
      <c r="K170" s="69">
        <f>K171+K172</f>
        <v>-80</v>
      </c>
      <c r="L170" s="69">
        <f>L171+L172</f>
        <v>701.2</v>
      </c>
    </row>
    <row r="171" spans="1:12" ht="22.5">
      <c r="A171" s="126" t="s">
        <v>150</v>
      </c>
      <c r="B171" s="95" t="s">
        <v>0</v>
      </c>
      <c r="C171" s="95" t="s">
        <v>6</v>
      </c>
      <c r="D171" s="95" t="s">
        <v>9</v>
      </c>
      <c r="E171" s="95" t="s">
        <v>117</v>
      </c>
      <c r="F171" s="95" t="s">
        <v>151</v>
      </c>
      <c r="G171" s="17"/>
      <c r="H171" s="69">
        <v>726.34</v>
      </c>
      <c r="I171" s="69">
        <v>54.86</v>
      </c>
      <c r="J171" s="69">
        <f>SUM(H171:I171)</f>
        <v>781.2</v>
      </c>
      <c r="K171" s="69">
        <v>-80</v>
      </c>
      <c r="L171" s="69">
        <f>J171+K171</f>
        <v>701.2</v>
      </c>
    </row>
    <row r="172" spans="1:12" ht="15" customHeight="1" hidden="1">
      <c r="A172" s="137" t="s">
        <v>94</v>
      </c>
      <c r="B172" s="95" t="s">
        <v>0</v>
      </c>
      <c r="C172" s="95" t="s">
        <v>6</v>
      </c>
      <c r="D172" s="95" t="s">
        <v>9</v>
      </c>
      <c r="E172" s="95" t="s">
        <v>117</v>
      </c>
      <c r="F172" s="95" t="s">
        <v>93</v>
      </c>
      <c r="G172" s="17"/>
      <c r="H172" s="69"/>
      <c r="I172" s="66"/>
      <c r="J172" s="69">
        <f>H172+I172</f>
        <v>0</v>
      </c>
      <c r="K172" s="66"/>
      <c r="L172" s="69">
        <f>J172+K172</f>
        <v>0</v>
      </c>
    </row>
    <row r="173" spans="1:12" s="36" customFormat="1" ht="32.25">
      <c r="A173" s="139" t="s">
        <v>191</v>
      </c>
      <c r="B173" s="94" t="s">
        <v>0</v>
      </c>
      <c r="C173" s="94" t="s">
        <v>6</v>
      </c>
      <c r="D173" s="94" t="s">
        <v>12</v>
      </c>
      <c r="E173" s="94"/>
      <c r="F173" s="94"/>
      <c r="G173" s="17" t="e">
        <f>G174</f>
        <v>#REF!</v>
      </c>
      <c r="H173" s="66">
        <f>H174+H182</f>
        <v>2992.2200000000003</v>
      </c>
      <c r="I173" s="66">
        <f>I174+I182</f>
        <v>786.25</v>
      </c>
      <c r="J173" s="66">
        <f>J174+J182</f>
        <v>3778.9700000000003</v>
      </c>
      <c r="K173" s="66">
        <f>K174+K182</f>
        <v>218</v>
      </c>
      <c r="L173" s="66">
        <f>L174+L182</f>
        <v>3996.9700000000003</v>
      </c>
    </row>
    <row r="174" spans="1:12" ht="45.75">
      <c r="A174" s="138" t="s">
        <v>192</v>
      </c>
      <c r="B174" s="95" t="s">
        <v>0</v>
      </c>
      <c r="C174" s="95" t="s">
        <v>6</v>
      </c>
      <c r="D174" s="95" t="s">
        <v>12</v>
      </c>
      <c r="E174" s="95" t="s">
        <v>115</v>
      </c>
      <c r="F174" s="95"/>
      <c r="G174" s="22" t="e">
        <f>#REF!+#REF!</f>
        <v>#REF!</v>
      </c>
      <c r="H174" s="69">
        <f>H175+H176+H177+H178+H179+H180+H181</f>
        <v>2992.2200000000003</v>
      </c>
      <c r="I174" s="69">
        <f>I175+I176+I177+I178+I179+I180+I181</f>
        <v>786.25</v>
      </c>
      <c r="J174" s="69">
        <f>J175+J176+J177+J178+J179+J180+J181</f>
        <v>3778.9700000000003</v>
      </c>
      <c r="K174" s="69">
        <f>K175+K176+K177+K178+K179+K180+K181</f>
        <v>218</v>
      </c>
      <c r="L174" s="69">
        <f>L175+L176+L177+L178+L179+L180+L181</f>
        <v>3996.9700000000003</v>
      </c>
    </row>
    <row r="175" spans="1:12" ht="22.5">
      <c r="A175" s="126" t="s">
        <v>150</v>
      </c>
      <c r="B175" s="95" t="s">
        <v>0</v>
      </c>
      <c r="C175" s="95" t="s">
        <v>6</v>
      </c>
      <c r="D175" s="95" t="s">
        <v>12</v>
      </c>
      <c r="E175" s="95" t="s">
        <v>117</v>
      </c>
      <c r="F175" s="95" t="s">
        <v>151</v>
      </c>
      <c r="G175" s="22"/>
      <c r="H175" s="69">
        <v>2490.82</v>
      </c>
      <c r="I175" s="69">
        <v>540.86</v>
      </c>
      <c r="J175" s="69">
        <f>SUM(H175:I175)</f>
        <v>3031.6800000000003</v>
      </c>
      <c r="K175" s="69"/>
      <c r="L175" s="69">
        <f>J175+K175</f>
        <v>3031.6800000000003</v>
      </c>
    </row>
    <row r="176" spans="1:12" ht="24" customHeight="1">
      <c r="A176" s="126" t="s">
        <v>153</v>
      </c>
      <c r="B176" s="95" t="s">
        <v>0</v>
      </c>
      <c r="C176" s="95" t="s">
        <v>6</v>
      </c>
      <c r="D176" s="95" t="s">
        <v>12</v>
      </c>
      <c r="E176" s="95" t="s">
        <v>117</v>
      </c>
      <c r="F176" s="95" t="s">
        <v>154</v>
      </c>
      <c r="G176" s="22"/>
      <c r="H176" s="69">
        <v>27</v>
      </c>
      <c r="I176" s="69">
        <v>5.8</v>
      </c>
      <c r="J176" s="69">
        <f>SUM(H176:I176)</f>
        <v>32.8</v>
      </c>
      <c r="K176" s="69"/>
      <c r="L176" s="69">
        <f aca="true" t="shared" si="12" ref="L176:L181">J176+K176</f>
        <v>32.8</v>
      </c>
    </row>
    <row r="177" spans="1:12" ht="23.25" customHeight="1">
      <c r="A177" s="126" t="s">
        <v>156</v>
      </c>
      <c r="B177" s="95" t="s">
        <v>0</v>
      </c>
      <c r="C177" s="95" t="s">
        <v>6</v>
      </c>
      <c r="D177" s="95" t="s">
        <v>12</v>
      </c>
      <c r="E177" s="95" t="s">
        <v>117</v>
      </c>
      <c r="F177" s="95" t="s">
        <v>157</v>
      </c>
      <c r="G177" s="22"/>
      <c r="H177" s="69">
        <v>200</v>
      </c>
      <c r="I177" s="69">
        <v>8.7</v>
      </c>
      <c r="J177" s="69">
        <f>SUM(H177:I177)</f>
        <v>208.7</v>
      </c>
      <c r="K177" s="69"/>
      <c r="L177" s="69">
        <f t="shared" si="12"/>
        <v>208.7</v>
      </c>
    </row>
    <row r="178" spans="1:12" ht="27" customHeight="1">
      <c r="A178" s="126" t="s">
        <v>548</v>
      </c>
      <c r="B178" s="95" t="s">
        <v>0</v>
      </c>
      <c r="C178" s="95" t="s">
        <v>6</v>
      </c>
      <c r="D178" s="95" t="s">
        <v>12</v>
      </c>
      <c r="E178" s="95" t="s">
        <v>117</v>
      </c>
      <c r="F178" s="95" t="s">
        <v>147</v>
      </c>
      <c r="G178" s="22"/>
      <c r="H178" s="69">
        <v>264.4</v>
      </c>
      <c r="I178" s="69">
        <v>225.39</v>
      </c>
      <c r="J178" s="69">
        <v>490.29</v>
      </c>
      <c r="K178" s="69">
        <f>138+80</f>
        <v>218</v>
      </c>
      <c r="L178" s="69">
        <f t="shared" si="12"/>
        <v>708.29</v>
      </c>
    </row>
    <row r="179" spans="1:12" ht="15" customHeight="1" hidden="1">
      <c r="A179" s="137" t="s">
        <v>94</v>
      </c>
      <c r="B179" s="95" t="s">
        <v>0</v>
      </c>
      <c r="C179" s="95" t="s">
        <v>6</v>
      </c>
      <c r="D179" s="95" t="s">
        <v>12</v>
      </c>
      <c r="E179" s="95" t="s">
        <v>117</v>
      </c>
      <c r="F179" s="95" t="s">
        <v>93</v>
      </c>
      <c r="G179" s="22">
        <f>50+360+80+3.47-0.01-80-3.47+2.72</f>
        <v>412.71000000000004</v>
      </c>
      <c r="H179" s="69"/>
      <c r="I179" s="69"/>
      <c r="J179" s="69">
        <f>H179+I179</f>
        <v>0</v>
      </c>
      <c r="K179" s="69"/>
      <c r="L179" s="69">
        <f t="shared" si="12"/>
        <v>0</v>
      </c>
    </row>
    <row r="180" spans="1:12" ht="23.25" customHeight="1">
      <c r="A180" s="126" t="s">
        <v>158</v>
      </c>
      <c r="B180" s="95" t="s">
        <v>0</v>
      </c>
      <c r="C180" s="95" t="s">
        <v>6</v>
      </c>
      <c r="D180" s="95" t="s">
        <v>12</v>
      </c>
      <c r="E180" s="95" t="s">
        <v>117</v>
      </c>
      <c r="F180" s="95" t="s">
        <v>159</v>
      </c>
      <c r="G180" s="22"/>
      <c r="H180" s="69">
        <v>5</v>
      </c>
      <c r="I180" s="69">
        <v>0.5</v>
      </c>
      <c r="J180" s="69">
        <f>I180+H180</f>
        <v>5.5</v>
      </c>
      <c r="K180" s="69">
        <v>2.5</v>
      </c>
      <c r="L180" s="69">
        <f t="shared" si="12"/>
        <v>8</v>
      </c>
    </row>
    <row r="181" spans="1:12" ht="15">
      <c r="A181" s="126" t="s">
        <v>160</v>
      </c>
      <c r="B181" s="95" t="s">
        <v>0</v>
      </c>
      <c r="C181" s="95" t="s">
        <v>6</v>
      </c>
      <c r="D181" s="95" t="s">
        <v>12</v>
      </c>
      <c r="E181" s="95" t="s">
        <v>117</v>
      </c>
      <c r="F181" s="95" t="s">
        <v>161</v>
      </c>
      <c r="G181" s="22"/>
      <c r="H181" s="69">
        <v>5</v>
      </c>
      <c r="I181" s="69">
        <v>5</v>
      </c>
      <c r="J181" s="69">
        <f>I181+H181</f>
        <v>10</v>
      </c>
      <c r="K181" s="69">
        <v>-2.5</v>
      </c>
      <c r="L181" s="69">
        <f t="shared" si="12"/>
        <v>7.5</v>
      </c>
    </row>
    <row r="182" spans="1:12" ht="15" customHeight="1" hidden="1">
      <c r="A182" s="137" t="s">
        <v>481</v>
      </c>
      <c r="B182" s="95" t="s">
        <v>0</v>
      </c>
      <c r="C182" s="95" t="s">
        <v>6</v>
      </c>
      <c r="D182" s="95" t="s">
        <v>12</v>
      </c>
      <c r="E182" s="95" t="s">
        <v>473</v>
      </c>
      <c r="F182" s="95"/>
      <c r="G182" s="22"/>
      <c r="H182" s="69">
        <f>H183</f>
        <v>0</v>
      </c>
      <c r="I182" s="69">
        <f>I183</f>
        <v>0</v>
      </c>
      <c r="J182" s="69">
        <f>J183</f>
        <v>0</v>
      </c>
      <c r="K182" s="69">
        <f>K183</f>
        <v>0</v>
      </c>
      <c r="L182" s="69">
        <f>L183</f>
        <v>0</v>
      </c>
    </row>
    <row r="183" spans="1:12" ht="15" customHeight="1" hidden="1">
      <c r="A183" s="137" t="s">
        <v>482</v>
      </c>
      <c r="B183" s="95" t="s">
        <v>0</v>
      </c>
      <c r="C183" s="95" t="s">
        <v>6</v>
      </c>
      <c r="D183" s="95" t="s">
        <v>12</v>
      </c>
      <c r="E183" s="95" t="s">
        <v>473</v>
      </c>
      <c r="F183" s="95" t="s">
        <v>477</v>
      </c>
      <c r="G183" s="22"/>
      <c r="H183" s="69"/>
      <c r="I183" s="69"/>
      <c r="J183" s="69">
        <f>H183+I183</f>
        <v>0</v>
      </c>
      <c r="K183" s="69"/>
      <c r="L183" s="69">
        <f>J183+K183</f>
        <v>0</v>
      </c>
    </row>
    <row r="184" spans="1:12" ht="15">
      <c r="A184" s="138" t="s">
        <v>15</v>
      </c>
      <c r="B184" s="94" t="s">
        <v>0</v>
      </c>
      <c r="C184" s="94" t="s">
        <v>6</v>
      </c>
      <c r="D184" s="94" t="s">
        <v>16</v>
      </c>
      <c r="E184" s="94"/>
      <c r="F184" s="94"/>
      <c r="G184" s="22"/>
      <c r="H184" s="66">
        <f aca="true" t="shared" si="13" ref="H184:L185">H185</f>
        <v>333</v>
      </c>
      <c r="I184" s="66">
        <f t="shared" si="13"/>
        <v>-220</v>
      </c>
      <c r="J184" s="66">
        <f t="shared" si="13"/>
        <v>0</v>
      </c>
      <c r="K184" s="66">
        <f t="shared" si="13"/>
        <v>60</v>
      </c>
      <c r="L184" s="66">
        <f t="shared" si="13"/>
        <v>60</v>
      </c>
    </row>
    <row r="185" spans="1:12" ht="15">
      <c r="A185" s="138" t="s">
        <v>15</v>
      </c>
      <c r="B185" s="95" t="s">
        <v>0</v>
      </c>
      <c r="C185" s="95" t="s">
        <v>6</v>
      </c>
      <c r="D185" s="95" t="s">
        <v>16</v>
      </c>
      <c r="E185" s="95" t="s">
        <v>198</v>
      </c>
      <c r="F185" s="95"/>
      <c r="G185" s="22"/>
      <c r="H185" s="69">
        <f t="shared" si="13"/>
        <v>333</v>
      </c>
      <c r="I185" s="69">
        <f t="shared" si="13"/>
        <v>-220</v>
      </c>
      <c r="J185" s="69">
        <f t="shared" si="13"/>
        <v>0</v>
      </c>
      <c r="K185" s="69">
        <f t="shared" si="13"/>
        <v>60</v>
      </c>
      <c r="L185" s="69">
        <f t="shared" si="13"/>
        <v>60</v>
      </c>
    </row>
    <row r="186" spans="1:12" ht="15">
      <c r="A186" s="138" t="s">
        <v>199</v>
      </c>
      <c r="B186" s="95" t="s">
        <v>0</v>
      </c>
      <c r="C186" s="95" t="s">
        <v>6</v>
      </c>
      <c r="D186" s="95" t="s">
        <v>16</v>
      </c>
      <c r="E186" s="95" t="s">
        <v>200</v>
      </c>
      <c r="F186" s="95"/>
      <c r="G186" s="22"/>
      <c r="H186" s="69">
        <f>H187+H188</f>
        <v>333</v>
      </c>
      <c r="I186" s="69">
        <f>I187+I188</f>
        <v>-220</v>
      </c>
      <c r="J186" s="69">
        <f>J187+J188</f>
        <v>0</v>
      </c>
      <c r="K186" s="69">
        <f>K187+K188</f>
        <v>60</v>
      </c>
      <c r="L186" s="69">
        <f>L187+L188</f>
        <v>60</v>
      </c>
    </row>
    <row r="187" spans="1:12" ht="15" customHeight="1" hidden="1">
      <c r="A187" s="138" t="s">
        <v>196</v>
      </c>
      <c r="B187" s="95" t="s">
        <v>0</v>
      </c>
      <c r="C187" s="95" t="s">
        <v>6</v>
      </c>
      <c r="D187" s="95" t="s">
        <v>16</v>
      </c>
      <c r="E187" s="95" t="s">
        <v>200</v>
      </c>
      <c r="F187" s="95" t="s">
        <v>197</v>
      </c>
      <c r="G187" s="22"/>
      <c r="H187" s="69"/>
      <c r="I187" s="69"/>
      <c r="J187" s="69">
        <f>H187+I187</f>
        <v>0</v>
      </c>
      <c r="K187" s="69"/>
      <c r="L187" s="69">
        <f>J187+K187</f>
        <v>0</v>
      </c>
    </row>
    <row r="188" spans="1:12" ht="15">
      <c r="A188" s="138" t="s">
        <v>201</v>
      </c>
      <c r="B188" s="95" t="s">
        <v>0</v>
      </c>
      <c r="C188" s="95" t="s">
        <v>6</v>
      </c>
      <c r="D188" s="95" t="s">
        <v>16</v>
      </c>
      <c r="E188" s="95" t="s">
        <v>200</v>
      </c>
      <c r="F188" s="95" t="s">
        <v>202</v>
      </c>
      <c r="G188" s="22"/>
      <c r="H188" s="69">
        <v>333</v>
      </c>
      <c r="I188" s="69">
        <v>-220</v>
      </c>
      <c r="J188" s="69">
        <v>0</v>
      </c>
      <c r="K188" s="69">
        <v>60</v>
      </c>
      <c r="L188" s="69">
        <f>J188+K188</f>
        <v>60</v>
      </c>
    </row>
    <row r="189" spans="1:12" ht="15" hidden="1">
      <c r="A189" s="140" t="s">
        <v>19</v>
      </c>
      <c r="B189" s="102" t="s">
        <v>0</v>
      </c>
      <c r="C189" s="102" t="s">
        <v>6</v>
      </c>
      <c r="D189" s="102" t="s">
        <v>18</v>
      </c>
      <c r="E189" s="95"/>
      <c r="F189" s="95"/>
      <c r="G189" s="22"/>
      <c r="H189" s="69">
        <f>H190</f>
        <v>187.6</v>
      </c>
      <c r="I189" s="69">
        <f>I190</f>
        <v>-187.1</v>
      </c>
      <c r="J189" s="69">
        <f>J190</f>
        <v>0</v>
      </c>
      <c r="K189" s="69">
        <f>K190</f>
        <v>0</v>
      </c>
      <c r="L189" s="69">
        <f>L190</f>
        <v>0</v>
      </c>
    </row>
    <row r="190" spans="1:12" ht="22.5" hidden="1">
      <c r="A190" s="225" t="s">
        <v>250</v>
      </c>
      <c r="B190" s="102" t="s">
        <v>0</v>
      </c>
      <c r="C190" s="102" t="s">
        <v>6</v>
      </c>
      <c r="D190" s="102" t="s">
        <v>18</v>
      </c>
      <c r="E190" s="95" t="s">
        <v>407</v>
      </c>
      <c r="F190" s="95"/>
      <c r="G190" s="22"/>
      <c r="H190" s="69">
        <f>H191+H193</f>
        <v>187.6</v>
      </c>
      <c r="I190" s="69">
        <f>I191+I193</f>
        <v>-187.1</v>
      </c>
      <c r="J190" s="69">
        <f>J191+J193</f>
        <v>0</v>
      </c>
      <c r="K190" s="69">
        <f>K191+K193</f>
        <v>0</v>
      </c>
      <c r="L190" s="69">
        <f>L191+L193</f>
        <v>0</v>
      </c>
    </row>
    <row r="191" spans="1:12" ht="34.5" hidden="1">
      <c r="A191" s="124" t="s">
        <v>189</v>
      </c>
      <c r="B191" s="95" t="s">
        <v>0</v>
      </c>
      <c r="C191" s="95" t="s">
        <v>6</v>
      </c>
      <c r="D191" s="95" t="s">
        <v>18</v>
      </c>
      <c r="E191" s="95" t="s">
        <v>190</v>
      </c>
      <c r="F191" s="95"/>
      <c r="G191" s="17">
        <f aca="true" t="shared" si="14" ref="G191:L191">G192</f>
        <v>0</v>
      </c>
      <c r="H191" s="69">
        <f t="shared" si="14"/>
        <v>0.5</v>
      </c>
      <c r="I191" s="69">
        <f t="shared" si="14"/>
        <v>0</v>
      </c>
      <c r="J191" s="69">
        <f t="shared" si="14"/>
        <v>0</v>
      </c>
      <c r="K191" s="69">
        <f t="shared" si="14"/>
        <v>0</v>
      </c>
      <c r="L191" s="69">
        <f t="shared" si="14"/>
        <v>0</v>
      </c>
    </row>
    <row r="192" spans="1:12" ht="33.75" hidden="1">
      <c r="A192" s="126" t="s">
        <v>548</v>
      </c>
      <c r="B192" s="95" t="s">
        <v>0</v>
      </c>
      <c r="C192" s="95" t="s">
        <v>6</v>
      </c>
      <c r="D192" s="95" t="s">
        <v>18</v>
      </c>
      <c r="E192" s="95" t="s">
        <v>190</v>
      </c>
      <c r="F192" s="95" t="s">
        <v>147</v>
      </c>
      <c r="G192" s="17"/>
      <c r="H192" s="69">
        <v>0.5</v>
      </c>
      <c r="I192" s="69"/>
      <c r="J192" s="69">
        <v>0</v>
      </c>
      <c r="K192" s="69"/>
      <c r="L192" s="69">
        <f>J192+K192</f>
        <v>0</v>
      </c>
    </row>
    <row r="193" spans="1:12" ht="56.25" hidden="1">
      <c r="A193" s="141" t="s">
        <v>203</v>
      </c>
      <c r="B193" s="101" t="s">
        <v>0</v>
      </c>
      <c r="C193" s="101" t="s">
        <v>6</v>
      </c>
      <c r="D193" s="101" t="s">
        <v>18</v>
      </c>
      <c r="E193" s="101" t="s">
        <v>204</v>
      </c>
      <c r="F193" s="95"/>
      <c r="G193" s="22"/>
      <c r="H193" s="69">
        <f>H194</f>
        <v>187.1</v>
      </c>
      <c r="I193" s="69">
        <f>I194</f>
        <v>-187.1</v>
      </c>
      <c r="J193" s="69">
        <f>J194</f>
        <v>0</v>
      </c>
      <c r="K193" s="69">
        <f>K194</f>
        <v>0</v>
      </c>
      <c r="L193" s="69">
        <f>L194</f>
        <v>0</v>
      </c>
    </row>
    <row r="194" spans="1:12" ht="15" customHeight="1" hidden="1">
      <c r="A194" s="126" t="s">
        <v>150</v>
      </c>
      <c r="B194" s="101" t="s">
        <v>0</v>
      </c>
      <c r="C194" s="101" t="s">
        <v>6</v>
      </c>
      <c r="D194" s="101" t="s">
        <v>18</v>
      </c>
      <c r="E194" s="101" t="s">
        <v>204</v>
      </c>
      <c r="F194" s="95" t="s">
        <v>151</v>
      </c>
      <c r="G194" s="22"/>
      <c r="H194" s="69">
        <v>187.1</v>
      </c>
      <c r="I194" s="69">
        <v>-187.1</v>
      </c>
      <c r="J194" s="69">
        <f>H194+I194</f>
        <v>0</v>
      </c>
      <c r="K194" s="69"/>
      <c r="L194" s="69">
        <f>J194+K194</f>
        <v>0</v>
      </c>
    </row>
    <row r="195" spans="1:13" s="36" customFormat="1" ht="14.25" customHeight="1">
      <c r="A195" s="139" t="s">
        <v>21</v>
      </c>
      <c r="B195" s="94" t="s">
        <v>0</v>
      </c>
      <c r="C195" s="94" t="s">
        <v>7</v>
      </c>
      <c r="D195" s="94" t="s">
        <v>206</v>
      </c>
      <c r="E195" s="94"/>
      <c r="F195" s="94"/>
      <c r="G195" s="17">
        <f aca="true" t="shared" si="15" ref="G195:L197">G196</f>
        <v>-1000</v>
      </c>
      <c r="H195" s="66">
        <f t="shared" si="15"/>
        <v>564.6</v>
      </c>
      <c r="I195" s="66">
        <f t="shared" si="15"/>
        <v>21.7</v>
      </c>
      <c r="J195" s="66">
        <f t="shared" si="15"/>
        <v>531.9</v>
      </c>
      <c r="K195" s="66">
        <f t="shared" si="15"/>
        <v>0</v>
      </c>
      <c r="L195" s="66">
        <f t="shared" si="15"/>
        <v>531.9</v>
      </c>
      <c r="M195" s="90">
        <f>K222+K234+K241+K243+K245+K260+K264+K282+K250</f>
        <v>-427.312</v>
      </c>
    </row>
    <row r="196" spans="1:12" ht="14.25" customHeight="1">
      <c r="A196" s="124" t="s">
        <v>207</v>
      </c>
      <c r="B196" s="95" t="s">
        <v>0</v>
      </c>
      <c r="C196" s="95" t="s">
        <v>7</v>
      </c>
      <c r="D196" s="95" t="s">
        <v>8</v>
      </c>
      <c r="E196" s="95"/>
      <c r="F196" s="95"/>
      <c r="G196" s="22">
        <f t="shared" si="15"/>
        <v>-1000</v>
      </c>
      <c r="H196" s="69">
        <f t="shared" si="15"/>
        <v>564.6</v>
      </c>
      <c r="I196" s="69">
        <f t="shared" si="15"/>
        <v>21.7</v>
      </c>
      <c r="J196" s="69">
        <f t="shared" si="15"/>
        <v>531.9</v>
      </c>
      <c r="K196" s="69">
        <f t="shared" si="15"/>
        <v>0</v>
      </c>
      <c r="L196" s="69">
        <f t="shared" si="15"/>
        <v>531.9</v>
      </c>
    </row>
    <row r="197" spans="1:12" ht="27.75" customHeight="1">
      <c r="A197" s="124" t="s">
        <v>208</v>
      </c>
      <c r="B197" s="95" t="s">
        <v>0</v>
      </c>
      <c r="C197" s="95" t="s">
        <v>7</v>
      </c>
      <c r="D197" s="95" t="s">
        <v>8</v>
      </c>
      <c r="E197" s="95" t="s">
        <v>209</v>
      </c>
      <c r="F197" s="95"/>
      <c r="G197" s="22">
        <f t="shared" si="15"/>
        <v>-1000</v>
      </c>
      <c r="H197" s="69">
        <f>H198+H199</f>
        <v>564.6</v>
      </c>
      <c r="I197" s="69">
        <f>I198+I199</f>
        <v>21.7</v>
      </c>
      <c r="J197" s="69">
        <f>J198+J199</f>
        <v>531.9</v>
      </c>
      <c r="K197" s="69">
        <f>K198+K199</f>
        <v>0</v>
      </c>
      <c r="L197" s="69">
        <f>L198+L199</f>
        <v>531.9</v>
      </c>
    </row>
    <row r="198" spans="1:12" ht="15" customHeight="1" hidden="1">
      <c r="A198" s="137" t="s">
        <v>210</v>
      </c>
      <c r="B198" s="95" t="s">
        <v>0</v>
      </c>
      <c r="C198" s="95" t="s">
        <v>7</v>
      </c>
      <c r="D198" s="95" t="s">
        <v>8</v>
      </c>
      <c r="E198" s="95" t="s">
        <v>209</v>
      </c>
      <c r="F198" s="95" t="s">
        <v>211</v>
      </c>
      <c r="G198" s="22">
        <v>-1000</v>
      </c>
      <c r="H198" s="69"/>
      <c r="I198" s="69"/>
      <c r="J198" s="69">
        <f>H198+I198</f>
        <v>0</v>
      </c>
      <c r="K198" s="69"/>
      <c r="L198" s="69">
        <f>J198+K198</f>
        <v>0</v>
      </c>
    </row>
    <row r="199" spans="1:12" ht="15">
      <c r="A199" s="142" t="s">
        <v>205</v>
      </c>
      <c r="B199" s="95" t="s">
        <v>0</v>
      </c>
      <c r="C199" s="95" t="s">
        <v>7</v>
      </c>
      <c r="D199" s="95" t="s">
        <v>8</v>
      </c>
      <c r="E199" s="95" t="s">
        <v>209</v>
      </c>
      <c r="F199" s="95" t="s">
        <v>212</v>
      </c>
      <c r="G199" s="22"/>
      <c r="H199" s="69">
        <v>564.6</v>
      </c>
      <c r="I199" s="69">
        <v>21.7</v>
      </c>
      <c r="J199" s="69">
        <v>531.9</v>
      </c>
      <c r="K199" s="69"/>
      <c r="L199" s="69">
        <f>J199+K199</f>
        <v>531.9</v>
      </c>
    </row>
    <row r="200" spans="1:12" ht="21.75" customHeight="1" hidden="1">
      <c r="A200" s="136" t="s">
        <v>24</v>
      </c>
      <c r="B200" s="94" t="s">
        <v>0</v>
      </c>
      <c r="C200" s="94" t="s">
        <v>8</v>
      </c>
      <c r="D200" s="95"/>
      <c r="E200" s="95"/>
      <c r="F200" s="95"/>
      <c r="G200" s="17">
        <f>G201</f>
        <v>0</v>
      </c>
      <c r="H200" s="66">
        <f>H201+H209</f>
        <v>0</v>
      </c>
      <c r="I200" s="66">
        <f>I201+I209</f>
        <v>0</v>
      </c>
      <c r="J200" s="66">
        <f>J201+J209</f>
        <v>0</v>
      </c>
      <c r="K200" s="66">
        <f>K201+K209</f>
        <v>0</v>
      </c>
      <c r="L200" s="66">
        <f>L201+L209</f>
        <v>0</v>
      </c>
    </row>
    <row r="201" spans="1:12" s="36" customFormat="1" ht="14.25" customHeight="1" hidden="1">
      <c r="A201" s="136" t="s">
        <v>26</v>
      </c>
      <c r="B201" s="94" t="s">
        <v>0</v>
      </c>
      <c r="C201" s="94" t="s">
        <v>8</v>
      </c>
      <c r="D201" s="94" t="s">
        <v>7</v>
      </c>
      <c r="E201" s="94"/>
      <c r="F201" s="94"/>
      <c r="G201" s="17">
        <f aca="true" t="shared" si="16" ref="G201:L201">G203+G206</f>
        <v>0</v>
      </c>
      <c r="H201" s="66">
        <f t="shared" si="16"/>
        <v>0</v>
      </c>
      <c r="I201" s="66">
        <f t="shared" si="16"/>
        <v>0</v>
      </c>
      <c r="J201" s="66">
        <f t="shared" si="16"/>
        <v>0</v>
      </c>
      <c r="K201" s="66">
        <f t="shared" si="16"/>
        <v>0</v>
      </c>
      <c r="L201" s="66">
        <f t="shared" si="16"/>
        <v>0</v>
      </c>
    </row>
    <row r="202" spans="1:12" ht="15" customHeight="1" hidden="1">
      <c r="A202" s="137" t="s">
        <v>312</v>
      </c>
      <c r="B202" s="95" t="s">
        <v>0</v>
      </c>
      <c r="C202" s="95" t="s">
        <v>8</v>
      </c>
      <c r="D202" s="95" t="s">
        <v>7</v>
      </c>
      <c r="E202" s="95" t="s">
        <v>252</v>
      </c>
      <c r="F202" s="95"/>
      <c r="G202" s="22"/>
      <c r="H202" s="69">
        <f>H203+H206</f>
        <v>0</v>
      </c>
      <c r="I202" s="69">
        <f>I203+I206</f>
        <v>0</v>
      </c>
      <c r="J202" s="69">
        <f>J203+J206</f>
        <v>0</v>
      </c>
      <c r="K202" s="69">
        <f>K203+K206</f>
        <v>0</v>
      </c>
      <c r="L202" s="69">
        <f>L203+L206</f>
        <v>0</v>
      </c>
    </row>
    <row r="203" spans="1:12" ht="21" customHeight="1" hidden="1">
      <c r="A203" s="143" t="s">
        <v>213</v>
      </c>
      <c r="B203" s="95" t="s">
        <v>0</v>
      </c>
      <c r="C203" s="95" t="s">
        <v>8</v>
      </c>
      <c r="D203" s="95" t="s">
        <v>7</v>
      </c>
      <c r="E203" s="95" t="s">
        <v>214</v>
      </c>
      <c r="F203" s="95"/>
      <c r="G203" s="22">
        <f>G204</f>
        <v>0</v>
      </c>
      <c r="H203" s="69">
        <f>H204+H205</f>
        <v>0</v>
      </c>
      <c r="I203" s="69">
        <f>I204+I205</f>
        <v>0</v>
      </c>
      <c r="J203" s="69">
        <f>J204+J205</f>
        <v>0</v>
      </c>
      <c r="K203" s="69">
        <f>K204+K205</f>
        <v>0</v>
      </c>
      <c r="L203" s="69">
        <f>L204+L205</f>
        <v>0</v>
      </c>
    </row>
    <row r="204" spans="1:12" ht="15" customHeight="1" hidden="1">
      <c r="A204" s="137" t="s">
        <v>94</v>
      </c>
      <c r="B204" s="95" t="s">
        <v>0</v>
      </c>
      <c r="C204" s="95" t="s">
        <v>8</v>
      </c>
      <c r="D204" s="95" t="s">
        <v>7</v>
      </c>
      <c r="E204" s="95" t="s">
        <v>214</v>
      </c>
      <c r="F204" s="95" t="s">
        <v>93</v>
      </c>
      <c r="G204" s="22"/>
      <c r="H204" s="69"/>
      <c r="I204" s="69"/>
      <c r="J204" s="69">
        <f>H204+I204</f>
        <v>0</v>
      </c>
      <c r="K204" s="69"/>
      <c r="L204" s="69">
        <f>J204+K204</f>
        <v>0</v>
      </c>
    </row>
    <row r="205" spans="1:12" ht="31.5" customHeight="1" hidden="1">
      <c r="A205" s="126" t="s">
        <v>145</v>
      </c>
      <c r="B205" s="95" t="s">
        <v>0</v>
      </c>
      <c r="C205" s="95" t="s">
        <v>8</v>
      </c>
      <c r="D205" s="95" t="s">
        <v>7</v>
      </c>
      <c r="E205" s="95" t="s">
        <v>214</v>
      </c>
      <c r="F205" s="95" t="s">
        <v>147</v>
      </c>
      <c r="G205" s="22"/>
      <c r="H205" s="69">
        <v>0</v>
      </c>
      <c r="I205" s="69"/>
      <c r="J205" s="69">
        <f>H205+I205</f>
        <v>0</v>
      </c>
      <c r="K205" s="69"/>
      <c r="L205" s="69">
        <f>J205+K205</f>
        <v>0</v>
      </c>
    </row>
    <row r="206" spans="1:12" ht="43.5" customHeight="1" hidden="1">
      <c r="A206" s="124" t="s">
        <v>215</v>
      </c>
      <c r="B206" s="95" t="s">
        <v>0</v>
      </c>
      <c r="C206" s="95" t="s">
        <v>8</v>
      </c>
      <c r="D206" s="95" t="s">
        <v>7</v>
      </c>
      <c r="E206" s="95" t="s">
        <v>216</v>
      </c>
      <c r="F206" s="95"/>
      <c r="G206" s="22">
        <f>G207</f>
        <v>0</v>
      </c>
      <c r="H206" s="69">
        <f>H207+H208</f>
        <v>0</v>
      </c>
      <c r="I206" s="69">
        <f>I207+I208</f>
        <v>0</v>
      </c>
      <c r="J206" s="69">
        <f>J207+J208</f>
        <v>0</v>
      </c>
      <c r="K206" s="69">
        <f>K207+K208</f>
        <v>0</v>
      </c>
      <c r="L206" s="69">
        <f>L207+L208</f>
        <v>0</v>
      </c>
    </row>
    <row r="207" spans="1:12" ht="15" customHeight="1" hidden="1">
      <c r="A207" s="137" t="s">
        <v>94</v>
      </c>
      <c r="B207" s="95" t="s">
        <v>0</v>
      </c>
      <c r="C207" s="95" t="s">
        <v>8</v>
      </c>
      <c r="D207" s="95" t="s">
        <v>7</v>
      </c>
      <c r="E207" s="95" t="s">
        <v>216</v>
      </c>
      <c r="F207" s="95" t="s">
        <v>93</v>
      </c>
      <c r="G207" s="22"/>
      <c r="H207" s="69"/>
      <c r="I207" s="69"/>
      <c r="J207" s="69">
        <f>H207+I207</f>
        <v>0</v>
      </c>
      <c r="K207" s="69"/>
      <c r="L207" s="69">
        <f>J207+K207</f>
        <v>0</v>
      </c>
    </row>
    <row r="208" spans="1:12" ht="31.5" customHeight="1" hidden="1">
      <c r="A208" s="126" t="s">
        <v>145</v>
      </c>
      <c r="B208" s="95" t="s">
        <v>0</v>
      </c>
      <c r="C208" s="95" t="s">
        <v>8</v>
      </c>
      <c r="D208" s="95" t="s">
        <v>7</v>
      </c>
      <c r="E208" s="95" t="s">
        <v>216</v>
      </c>
      <c r="F208" s="95" t="s">
        <v>147</v>
      </c>
      <c r="G208" s="22"/>
      <c r="H208" s="69">
        <v>0</v>
      </c>
      <c r="I208" s="69"/>
      <c r="J208" s="69">
        <f>H208+I208</f>
        <v>0</v>
      </c>
      <c r="K208" s="69"/>
      <c r="L208" s="69">
        <f>J208+K208</f>
        <v>0</v>
      </c>
    </row>
    <row r="209" spans="1:12" ht="32.25" customHeight="1" hidden="1">
      <c r="A209" s="136" t="s">
        <v>280</v>
      </c>
      <c r="B209" s="94" t="s">
        <v>0</v>
      </c>
      <c r="C209" s="94" t="s">
        <v>8</v>
      </c>
      <c r="D209" s="94" t="s">
        <v>28</v>
      </c>
      <c r="E209" s="94"/>
      <c r="F209" s="94"/>
      <c r="G209" s="17"/>
      <c r="H209" s="66">
        <f aca="true" t="shared" si="17" ref="H209:L210">H210</f>
        <v>0</v>
      </c>
      <c r="I209" s="66">
        <f t="shared" si="17"/>
        <v>0</v>
      </c>
      <c r="J209" s="66">
        <f t="shared" si="17"/>
        <v>0</v>
      </c>
      <c r="K209" s="66">
        <f t="shared" si="17"/>
        <v>0</v>
      </c>
      <c r="L209" s="66">
        <f t="shared" si="17"/>
        <v>0</v>
      </c>
    </row>
    <row r="210" spans="1:12" ht="32.25" customHeight="1" hidden="1">
      <c r="A210" s="138" t="s">
        <v>437</v>
      </c>
      <c r="B210" s="95" t="s">
        <v>0</v>
      </c>
      <c r="C210" s="95" t="s">
        <v>8</v>
      </c>
      <c r="D210" s="95" t="s">
        <v>28</v>
      </c>
      <c r="E210" s="95" t="s">
        <v>438</v>
      </c>
      <c r="F210" s="95"/>
      <c r="G210" s="22"/>
      <c r="H210" s="69">
        <f t="shared" si="17"/>
        <v>0</v>
      </c>
      <c r="I210" s="69">
        <f t="shared" si="17"/>
        <v>0</v>
      </c>
      <c r="J210" s="69">
        <f t="shared" si="17"/>
        <v>0</v>
      </c>
      <c r="K210" s="69">
        <f t="shared" si="17"/>
        <v>0</v>
      </c>
      <c r="L210" s="69">
        <f t="shared" si="17"/>
        <v>0</v>
      </c>
    </row>
    <row r="211" spans="1:12" ht="15" customHeight="1" hidden="1">
      <c r="A211" s="138" t="s">
        <v>440</v>
      </c>
      <c r="B211" s="95" t="s">
        <v>0</v>
      </c>
      <c r="C211" s="95" t="s">
        <v>8</v>
      </c>
      <c r="D211" s="95" t="s">
        <v>28</v>
      </c>
      <c r="E211" s="95" t="s">
        <v>438</v>
      </c>
      <c r="F211" s="95" t="s">
        <v>439</v>
      </c>
      <c r="G211" s="22"/>
      <c r="H211" s="69"/>
      <c r="I211" s="69"/>
      <c r="J211" s="69">
        <f>H211+I211</f>
        <v>0</v>
      </c>
      <c r="K211" s="69"/>
      <c r="L211" s="69">
        <f>J211+K211</f>
        <v>0</v>
      </c>
    </row>
    <row r="212" spans="1:12" ht="16.5" customHeight="1">
      <c r="A212" s="136" t="s">
        <v>30</v>
      </c>
      <c r="B212" s="94" t="s">
        <v>0</v>
      </c>
      <c r="C212" s="94" t="s">
        <v>9</v>
      </c>
      <c r="D212" s="94"/>
      <c r="E212" s="94"/>
      <c r="F212" s="94"/>
      <c r="G212" s="17" t="e">
        <f>#REF!+G220</f>
        <v>#REF!</v>
      </c>
      <c r="H212" s="66">
        <f>H220+H213</f>
        <v>0</v>
      </c>
      <c r="I212" s="66">
        <f>I220+I213</f>
        <v>750</v>
      </c>
      <c r="J212" s="66">
        <f>J220+J213</f>
        <v>3476</v>
      </c>
      <c r="K212" s="66">
        <f>K220+K213</f>
        <v>4466.215</v>
      </c>
      <c r="L212" s="66">
        <f>L220+L213</f>
        <v>7942.215</v>
      </c>
    </row>
    <row r="213" spans="1:12" ht="15" customHeight="1">
      <c r="A213" s="136" t="s">
        <v>464</v>
      </c>
      <c r="B213" s="94" t="s">
        <v>0</v>
      </c>
      <c r="C213" s="94" t="s">
        <v>9</v>
      </c>
      <c r="D213" s="94" t="s">
        <v>28</v>
      </c>
      <c r="E213" s="94"/>
      <c r="F213" s="94"/>
      <c r="G213" s="17"/>
      <c r="H213" s="66">
        <f>H214+H216</f>
        <v>0</v>
      </c>
      <c r="I213" s="66">
        <f>I214+I216</f>
        <v>0</v>
      </c>
      <c r="J213" s="66">
        <f>J214+J216++J218</f>
        <v>530</v>
      </c>
      <c r="K213" s="66">
        <f>K214+K216++K218</f>
        <v>4266.215</v>
      </c>
      <c r="L213" s="66">
        <f>L214+L216++L218</f>
        <v>4796.215</v>
      </c>
    </row>
    <row r="214" spans="1:12" ht="32.25" customHeight="1">
      <c r="A214" s="138" t="s">
        <v>437</v>
      </c>
      <c r="B214" s="95" t="s">
        <v>0</v>
      </c>
      <c r="C214" s="95" t="s">
        <v>9</v>
      </c>
      <c r="D214" s="95" t="s">
        <v>28</v>
      </c>
      <c r="E214" s="95" t="s">
        <v>438</v>
      </c>
      <c r="F214" s="95"/>
      <c r="G214" s="17"/>
      <c r="H214" s="69">
        <f>H215</f>
        <v>0</v>
      </c>
      <c r="I214" s="69">
        <f>I215</f>
        <v>0</v>
      </c>
      <c r="J214" s="69">
        <f>J215</f>
        <v>150</v>
      </c>
      <c r="K214" s="69">
        <f>K215</f>
        <v>1110</v>
      </c>
      <c r="L214" s="69">
        <f>L215</f>
        <v>1260</v>
      </c>
    </row>
    <row r="215" spans="1:12" ht="15" customHeight="1">
      <c r="A215" s="138" t="s">
        <v>440</v>
      </c>
      <c r="B215" s="95" t="s">
        <v>0</v>
      </c>
      <c r="C215" s="95" t="s">
        <v>9</v>
      </c>
      <c r="D215" s="95" t="s">
        <v>28</v>
      </c>
      <c r="E215" s="95" t="s">
        <v>438</v>
      </c>
      <c r="F215" s="95" t="s">
        <v>439</v>
      </c>
      <c r="G215" s="17"/>
      <c r="H215" s="69"/>
      <c r="I215" s="69"/>
      <c r="J215" s="69">
        <v>150</v>
      </c>
      <c r="K215" s="69">
        <f>30+1000+80</f>
        <v>1110</v>
      </c>
      <c r="L215" s="69">
        <f>J215+K215</f>
        <v>1260</v>
      </c>
    </row>
    <row r="216" spans="1:12" ht="46.5" customHeight="1">
      <c r="A216" s="137" t="s">
        <v>466</v>
      </c>
      <c r="B216" s="95" t="s">
        <v>0</v>
      </c>
      <c r="C216" s="95" t="s">
        <v>9</v>
      </c>
      <c r="D216" s="95" t="s">
        <v>28</v>
      </c>
      <c r="E216" s="95" t="s">
        <v>465</v>
      </c>
      <c r="F216" s="95"/>
      <c r="G216" s="17"/>
      <c r="H216" s="69">
        <f>H217</f>
        <v>0</v>
      </c>
      <c r="I216" s="69">
        <f>I217</f>
        <v>0</v>
      </c>
      <c r="J216" s="69">
        <f>J217</f>
        <v>0</v>
      </c>
      <c r="K216" s="69">
        <f>K217</f>
        <v>3236.215</v>
      </c>
      <c r="L216" s="69">
        <f>L217</f>
        <v>3236.215</v>
      </c>
    </row>
    <row r="217" spans="1:12" ht="15" customHeight="1">
      <c r="A217" s="138" t="s">
        <v>440</v>
      </c>
      <c r="B217" s="95" t="s">
        <v>0</v>
      </c>
      <c r="C217" s="95" t="s">
        <v>9</v>
      </c>
      <c r="D217" s="95" t="s">
        <v>28</v>
      </c>
      <c r="E217" s="95" t="s">
        <v>465</v>
      </c>
      <c r="F217" s="95" t="s">
        <v>439</v>
      </c>
      <c r="G217" s="17"/>
      <c r="H217" s="69"/>
      <c r="I217" s="69"/>
      <c r="J217" s="69">
        <f>H217+I217</f>
        <v>0</v>
      </c>
      <c r="K217" s="69">
        <v>3236.215</v>
      </c>
      <c r="L217" s="69">
        <f>J217+K217</f>
        <v>3236.215</v>
      </c>
    </row>
    <row r="218" spans="1:12" ht="23.25" customHeight="1">
      <c r="A218" s="227" t="s">
        <v>441</v>
      </c>
      <c r="B218" s="95" t="s">
        <v>0</v>
      </c>
      <c r="C218" s="95" t="s">
        <v>9</v>
      </c>
      <c r="D218" s="95" t="s">
        <v>28</v>
      </c>
      <c r="E218" s="95" t="s">
        <v>442</v>
      </c>
      <c r="F218" s="95"/>
      <c r="G218" s="22"/>
      <c r="H218" s="72"/>
      <c r="I218" s="69"/>
      <c r="J218" s="69">
        <f>J219</f>
        <v>380</v>
      </c>
      <c r="K218" s="69">
        <f>K219</f>
        <v>-80</v>
      </c>
      <c r="L218" s="69">
        <f>L219</f>
        <v>300</v>
      </c>
    </row>
    <row r="219" spans="1:12" ht="23.25" customHeight="1">
      <c r="A219" s="126" t="s">
        <v>548</v>
      </c>
      <c r="B219" s="95" t="s">
        <v>0</v>
      </c>
      <c r="C219" s="95" t="s">
        <v>9</v>
      </c>
      <c r="D219" s="95" t="s">
        <v>28</v>
      </c>
      <c r="E219" s="95" t="s">
        <v>442</v>
      </c>
      <c r="F219" s="95" t="s">
        <v>147</v>
      </c>
      <c r="G219" s="22"/>
      <c r="H219" s="72"/>
      <c r="I219" s="69"/>
      <c r="J219" s="69">
        <v>380</v>
      </c>
      <c r="K219" s="69">
        <v>-80</v>
      </c>
      <c r="L219" s="69">
        <f>J219+K219</f>
        <v>300</v>
      </c>
    </row>
    <row r="220" spans="1:12" s="36" customFormat="1" ht="21.75">
      <c r="A220" s="139" t="s">
        <v>35</v>
      </c>
      <c r="B220" s="94" t="s">
        <v>0</v>
      </c>
      <c r="C220" s="94" t="s">
        <v>9</v>
      </c>
      <c r="D220" s="94" t="s">
        <v>17</v>
      </c>
      <c r="E220" s="94"/>
      <c r="F220" s="94"/>
      <c r="G220" s="17">
        <f>G228</f>
        <v>0</v>
      </c>
      <c r="H220" s="66">
        <f>H227+H223+H221</f>
        <v>0</v>
      </c>
      <c r="I220" s="66">
        <f>I227+I223+I221</f>
        <v>750</v>
      </c>
      <c r="J220" s="66">
        <f>J227+J223+J221+J225</f>
        <v>2946</v>
      </c>
      <c r="K220" s="66">
        <f>K227+K223+K221+K225</f>
        <v>200</v>
      </c>
      <c r="L220" s="66">
        <f>L227+L223+L221+L225</f>
        <v>3146</v>
      </c>
    </row>
    <row r="221" spans="1:12" s="36" customFormat="1" ht="31.5" customHeight="1">
      <c r="A221" s="138" t="s">
        <v>437</v>
      </c>
      <c r="B221" s="95" t="s">
        <v>0</v>
      </c>
      <c r="C221" s="95" t="s">
        <v>9</v>
      </c>
      <c r="D221" s="95" t="s">
        <v>17</v>
      </c>
      <c r="E221" s="95" t="s">
        <v>438</v>
      </c>
      <c r="F221" s="95"/>
      <c r="G221" s="17"/>
      <c r="H221" s="69">
        <f>H222</f>
        <v>0</v>
      </c>
      <c r="I221" s="69">
        <f>I222</f>
        <v>300</v>
      </c>
      <c r="J221" s="69">
        <f>J222</f>
        <v>596</v>
      </c>
      <c r="K221" s="69">
        <f>K222</f>
        <v>0</v>
      </c>
      <c r="L221" s="69">
        <f>L222</f>
        <v>596</v>
      </c>
    </row>
    <row r="222" spans="1:12" s="36" customFormat="1" ht="14.25" customHeight="1">
      <c r="A222" s="138" t="s">
        <v>440</v>
      </c>
      <c r="B222" s="95" t="s">
        <v>0</v>
      </c>
      <c r="C222" s="95" t="s">
        <v>9</v>
      </c>
      <c r="D222" s="95" t="s">
        <v>17</v>
      </c>
      <c r="E222" s="95" t="s">
        <v>438</v>
      </c>
      <c r="F222" s="95" t="s">
        <v>439</v>
      </c>
      <c r="G222" s="17"/>
      <c r="H222" s="69"/>
      <c r="I222" s="69">
        <v>300</v>
      </c>
      <c r="J222" s="69">
        <v>596</v>
      </c>
      <c r="K222" s="69"/>
      <c r="L222" s="69">
        <f>J222+K222</f>
        <v>596</v>
      </c>
    </row>
    <row r="223" spans="1:12" s="36" customFormat="1" ht="21" customHeight="1">
      <c r="A223" s="124" t="s">
        <v>463</v>
      </c>
      <c r="B223" s="95" t="s">
        <v>0</v>
      </c>
      <c r="C223" s="95" t="s">
        <v>9</v>
      </c>
      <c r="D223" s="95" t="s">
        <v>17</v>
      </c>
      <c r="E223" s="95" t="s">
        <v>462</v>
      </c>
      <c r="F223" s="95"/>
      <c r="G223" s="17"/>
      <c r="H223" s="69">
        <f>H224+H225</f>
        <v>0</v>
      </c>
      <c r="I223" s="69">
        <f>I224+I225</f>
        <v>0</v>
      </c>
      <c r="J223" s="69">
        <f>J224</f>
        <v>880</v>
      </c>
      <c r="K223" s="69">
        <f>K224</f>
        <v>500</v>
      </c>
      <c r="L223" s="69">
        <f>L224</f>
        <v>1380</v>
      </c>
    </row>
    <row r="224" spans="1:12" s="36" customFormat="1" ht="35.25" customHeight="1">
      <c r="A224" s="126" t="s">
        <v>219</v>
      </c>
      <c r="B224" s="95" t="s">
        <v>0</v>
      </c>
      <c r="C224" s="95" t="s">
        <v>9</v>
      </c>
      <c r="D224" s="95" t="s">
        <v>17</v>
      </c>
      <c r="E224" s="95" t="s">
        <v>462</v>
      </c>
      <c r="F224" s="95" t="s">
        <v>220</v>
      </c>
      <c r="G224" s="17"/>
      <c r="H224" s="69"/>
      <c r="I224" s="69"/>
      <c r="J224" s="69">
        <v>880</v>
      </c>
      <c r="K224" s="69">
        <v>500</v>
      </c>
      <c r="L224" s="69">
        <f>J224+K224</f>
        <v>1380</v>
      </c>
    </row>
    <row r="225" spans="1:12" s="36" customFormat="1" ht="31.5" customHeight="1">
      <c r="A225" s="126" t="s">
        <v>536</v>
      </c>
      <c r="B225" s="95" t="s">
        <v>0</v>
      </c>
      <c r="C225" s="95" t="s">
        <v>9</v>
      </c>
      <c r="D225" s="95" t="s">
        <v>17</v>
      </c>
      <c r="E225" s="95" t="s">
        <v>535</v>
      </c>
      <c r="F225" s="95"/>
      <c r="G225" s="17"/>
      <c r="H225" s="69"/>
      <c r="I225" s="69"/>
      <c r="J225" s="69">
        <f>J226</f>
        <v>1020</v>
      </c>
      <c r="K225" s="69">
        <f>K226</f>
        <v>0</v>
      </c>
      <c r="L225" s="69">
        <f>L226</f>
        <v>1020</v>
      </c>
    </row>
    <row r="226" spans="1:12" s="36" customFormat="1" ht="38.25" customHeight="1">
      <c r="A226" s="126" t="s">
        <v>219</v>
      </c>
      <c r="B226" s="95" t="s">
        <v>0</v>
      </c>
      <c r="C226" s="95" t="s">
        <v>9</v>
      </c>
      <c r="D226" s="95" t="s">
        <v>17</v>
      </c>
      <c r="E226" s="95" t="s">
        <v>535</v>
      </c>
      <c r="F226" s="95" t="s">
        <v>220</v>
      </c>
      <c r="G226" s="17"/>
      <c r="H226" s="69"/>
      <c r="I226" s="69"/>
      <c r="J226" s="69">
        <v>1020</v>
      </c>
      <c r="K226" s="69"/>
      <c r="L226" s="69">
        <f>J226+K226</f>
        <v>1020</v>
      </c>
    </row>
    <row r="227" spans="1:12" s="36" customFormat="1" ht="14.25">
      <c r="A227" s="126" t="s">
        <v>312</v>
      </c>
      <c r="B227" s="95" t="s">
        <v>0</v>
      </c>
      <c r="C227" s="95" t="s">
        <v>9</v>
      </c>
      <c r="D227" s="95" t="s">
        <v>17</v>
      </c>
      <c r="E227" s="95" t="s">
        <v>252</v>
      </c>
      <c r="F227" s="95"/>
      <c r="G227" s="17"/>
      <c r="H227" s="69">
        <f>H228</f>
        <v>0</v>
      </c>
      <c r="I227" s="69">
        <f>I228</f>
        <v>450</v>
      </c>
      <c r="J227" s="69">
        <f>J228</f>
        <v>450</v>
      </c>
      <c r="K227" s="69">
        <f>K228</f>
        <v>-300</v>
      </c>
      <c r="L227" s="69">
        <f>L228</f>
        <v>150</v>
      </c>
    </row>
    <row r="228" spans="1:12" ht="23.25">
      <c r="A228" s="144" t="s">
        <v>521</v>
      </c>
      <c r="B228" s="95" t="s">
        <v>0</v>
      </c>
      <c r="C228" s="95" t="s">
        <v>9</v>
      </c>
      <c r="D228" s="95" t="s">
        <v>17</v>
      </c>
      <c r="E228" s="95" t="s">
        <v>221</v>
      </c>
      <c r="F228" s="95"/>
      <c r="G228" s="22">
        <f>G229</f>
        <v>0</v>
      </c>
      <c r="H228" s="69">
        <f>H229+H230</f>
        <v>0</v>
      </c>
      <c r="I228" s="69">
        <f>I229+I230</f>
        <v>450</v>
      </c>
      <c r="J228" s="69">
        <f>J229+J230</f>
        <v>450</v>
      </c>
      <c r="K228" s="69">
        <f>K229+K230</f>
        <v>-300</v>
      </c>
      <c r="L228" s="69">
        <f>L229+L230</f>
        <v>150</v>
      </c>
    </row>
    <row r="229" spans="1:12" ht="33.75">
      <c r="A229" s="126" t="s">
        <v>548</v>
      </c>
      <c r="B229" s="95" t="s">
        <v>0</v>
      </c>
      <c r="C229" s="95" t="s">
        <v>9</v>
      </c>
      <c r="D229" s="95" t="s">
        <v>17</v>
      </c>
      <c r="E229" s="95" t="s">
        <v>221</v>
      </c>
      <c r="F229" s="95" t="s">
        <v>147</v>
      </c>
      <c r="G229" s="22"/>
      <c r="H229" s="69"/>
      <c r="I229" s="69">
        <v>150</v>
      </c>
      <c r="J229" s="69">
        <f>H229+I229</f>
        <v>150</v>
      </c>
      <c r="K229" s="69">
        <f>-95.5+95.5</f>
        <v>0</v>
      </c>
      <c r="L229" s="69">
        <f>J229+K229</f>
        <v>150</v>
      </c>
    </row>
    <row r="230" spans="1:12" ht="33.75">
      <c r="A230" s="126" t="s">
        <v>219</v>
      </c>
      <c r="B230" s="95" t="s">
        <v>0</v>
      </c>
      <c r="C230" s="95" t="s">
        <v>9</v>
      </c>
      <c r="D230" s="95" t="s">
        <v>17</v>
      </c>
      <c r="E230" s="95" t="s">
        <v>221</v>
      </c>
      <c r="F230" s="95" t="s">
        <v>220</v>
      </c>
      <c r="G230" s="27"/>
      <c r="H230" s="69"/>
      <c r="I230" s="69">
        <v>300</v>
      </c>
      <c r="J230" s="69">
        <f>H230+I230</f>
        <v>300</v>
      </c>
      <c r="K230" s="69">
        <v>-300</v>
      </c>
      <c r="L230" s="69">
        <f>J230+K230</f>
        <v>0</v>
      </c>
    </row>
    <row r="231" spans="1:12" s="36" customFormat="1" ht="14.25" customHeight="1">
      <c r="A231" s="140" t="s">
        <v>222</v>
      </c>
      <c r="B231" s="94" t="s">
        <v>0</v>
      </c>
      <c r="C231" s="94" t="s">
        <v>11</v>
      </c>
      <c r="D231" s="94"/>
      <c r="E231" s="94"/>
      <c r="F231" s="94"/>
      <c r="G231" s="25"/>
      <c r="H231" s="66">
        <f>H232+H246</f>
        <v>0</v>
      </c>
      <c r="I231" s="66">
        <f>I232+I246</f>
        <v>2255</v>
      </c>
      <c r="J231" s="66">
        <f>J232+J246</f>
        <v>4719</v>
      </c>
      <c r="K231" s="66">
        <f>K232+K246</f>
        <v>2698.888</v>
      </c>
      <c r="L231" s="66">
        <f>L232+L246</f>
        <v>7417.888</v>
      </c>
    </row>
    <row r="232" spans="1:12" s="36" customFormat="1" ht="14.25" customHeight="1">
      <c r="A232" s="140" t="s">
        <v>39</v>
      </c>
      <c r="B232" s="94" t="s">
        <v>0</v>
      </c>
      <c r="C232" s="94" t="s">
        <v>11</v>
      </c>
      <c r="D232" s="94" t="s">
        <v>7</v>
      </c>
      <c r="E232" s="94"/>
      <c r="F232" s="94"/>
      <c r="G232" s="25"/>
      <c r="H232" s="66">
        <f>H233+H235+H239</f>
        <v>0</v>
      </c>
      <c r="I232" s="66">
        <f>I233+I235+I239</f>
        <v>2255</v>
      </c>
      <c r="J232" s="66">
        <f>J233+J235+J239+J237</f>
        <v>4089</v>
      </c>
      <c r="K232" s="66">
        <f>K233+K235+K239+K237</f>
        <v>2598.888</v>
      </c>
      <c r="L232" s="66">
        <f>L233+L235+L239+L237</f>
        <v>6687.888</v>
      </c>
    </row>
    <row r="233" spans="1:12" ht="45.75" customHeight="1">
      <c r="A233" s="138" t="s">
        <v>437</v>
      </c>
      <c r="B233" s="95" t="s">
        <v>0</v>
      </c>
      <c r="C233" s="95" t="s">
        <v>11</v>
      </c>
      <c r="D233" s="95" t="s">
        <v>7</v>
      </c>
      <c r="E233" s="95" t="s">
        <v>438</v>
      </c>
      <c r="F233" s="95"/>
      <c r="G233" s="27"/>
      <c r="H233" s="69">
        <f>H234</f>
        <v>0</v>
      </c>
      <c r="I233" s="69">
        <f>I234</f>
        <v>380</v>
      </c>
      <c r="J233" s="69">
        <f>J234</f>
        <v>664</v>
      </c>
      <c r="K233" s="69">
        <f>K234</f>
        <v>150</v>
      </c>
      <c r="L233" s="69">
        <f>L234</f>
        <v>814</v>
      </c>
    </row>
    <row r="234" spans="1:12" ht="15" customHeight="1">
      <c r="A234" s="138" t="s">
        <v>440</v>
      </c>
      <c r="B234" s="95" t="s">
        <v>0</v>
      </c>
      <c r="C234" s="95" t="s">
        <v>11</v>
      </c>
      <c r="D234" s="95" t="s">
        <v>7</v>
      </c>
      <c r="E234" s="95" t="s">
        <v>438</v>
      </c>
      <c r="F234" s="95" t="s">
        <v>439</v>
      </c>
      <c r="G234" s="27"/>
      <c r="H234" s="69"/>
      <c r="I234" s="69">
        <v>380</v>
      </c>
      <c r="J234" s="69">
        <v>664</v>
      </c>
      <c r="K234" s="69">
        <f>100+50</f>
        <v>150</v>
      </c>
      <c r="L234" s="69">
        <f>J234+K234</f>
        <v>814</v>
      </c>
    </row>
    <row r="235" spans="1:12" ht="21.75" customHeight="1">
      <c r="A235" s="138" t="s">
        <v>479</v>
      </c>
      <c r="B235" s="95" t="s">
        <v>0</v>
      </c>
      <c r="C235" s="95" t="s">
        <v>11</v>
      </c>
      <c r="D235" s="95" t="s">
        <v>7</v>
      </c>
      <c r="E235" s="95" t="s">
        <v>480</v>
      </c>
      <c r="F235" s="95"/>
      <c r="G235" s="27"/>
      <c r="H235" s="69">
        <f>H236</f>
        <v>0</v>
      </c>
      <c r="I235" s="69">
        <f>I236</f>
        <v>0</v>
      </c>
      <c r="J235" s="69">
        <f>J236</f>
        <v>0</v>
      </c>
      <c r="K235" s="69">
        <f>K236</f>
        <v>806.9</v>
      </c>
      <c r="L235" s="69">
        <f>L236</f>
        <v>806.9</v>
      </c>
    </row>
    <row r="236" spans="1:12" ht="15" customHeight="1">
      <c r="A236" s="138" t="s">
        <v>440</v>
      </c>
      <c r="B236" s="95" t="s">
        <v>0</v>
      </c>
      <c r="C236" s="95" t="s">
        <v>11</v>
      </c>
      <c r="D236" s="95" t="s">
        <v>7</v>
      </c>
      <c r="E236" s="95" t="s">
        <v>480</v>
      </c>
      <c r="F236" s="95" t="s">
        <v>439</v>
      </c>
      <c r="G236" s="27"/>
      <c r="H236" s="69"/>
      <c r="I236" s="69"/>
      <c r="J236" s="69">
        <f>H236+I236</f>
        <v>0</v>
      </c>
      <c r="K236" s="69">
        <v>806.9</v>
      </c>
      <c r="L236" s="69">
        <f>J236+K236</f>
        <v>806.9</v>
      </c>
    </row>
    <row r="237" spans="1:12" ht="38.25" customHeight="1">
      <c r="A237" s="193" t="s">
        <v>578</v>
      </c>
      <c r="B237" s="95" t="s">
        <v>0</v>
      </c>
      <c r="C237" s="95" t="s">
        <v>11</v>
      </c>
      <c r="D237" s="95" t="s">
        <v>7</v>
      </c>
      <c r="E237" s="95" t="s">
        <v>544</v>
      </c>
      <c r="F237" s="95"/>
      <c r="G237" s="27"/>
      <c r="H237" s="69"/>
      <c r="I237" s="69"/>
      <c r="J237" s="69">
        <f>J238</f>
        <v>0</v>
      </c>
      <c r="K237" s="69">
        <f>K238</f>
        <v>1589.3</v>
      </c>
      <c r="L237" s="69">
        <f>L238</f>
        <v>1589.3</v>
      </c>
    </row>
    <row r="238" spans="1:12" ht="15" customHeight="1">
      <c r="A238" s="138" t="s">
        <v>440</v>
      </c>
      <c r="B238" s="95" t="s">
        <v>0</v>
      </c>
      <c r="C238" s="95" t="s">
        <v>11</v>
      </c>
      <c r="D238" s="95" t="s">
        <v>7</v>
      </c>
      <c r="E238" s="95" t="s">
        <v>544</v>
      </c>
      <c r="F238" s="95" t="s">
        <v>439</v>
      </c>
      <c r="G238" s="27"/>
      <c r="H238" s="69"/>
      <c r="I238" s="69"/>
      <c r="J238" s="69"/>
      <c r="K238" s="69">
        <v>1589.3</v>
      </c>
      <c r="L238" s="69">
        <f>J238+K238</f>
        <v>1589.3</v>
      </c>
    </row>
    <row r="239" spans="1:12" ht="15" customHeight="1">
      <c r="A239" s="138" t="s">
        <v>312</v>
      </c>
      <c r="B239" s="95" t="s">
        <v>0</v>
      </c>
      <c r="C239" s="95" t="s">
        <v>11</v>
      </c>
      <c r="D239" s="95" t="s">
        <v>7</v>
      </c>
      <c r="E239" s="95" t="s">
        <v>252</v>
      </c>
      <c r="F239" s="95"/>
      <c r="G239" s="27"/>
      <c r="H239" s="69">
        <f>H242+H244+H240</f>
        <v>0</v>
      </c>
      <c r="I239" s="69">
        <f>I242+I244+I240</f>
        <v>1875</v>
      </c>
      <c r="J239" s="69">
        <f>J242+J244+J240</f>
        <v>3425</v>
      </c>
      <c r="K239" s="69">
        <f>K242+K244+K240</f>
        <v>52.688</v>
      </c>
      <c r="L239" s="69">
        <f>L242+L244+L240</f>
        <v>3477.688</v>
      </c>
    </row>
    <row r="240" spans="1:12" ht="15" customHeight="1">
      <c r="A240" s="127" t="s">
        <v>278</v>
      </c>
      <c r="B240" s="95" t="s">
        <v>0</v>
      </c>
      <c r="C240" s="95" t="s">
        <v>11</v>
      </c>
      <c r="D240" s="95" t="s">
        <v>7</v>
      </c>
      <c r="E240" s="95" t="s">
        <v>279</v>
      </c>
      <c r="F240" s="95"/>
      <c r="G240" s="27"/>
      <c r="H240" s="69">
        <f>H241</f>
        <v>0</v>
      </c>
      <c r="I240" s="69">
        <f>I241</f>
        <v>249</v>
      </c>
      <c r="J240" s="69">
        <f>J241</f>
        <v>249</v>
      </c>
      <c r="K240" s="69">
        <f>K241</f>
        <v>0</v>
      </c>
      <c r="L240" s="69">
        <f>L241</f>
        <v>249</v>
      </c>
    </row>
    <row r="241" spans="1:12" ht="15" customHeight="1">
      <c r="A241" s="138" t="s">
        <v>440</v>
      </c>
      <c r="B241" s="95" t="s">
        <v>0</v>
      </c>
      <c r="C241" s="95" t="s">
        <v>11</v>
      </c>
      <c r="D241" s="95" t="s">
        <v>7</v>
      </c>
      <c r="E241" s="95" t="s">
        <v>279</v>
      </c>
      <c r="F241" s="95" t="s">
        <v>439</v>
      </c>
      <c r="G241" s="27"/>
      <c r="H241" s="69"/>
      <c r="I241" s="69">
        <v>249</v>
      </c>
      <c r="J241" s="69">
        <f>H241+I241</f>
        <v>249</v>
      </c>
      <c r="K241" s="69"/>
      <c r="L241" s="69">
        <f>J241+K241</f>
        <v>249</v>
      </c>
    </row>
    <row r="242" spans="1:12" ht="21.75" customHeight="1">
      <c r="A242" s="130" t="s">
        <v>313</v>
      </c>
      <c r="B242" s="95" t="s">
        <v>0</v>
      </c>
      <c r="C242" s="95" t="s">
        <v>11</v>
      </c>
      <c r="D242" s="95" t="s">
        <v>7</v>
      </c>
      <c r="E242" s="95" t="s">
        <v>314</v>
      </c>
      <c r="F242" s="95"/>
      <c r="G242" s="27"/>
      <c r="H242" s="69">
        <f>H243</f>
        <v>0</v>
      </c>
      <c r="I242" s="69">
        <f>I243</f>
        <v>375</v>
      </c>
      <c r="J242" s="69">
        <f>J243</f>
        <v>1925</v>
      </c>
      <c r="K242" s="69">
        <f>K243</f>
        <v>52.688</v>
      </c>
      <c r="L242" s="69">
        <f>L243</f>
        <v>1977.688</v>
      </c>
    </row>
    <row r="243" spans="1:12" ht="15" customHeight="1">
      <c r="A243" s="138" t="s">
        <v>440</v>
      </c>
      <c r="B243" s="95" t="s">
        <v>0</v>
      </c>
      <c r="C243" s="95" t="s">
        <v>11</v>
      </c>
      <c r="D243" s="95" t="s">
        <v>7</v>
      </c>
      <c r="E243" s="95" t="s">
        <v>314</v>
      </c>
      <c r="F243" s="95" t="s">
        <v>439</v>
      </c>
      <c r="G243" s="27"/>
      <c r="H243" s="69"/>
      <c r="I243" s="69">
        <v>375</v>
      </c>
      <c r="J243" s="69">
        <v>1925</v>
      </c>
      <c r="K243" s="69">
        <f>52.688</f>
        <v>52.688</v>
      </c>
      <c r="L243" s="69">
        <f>J243+K243</f>
        <v>1977.688</v>
      </c>
    </row>
    <row r="244" spans="1:12" ht="39" customHeight="1">
      <c r="A244" s="138" t="s">
        <v>522</v>
      </c>
      <c r="B244" s="95" t="s">
        <v>0</v>
      </c>
      <c r="C244" s="95" t="s">
        <v>11</v>
      </c>
      <c r="D244" s="95" t="s">
        <v>7</v>
      </c>
      <c r="E244" s="95" t="s">
        <v>433</v>
      </c>
      <c r="F244" s="95"/>
      <c r="G244" s="27"/>
      <c r="H244" s="69">
        <f>H245</f>
        <v>0</v>
      </c>
      <c r="I244" s="69">
        <f>I245</f>
        <v>1251</v>
      </c>
      <c r="J244" s="69">
        <f>J245</f>
        <v>1251</v>
      </c>
      <c r="K244" s="69">
        <f>K245</f>
        <v>0</v>
      </c>
      <c r="L244" s="69">
        <f>L245</f>
        <v>1251</v>
      </c>
    </row>
    <row r="245" spans="1:12" ht="15" customHeight="1">
      <c r="A245" s="138" t="s">
        <v>440</v>
      </c>
      <c r="B245" s="95" t="s">
        <v>0</v>
      </c>
      <c r="C245" s="95" t="s">
        <v>11</v>
      </c>
      <c r="D245" s="95" t="s">
        <v>7</v>
      </c>
      <c r="E245" s="95" t="s">
        <v>433</v>
      </c>
      <c r="F245" s="95" t="s">
        <v>439</v>
      </c>
      <c r="G245" s="27"/>
      <c r="H245" s="69"/>
      <c r="I245" s="69">
        <v>1251</v>
      </c>
      <c r="J245" s="69">
        <f>H245+I245</f>
        <v>1251</v>
      </c>
      <c r="K245" s="69"/>
      <c r="L245" s="69">
        <f>J245+K245</f>
        <v>1251</v>
      </c>
    </row>
    <row r="246" spans="1:12" s="36" customFormat="1" ht="14.25" customHeight="1">
      <c r="A246" s="140" t="s">
        <v>40</v>
      </c>
      <c r="B246" s="94" t="s">
        <v>0</v>
      </c>
      <c r="C246" s="94" t="s">
        <v>11</v>
      </c>
      <c r="D246" s="94" t="s">
        <v>8</v>
      </c>
      <c r="E246" s="94"/>
      <c r="F246" s="94"/>
      <c r="G246" s="56">
        <f aca="true" t="shared" si="18" ref="G246:L246">G249++G247</f>
        <v>0</v>
      </c>
      <c r="H246" s="56">
        <f t="shared" si="18"/>
        <v>0</v>
      </c>
      <c r="I246" s="56">
        <f t="shared" si="18"/>
        <v>0</v>
      </c>
      <c r="J246" s="66">
        <f t="shared" si="18"/>
        <v>630</v>
      </c>
      <c r="K246" s="66">
        <f t="shared" si="18"/>
        <v>100</v>
      </c>
      <c r="L246" s="66">
        <f t="shared" si="18"/>
        <v>730</v>
      </c>
    </row>
    <row r="247" spans="1:12" s="36" customFormat="1" ht="36" customHeight="1">
      <c r="A247" s="138" t="s">
        <v>437</v>
      </c>
      <c r="B247" s="95" t="s">
        <v>0</v>
      </c>
      <c r="C247" s="95" t="s">
        <v>11</v>
      </c>
      <c r="D247" s="95" t="s">
        <v>8</v>
      </c>
      <c r="E247" s="95" t="s">
        <v>438</v>
      </c>
      <c r="F247" s="94"/>
      <c r="G247" s="25"/>
      <c r="H247" s="66"/>
      <c r="I247" s="66"/>
      <c r="J247" s="69">
        <f>J248</f>
        <v>150</v>
      </c>
      <c r="K247" s="69">
        <f>K248</f>
        <v>100</v>
      </c>
      <c r="L247" s="69">
        <f>L248</f>
        <v>250</v>
      </c>
    </row>
    <row r="248" spans="1:12" ht="15" customHeight="1">
      <c r="A248" s="138" t="s">
        <v>440</v>
      </c>
      <c r="B248" s="95" t="s">
        <v>0</v>
      </c>
      <c r="C248" s="95" t="s">
        <v>11</v>
      </c>
      <c r="D248" s="95" t="s">
        <v>8</v>
      </c>
      <c r="E248" s="95" t="s">
        <v>438</v>
      </c>
      <c r="F248" s="95" t="s">
        <v>439</v>
      </c>
      <c r="G248" s="27"/>
      <c r="H248" s="69"/>
      <c r="I248" s="69">
        <v>380</v>
      </c>
      <c r="J248" s="69">
        <v>150</v>
      </c>
      <c r="K248" s="69">
        <v>100</v>
      </c>
      <c r="L248" s="69">
        <f>J248+K248</f>
        <v>250</v>
      </c>
    </row>
    <row r="249" spans="1:12" ht="32.25" customHeight="1">
      <c r="A249" s="132" t="s">
        <v>519</v>
      </c>
      <c r="B249" s="95" t="s">
        <v>0</v>
      </c>
      <c r="C249" s="95" t="s">
        <v>11</v>
      </c>
      <c r="D249" s="95" t="s">
        <v>8</v>
      </c>
      <c r="E249" s="95" t="s">
        <v>520</v>
      </c>
      <c r="F249" s="95"/>
      <c r="G249" s="27"/>
      <c r="H249" s="69">
        <f>H250</f>
        <v>0</v>
      </c>
      <c r="I249" s="69">
        <f>I250</f>
        <v>0</v>
      </c>
      <c r="J249" s="69">
        <f>J250</f>
        <v>480</v>
      </c>
      <c r="K249" s="69">
        <f>K250</f>
        <v>0</v>
      </c>
      <c r="L249" s="69">
        <f>L250</f>
        <v>480</v>
      </c>
    </row>
    <row r="250" spans="1:12" ht="15" customHeight="1">
      <c r="A250" s="138" t="s">
        <v>440</v>
      </c>
      <c r="B250" s="95" t="s">
        <v>0</v>
      </c>
      <c r="C250" s="95" t="s">
        <v>11</v>
      </c>
      <c r="D250" s="95" t="s">
        <v>8</v>
      </c>
      <c r="E250" s="95" t="s">
        <v>520</v>
      </c>
      <c r="F250" s="95" t="s">
        <v>439</v>
      </c>
      <c r="G250" s="27"/>
      <c r="H250" s="69"/>
      <c r="I250" s="69"/>
      <c r="J250" s="69">
        <v>480</v>
      </c>
      <c r="K250" s="69"/>
      <c r="L250" s="69">
        <f>J250+K250</f>
        <v>480</v>
      </c>
    </row>
    <row r="251" spans="1:12" s="36" customFormat="1" ht="18" customHeight="1">
      <c r="A251" s="123" t="s">
        <v>87</v>
      </c>
      <c r="B251" s="94" t="s">
        <v>0</v>
      </c>
      <c r="C251" s="94" t="s">
        <v>14</v>
      </c>
      <c r="D251" s="94"/>
      <c r="E251" s="94"/>
      <c r="F251" s="94"/>
      <c r="G251" s="25"/>
      <c r="H251" s="66">
        <f>H252</f>
        <v>0</v>
      </c>
      <c r="I251" s="66">
        <f aca="true" t="shared" si="19" ref="I251:L253">I252</f>
        <v>60</v>
      </c>
      <c r="J251" s="66">
        <f t="shared" si="19"/>
        <v>60</v>
      </c>
      <c r="K251" s="66">
        <f t="shared" si="19"/>
        <v>0</v>
      </c>
      <c r="L251" s="66">
        <f t="shared" si="19"/>
        <v>60</v>
      </c>
    </row>
    <row r="252" spans="1:12" ht="15">
      <c r="A252" s="123" t="s">
        <v>141</v>
      </c>
      <c r="B252" s="94" t="s">
        <v>0</v>
      </c>
      <c r="C252" s="94" t="s">
        <v>14</v>
      </c>
      <c r="D252" s="94" t="s">
        <v>11</v>
      </c>
      <c r="E252" s="94"/>
      <c r="F252" s="94"/>
      <c r="G252" s="17" t="e">
        <f>G253+#REF!</f>
        <v>#REF!</v>
      </c>
      <c r="H252" s="66">
        <f>H253</f>
        <v>0</v>
      </c>
      <c r="I252" s="66">
        <f t="shared" si="19"/>
        <v>60</v>
      </c>
      <c r="J252" s="66">
        <f t="shared" si="19"/>
        <v>60</v>
      </c>
      <c r="K252" s="66">
        <f t="shared" si="19"/>
        <v>0</v>
      </c>
      <c r="L252" s="66">
        <f t="shared" si="19"/>
        <v>60</v>
      </c>
    </row>
    <row r="253" spans="1:12" ht="23.25">
      <c r="A253" s="124" t="s">
        <v>88</v>
      </c>
      <c r="B253" s="95" t="s">
        <v>0</v>
      </c>
      <c r="C253" s="95" t="s">
        <v>14</v>
      </c>
      <c r="D253" s="95" t="s">
        <v>11</v>
      </c>
      <c r="E253" s="95" t="s">
        <v>89</v>
      </c>
      <c r="F253" s="95"/>
      <c r="G253" s="22">
        <f>G254</f>
        <v>0</v>
      </c>
      <c r="H253" s="69">
        <f>H254</f>
        <v>0</v>
      </c>
      <c r="I253" s="69">
        <f t="shared" si="19"/>
        <v>60</v>
      </c>
      <c r="J253" s="69">
        <f t="shared" si="19"/>
        <v>60</v>
      </c>
      <c r="K253" s="69">
        <f t="shared" si="19"/>
        <v>0</v>
      </c>
      <c r="L253" s="69">
        <f t="shared" si="19"/>
        <v>60</v>
      </c>
    </row>
    <row r="254" spans="1:12" ht="23.25">
      <c r="A254" s="124" t="s">
        <v>90</v>
      </c>
      <c r="B254" s="95" t="s">
        <v>0</v>
      </c>
      <c r="C254" s="95" t="s">
        <v>14</v>
      </c>
      <c r="D254" s="95" t="s">
        <v>11</v>
      </c>
      <c r="E254" s="95" t="s">
        <v>91</v>
      </c>
      <c r="F254" s="95"/>
      <c r="G254" s="22">
        <f>G257</f>
        <v>0</v>
      </c>
      <c r="H254" s="69">
        <f>H255+H256</f>
        <v>0</v>
      </c>
      <c r="I254" s="69">
        <f>I255+I256</f>
        <v>60</v>
      </c>
      <c r="J254" s="69">
        <f>J255+J256</f>
        <v>60</v>
      </c>
      <c r="K254" s="69">
        <f>K255+K256</f>
        <v>0</v>
      </c>
      <c r="L254" s="69">
        <f>L255+L256</f>
        <v>60</v>
      </c>
    </row>
    <row r="255" spans="1:12" ht="33.75">
      <c r="A255" s="126" t="s">
        <v>153</v>
      </c>
      <c r="B255" s="95" t="s">
        <v>0</v>
      </c>
      <c r="C255" s="95" t="s">
        <v>14</v>
      </c>
      <c r="D255" s="95" t="s">
        <v>11</v>
      </c>
      <c r="E255" s="95" t="s">
        <v>91</v>
      </c>
      <c r="F255" s="95" t="s">
        <v>154</v>
      </c>
      <c r="G255" s="22"/>
      <c r="H255" s="69"/>
      <c r="I255" s="69">
        <v>6</v>
      </c>
      <c r="J255" s="69">
        <f>H255+I255</f>
        <v>6</v>
      </c>
      <c r="K255" s="69"/>
      <c r="L255" s="69">
        <f>J255+K255</f>
        <v>6</v>
      </c>
    </row>
    <row r="256" spans="1:12" ht="33.75">
      <c r="A256" s="126" t="s">
        <v>548</v>
      </c>
      <c r="B256" s="95" t="s">
        <v>0</v>
      </c>
      <c r="C256" s="95" t="s">
        <v>14</v>
      </c>
      <c r="D256" s="95" t="s">
        <v>11</v>
      </c>
      <c r="E256" s="95" t="s">
        <v>91</v>
      </c>
      <c r="F256" s="95" t="s">
        <v>147</v>
      </c>
      <c r="G256" s="22"/>
      <c r="H256" s="69"/>
      <c r="I256" s="69">
        <v>54</v>
      </c>
      <c r="J256" s="69">
        <f>H256+I256</f>
        <v>54</v>
      </c>
      <c r="K256" s="69"/>
      <c r="L256" s="69">
        <f>J256+K256</f>
        <v>54</v>
      </c>
    </row>
    <row r="257" spans="1:12" s="36" customFormat="1" ht="14.25" customHeight="1">
      <c r="A257" s="139" t="s">
        <v>421</v>
      </c>
      <c r="B257" s="94" t="s">
        <v>0</v>
      </c>
      <c r="C257" s="94" t="s">
        <v>34</v>
      </c>
      <c r="D257" s="94"/>
      <c r="E257" s="94"/>
      <c r="F257" s="94"/>
      <c r="G257" s="25"/>
      <c r="H257" s="66">
        <f>H258</f>
        <v>0</v>
      </c>
      <c r="I257" s="66">
        <f aca="true" t="shared" si="20" ref="I257:L259">I258</f>
        <v>860</v>
      </c>
      <c r="J257" s="66">
        <f t="shared" si="20"/>
        <v>1435</v>
      </c>
      <c r="K257" s="66">
        <f t="shared" si="20"/>
        <v>20</v>
      </c>
      <c r="L257" s="66">
        <f t="shared" si="20"/>
        <v>1455</v>
      </c>
    </row>
    <row r="258" spans="1:12" s="36" customFormat="1" ht="14.25" customHeight="1">
      <c r="A258" s="139" t="s">
        <v>467</v>
      </c>
      <c r="B258" s="94" t="s">
        <v>0</v>
      </c>
      <c r="C258" s="94" t="s">
        <v>34</v>
      </c>
      <c r="D258" s="94" t="s">
        <v>6</v>
      </c>
      <c r="E258" s="94"/>
      <c r="F258" s="94"/>
      <c r="G258" s="25"/>
      <c r="H258" s="66">
        <f>H259</f>
        <v>0</v>
      </c>
      <c r="I258" s="66">
        <f t="shared" si="20"/>
        <v>860</v>
      </c>
      <c r="J258" s="66">
        <f t="shared" si="20"/>
        <v>1435</v>
      </c>
      <c r="K258" s="66">
        <f t="shared" si="20"/>
        <v>20</v>
      </c>
      <c r="L258" s="66">
        <f t="shared" si="20"/>
        <v>1455</v>
      </c>
    </row>
    <row r="259" spans="1:12" ht="32.25" customHeight="1">
      <c r="A259" s="138" t="s">
        <v>437</v>
      </c>
      <c r="B259" s="95" t="s">
        <v>0</v>
      </c>
      <c r="C259" s="95" t="s">
        <v>34</v>
      </c>
      <c r="D259" s="95" t="s">
        <v>6</v>
      </c>
      <c r="E259" s="95" t="s">
        <v>438</v>
      </c>
      <c r="F259" s="95"/>
      <c r="G259" s="27"/>
      <c r="H259" s="69">
        <f>H260</f>
        <v>0</v>
      </c>
      <c r="I259" s="69">
        <f t="shared" si="20"/>
        <v>860</v>
      </c>
      <c r="J259" s="69">
        <f t="shared" si="20"/>
        <v>1435</v>
      </c>
      <c r="K259" s="69">
        <f t="shared" si="20"/>
        <v>20</v>
      </c>
      <c r="L259" s="69">
        <f t="shared" si="20"/>
        <v>1455</v>
      </c>
    </row>
    <row r="260" spans="1:12" ht="15" customHeight="1">
      <c r="A260" s="138" t="s">
        <v>440</v>
      </c>
      <c r="B260" s="95" t="s">
        <v>0</v>
      </c>
      <c r="C260" s="95" t="s">
        <v>34</v>
      </c>
      <c r="D260" s="95" t="s">
        <v>6</v>
      </c>
      <c r="E260" s="95" t="s">
        <v>438</v>
      </c>
      <c r="F260" s="95" t="s">
        <v>439</v>
      </c>
      <c r="G260" s="27"/>
      <c r="H260" s="69"/>
      <c r="I260" s="69">
        <v>860</v>
      </c>
      <c r="J260" s="69">
        <v>1435</v>
      </c>
      <c r="K260" s="69">
        <f>70-50</f>
        <v>20</v>
      </c>
      <c r="L260" s="69">
        <f>J260+K260</f>
        <v>1455</v>
      </c>
    </row>
    <row r="261" spans="1:12" s="36" customFormat="1" ht="14.25" customHeight="1">
      <c r="A261" s="139" t="s">
        <v>58</v>
      </c>
      <c r="B261" s="94" t="s">
        <v>0</v>
      </c>
      <c r="C261" s="94" t="s">
        <v>16</v>
      </c>
      <c r="D261" s="94"/>
      <c r="E261" s="94"/>
      <c r="F261" s="94"/>
      <c r="G261" s="25"/>
      <c r="H261" s="66">
        <f aca="true" t="shared" si="21" ref="H261:L263">H262</f>
        <v>0</v>
      </c>
      <c r="I261" s="66">
        <f t="shared" si="21"/>
        <v>570</v>
      </c>
      <c r="J261" s="66">
        <f t="shared" si="21"/>
        <v>2043</v>
      </c>
      <c r="K261" s="66">
        <f t="shared" si="21"/>
        <v>-650</v>
      </c>
      <c r="L261" s="66">
        <f t="shared" si="21"/>
        <v>1393</v>
      </c>
    </row>
    <row r="262" spans="1:12" s="36" customFormat="1" ht="14.25" customHeight="1">
      <c r="A262" s="139" t="s">
        <v>70</v>
      </c>
      <c r="B262" s="94" t="s">
        <v>0</v>
      </c>
      <c r="C262" s="94" t="s">
        <v>16</v>
      </c>
      <c r="D262" s="94" t="s">
        <v>6</v>
      </c>
      <c r="E262" s="94"/>
      <c r="F262" s="94"/>
      <c r="G262" s="25"/>
      <c r="H262" s="66">
        <f t="shared" si="21"/>
        <v>0</v>
      </c>
      <c r="I262" s="66">
        <f t="shared" si="21"/>
        <v>570</v>
      </c>
      <c r="J262" s="66">
        <f t="shared" si="21"/>
        <v>2043</v>
      </c>
      <c r="K262" s="66">
        <f t="shared" si="21"/>
        <v>-650</v>
      </c>
      <c r="L262" s="66">
        <f t="shared" si="21"/>
        <v>1393</v>
      </c>
    </row>
    <row r="263" spans="1:12" ht="32.25" customHeight="1">
      <c r="A263" s="138" t="s">
        <v>437</v>
      </c>
      <c r="B263" s="95" t="s">
        <v>0</v>
      </c>
      <c r="C263" s="95" t="s">
        <v>16</v>
      </c>
      <c r="D263" s="95" t="s">
        <v>6</v>
      </c>
      <c r="E263" s="95" t="s">
        <v>438</v>
      </c>
      <c r="F263" s="95"/>
      <c r="G263" s="27"/>
      <c r="H263" s="69">
        <f t="shared" si="21"/>
        <v>0</v>
      </c>
      <c r="I263" s="69">
        <f t="shared" si="21"/>
        <v>570</v>
      </c>
      <c r="J263" s="69">
        <f t="shared" si="21"/>
        <v>2043</v>
      </c>
      <c r="K263" s="69">
        <f t="shared" si="21"/>
        <v>-650</v>
      </c>
      <c r="L263" s="69">
        <f t="shared" si="21"/>
        <v>1393</v>
      </c>
    </row>
    <row r="264" spans="1:12" ht="15" customHeight="1">
      <c r="A264" s="138" t="s">
        <v>440</v>
      </c>
      <c r="B264" s="95" t="s">
        <v>0</v>
      </c>
      <c r="C264" s="95" t="s">
        <v>16</v>
      </c>
      <c r="D264" s="95" t="s">
        <v>6</v>
      </c>
      <c r="E264" s="95" t="s">
        <v>438</v>
      </c>
      <c r="F264" s="95" t="s">
        <v>439</v>
      </c>
      <c r="G264" s="27"/>
      <c r="H264" s="69"/>
      <c r="I264" s="69">
        <v>570</v>
      </c>
      <c r="J264" s="69">
        <v>2043</v>
      </c>
      <c r="K264" s="69">
        <f>300+50-1000</f>
        <v>-650</v>
      </c>
      <c r="L264" s="69">
        <f>J264+K264</f>
        <v>1393</v>
      </c>
    </row>
    <row r="265" spans="1:12" ht="18.75" customHeight="1">
      <c r="A265" s="139" t="s">
        <v>73</v>
      </c>
      <c r="B265" s="94" t="s">
        <v>0</v>
      </c>
      <c r="C265" s="94" t="s">
        <v>18</v>
      </c>
      <c r="D265" s="94"/>
      <c r="E265" s="95"/>
      <c r="F265" s="95"/>
      <c r="G265" s="22" t="e">
        <f>#REF!</f>
        <v>#REF!</v>
      </c>
      <c r="H265" s="66">
        <f>H267</f>
        <v>45.04</v>
      </c>
      <c r="I265" s="66">
        <f>I267</f>
        <v>154.96</v>
      </c>
      <c r="J265" s="66">
        <f>J267</f>
        <v>200</v>
      </c>
      <c r="K265" s="66">
        <f>K267</f>
        <v>0</v>
      </c>
      <c r="L265" s="66">
        <f>L267</f>
        <v>200</v>
      </c>
    </row>
    <row r="266" spans="1:12" ht="27.75" customHeight="1">
      <c r="A266" s="139" t="s">
        <v>75</v>
      </c>
      <c r="B266" s="94" t="s">
        <v>0</v>
      </c>
      <c r="C266" s="94" t="s">
        <v>18</v>
      </c>
      <c r="D266" s="94" t="s">
        <v>6</v>
      </c>
      <c r="E266" s="95"/>
      <c r="F266" s="95"/>
      <c r="G266" s="22"/>
      <c r="H266" s="66">
        <f aca="true" t="shared" si="22" ref="H266:L267">H267</f>
        <v>45.04</v>
      </c>
      <c r="I266" s="66">
        <f t="shared" si="22"/>
        <v>154.96</v>
      </c>
      <c r="J266" s="66">
        <f t="shared" si="22"/>
        <v>200</v>
      </c>
      <c r="K266" s="66">
        <f t="shared" si="22"/>
        <v>0</v>
      </c>
      <c r="L266" s="66">
        <f t="shared" si="22"/>
        <v>200</v>
      </c>
    </row>
    <row r="267" spans="1:12" ht="17.25" customHeight="1">
      <c r="A267" s="138" t="s">
        <v>194</v>
      </c>
      <c r="B267" s="95" t="s">
        <v>0</v>
      </c>
      <c r="C267" s="95" t="s">
        <v>18</v>
      </c>
      <c r="D267" s="95" t="s">
        <v>6</v>
      </c>
      <c r="E267" s="95" t="s">
        <v>229</v>
      </c>
      <c r="F267" s="95"/>
      <c r="G267" s="22" t="e">
        <f>#REF!</f>
        <v>#REF!</v>
      </c>
      <c r="H267" s="69">
        <f t="shared" si="22"/>
        <v>45.04</v>
      </c>
      <c r="I267" s="69">
        <f t="shared" si="22"/>
        <v>154.96</v>
      </c>
      <c r="J267" s="69">
        <f t="shared" si="22"/>
        <v>200</v>
      </c>
      <c r="K267" s="69">
        <f t="shared" si="22"/>
        <v>0</v>
      </c>
      <c r="L267" s="69">
        <f t="shared" si="22"/>
        <v>200</v>
      </c>
    </row>
    <row r="268" spans="1:12" ht="16.5" customHeight="1">
      <c r="A268" s="138" t="s">
        <v>195</v>
      </c>
      <c r="B268" s="95" t="s">
        <v>0</v>
      </c>
      <c r="C268" s="95" t="s">
        <v>18</v>
      </c>
      <c r="D268" s="95" t="s">
        <v>6</v>
      </c>
      <c r="E268" s="95" t="s">
        <v>230</v>
      </c>
      <c r="F268" s="95"/>
      <c r="G268" s="22"/>
      <c r="H268" s="69">
        <f>H269+H270</f>
        <v>45.04</v>
      </c>
      <c r="I268" s="69">
        <f>I269+I270</f>
        <v>154.96</v>
      </c>
      <c r="J268" s="69">
        <f>J269+J270</f>
        <v>200</v>
      </c>
      <c r="K268" s="69">
        <f>K269+K270</f>
        <v>0</v>
      </c>
      <c r="L268" s="69">
        <f>L269+L270</f>
        <v>200</v>
      </c>
    </row>
    <row r="269" spans="1:12" ht="15.75" customHeight="1" hidden="1">
      <c r="A269" s="138" t="s">
        <v>196</v>
      </c>
      <c r="B269" s="95" t="s">
        <v>0</v>
      </c>
      <c r="C269" s="95" t="s">
        <v>18</v>
      </c>
      <c r="D269" s="95" t="s">
        <v>6</v>
      </c>
      <c r="E269" s="95" t="s">
        <v>230</v>
      </c>
      <c r="F269" s="95" t="s">
        <v>197</v>
      </c>
      <c r="G269" s="22"/>
      <c r="H269" s="69"/>
      <c r="I269" s="69"/>
      <c r="J269" s="69">
        <f>H269+I269</f>
        <v>0</v>
      </c>
      <c r="K269" s="69"/>
      <c r="L269" s="69">
        <f>J269+K269</f>
        <v>0</v>
      </c>
    </row>
    <row r="270" spans="1:12" ht="22.5" customHeight="1">
      <c r="A270" s="126" t="s">
        <v>231</v>
      </c>
      <c r="B270" s="95" t="s">
        <v>0</v>
      </c>
      <c r="C270" s="95" t="s">
        <v>18</v>
      </c>
      <c r="D270" s="95" t="s">
        <v>6</v>
      </c>
      <c r="E270" s="95" t="s">
        <v>230</v>
      </c>
      <c r="F270" s="95" t="s">
        <v>232</v>
      </c>
      <c r="G270" s="22"/>
      <c r="H270" s="69">
        <v>45.04</v>
      </c>
      <c r="I270" s="69">
        <v>154.96</v>
      </c>
      <c r="J270" s="69">
        <f>H270+I270</f>
        <v>200</v>
      </c>
      <c r="K270" s="69">
        <f>104.5-104.5</f>
        <v>0</v>
      </c>
      <c r="L270" s="69">
        <f>J270+K270</f>
        <v>200</v>
      </c>
    </row>
    <row r="271" spans="1:12" ht="39.75" customHeight="1">
      <c r="A271" s="139" t="s">
        <v>233</v>
      </c>
      <c r="B271" s="94" t="s">
        <v>0</v>
      </c>
      <c r="C271" s="94" t="s">
        <v>20</v>
      </c>
      <c r="D271" s="94" t="s">
        <v>206</v>
      </c>
      <c r="E271" s="94"/>
      <c r="F271" s="94"/>
      <c r="G271" s="17"/>
      <c r="H271" s="66">
        <f>H272+H280</f>
        <v>29125.9</v>
      </c>
      <c r="I271" s="66">
        <f>I272+I280</f>
        <v>5772.5</v>
      </c>
      <c r="J271" s="66">
        <f>J272+J280</f>
        <v>35671.08</v>
      </c>
      <c r="K271" s="66">
        <f>K272+K280</f>
        <v>0</v>
      </c>
      <c r="L271" s="66">
        <f>L272+L280</f>
        <v>35671.08</v>
      </c>
    </row>
    <row r="272" spans="1:12" ht="33">
      <c r="A272" s="139" t="s">
        <v>234</v>
      </c>
      <c r="B272" s="94" t="s">
        <v>0</v>
      </c>
      <c r="C272" s="94" t="s">
        <v>20</v>
      </c>
      <c r="D272" s="94" t="s">
        <v>6</v>
      </c>
      <c r="E272" s="94"/>
      <c r="F272" s="94"/>
      <c r="G272" s="17"/>
      <c r="H272" s="66">
        <f>H273</f>
        <v>29125.9</v>
      </c>
      <c r="I272" s="66">
        <f>I273</f>
        <v>5772.5</v>
      </c>
      <c r="J272" s="66">
        <f>J273</f>
        <v>34898.4</v>
      </c>
      <c r="K272" s="66">
        <f>K273</f>
        <v>0</v>
      </c>
      <c r="L272" s="66">
        <f>L273</f>
        <v>34898.4</v>
      </c>
    </row>
    <row r="273" spans="1:12" ht="18" customHeight="1">
      <c r="A273" s="124" t="s">
        <v>235</v>
      </c>
      <c r="B273" s="95" t="s">
        <v>0</v>
      </c>
      <c r="C273" s="95" t="s">
        <v>20</v>
      </c>
      <c r="D273" s="95" t="s">
        <v>6</v>
      </c>
      <c r="E273" s="95" t="s">
        <v>236</v>
      </c>
      <c r="F273" s="95"/>
      <c r="G273" s="22"/>
      <c r="H273" s="69">
        <f>H274+H277</f>
        <v>29125.9</v>
      </c>
      <c r="I273" s="69">
        <f>I274+I277</f>
        <v>5772.5</v>
      </c>
      <c r="J273" s="69">
        <f>H273+I273</f>
        <v>34898.4</v>
      </c>
      <c r="K273" s="69">
        <f>K274+K277</f>
        <v>0</v>
      </c>
      <c r="L273" s="69">
        <f>J273+K273</f>
        <v>34898.4</v>
      </c>
    </row>
    <row r="274" spans="1:12" ht="24" customHeight="1">
      <c r="A274" s="124" t="s">
        <v>237</v>
      </c>
      <c r="B274" s="95" t="s">
        <v>0</v>
      </c>
      <c r="C274" s="95" t="s">
        <v>20</v>
      </c>
      <c r="D274" s="95" t="s">
        <v>6</v>
      </c>
      <c r="E274" s="95" t="s">
        <v>226</v>
      </c>
      <c r="F274" s="95"/>
      <c r="G274" s="22"/>
      <c r="H274" s="69">
        <f>H275+H276</f>
        <v>9883.1</v>
      </c>
      <c r="I274" s="69">
        <f>I275+I276</f>
        <v>-416.8</v>
      </c>
      <c r="J274" s="69">
        <f>J275+J276</f>
        <v>9466.300000000001</v>
      </c>
      <c r="K274" s="69">
        <f>K275+K276</f>
        <v>0</v>
      </c>
      <c r="L274" s="69">
        <f>L275+L276</f>
        <v>9466.300000000001</v>
      </c>
    </row>
    <row r="275" spans="1:12" ht="14.25" customHeight="1" hidden="1">
      <c r="A275" s="124" t="s">
        <v>238</v>
      </c>
      <c r="B275" s="95" t="s">
        <v>0</v>
      </c>
      <c r="C275" s="95" t="s">
        <v>20</v>
      </c>
      <c r="D275" s="95" t="s">
        <v>6</v>
      </c>
      <c r="E275" s="95" t="s">
        <v>226</v>
      </c>
      <c r="F275" s="95" t="s">
        <v>227</v>
      </c>
      <c r="G275" s="22"/>
      <c r="H275" s="69"/>
      <c r="I275" s="69"/>
      <c r="J275" s="69">
        <f>H275+I275</f>
        <v>0</v>
      </c>
      <c r="K275" s="69"/>
      <c r="L275" s="69">
        <f>J275+K275</f>
        <v>0</v>
      </c>
    </row>
    <row r="276" spans="1:12" ht="22.5">
      <c r="A276" s="126" t="s">
        <v>239</v>
      </c>
      <c r="B276" s="95" t="s">
        <v>0</v>
      </c>
      <c r="C276" s="95" t="s">
        <v>20</v>
      </c>
      <c r="D276" s="95" t="s">
        <v>6</v>
      </c>
      <c r="E276" s="95" t="s">
        <v>226</v>
      </c>
      <c r="F276" s="95" t="s">
        <v>240</v>
      </c>
      <c r="G276" s="22"/>
      <c r="H276" s="69">
        <v>9883.1</v>
      </c>
      <c r="I276" s="69">
        <v>-416.8</v>
      </c>
      <c r="J276" s="69">
        <f>H276+I276</f>
        <v>9466.300000000001</v>
      </c>
      <c r="K276" s="69"/>
      <c r="L276" s="69">
        <f>J276+K276</f>
        <v>9466.300000000001</v>
      </c>
    </row>
    <row r="277" spans="1:12" ht="34.5">
      <c r="A277" s="124" t="s">
        <v>241</v>
      </c>
      <c r="B277" s="95" t="s">
        <v>0</v>
      </c>
      <c r="C277" s="95" t="s">
        <v>20</v>
      </c>
      <c r="D277" s="95" t="s">
        <v>6</v>
      </c>
      <c r="E277" s="95" t="s">
        <v>228</v>
      </c>
      <c r="F277" s="95"/>
      <c r="G277" s="22"/>
      <c r="H277" s="69">
        <f>H278+H279</f>
        <v>19242.8</v>
      </c>
      <c r="I277" s="69">
        <f>I278+I279</f>
        <v>6189.3</v>
      </c>
      <c r="J277" s="69">
        <f>J278+J279</f>
        <v>25432.1</v>
      </c>
      <c r="K277" s="69">
        <f>K278+K279</f>
        <v>0</v>
      </c>
      <c r="L277" s="69">
        <f>L278+L279</f>
        <v>25432.1</v>
      </c>
    </row>
    <row r="278" spans="1:12" ht="15" customHeight="1" hidden="1">
      <c r="A278" s="124" t="s">
        <v>238</v>
      </c>
      <c r="B278" s="95" t="s">
        <v>0</v>
      </c>
      <c r="C278" s="95" t="s">
        <v>20</v>
      </c>
      <c r="D278" s="95" t="s">
        <v>6</v>
      </c>
      <c r="E278" s="95" t="s">
        <v>228</v>
      </c>
      <c r="F278" s="95" t="s">
        <v>227</v>
      </c>
      <c r="G278" s="22"/>
      <c r="H278" s="69"/>
      <c r="I278" s="69"/>
      <c r="J278" s="69">
        <f>H278+I278</f>
        <v>0</v>
      </c>
      <c r="K278" s="69"/>
      <c r="L278" s="69">
        <f>J278+K278</f>
        <v>0</v>
      </c>
    </row>
    <row r="279" spans="1:12" ht="22.5">
      <c r="A279" s="126" t="s">
        <v>239</v>
      </c>
      <c r="B279" s="95" t="s">
        <v>0</v>
      </c>
      <c r="C279" s="95" t="s">
        <v>20</v>
      </c>
      <c r="D279" s="95" t="s">
        <v>6</v>
      </c>
      <c r="E279" s="95" t="s">
        <v>228</v>
      </c>
      <c r="F279" s="95" t="s">
        <v>240</v>
      </c>
      <c r="G279" s="22"/>
      <c r="H279" s="69">
        <v>19242.8</v>
      </c>
      <c r="I279" s="69">
        <v>6189.3</v>
      </c>
      <c r="J279" s="69">
        <f>H279+I279</f>
        <v>25432.1</v>
      </c>
      <c r="K279" s="69"/>
      <c r="L279" s="69">
        <f>J279+K279</f>
        <v>25432.1</v>
      </c>
    </row>
    <row r="280" spans="1:12" ht="32.25" customHeight="1">
      <c r="A280" s="139" t="s">
        <v>79</v>
      </c>
      <c r="B280" s="94" t="s">
        <v>0</v>
      </c>
      <c r="C280" s="94" t="s">
        <v>20</v>
      </c>
      <c r="D280" s="94" t="s">
        <v>8</v>
      </c>
      <c r="E280" s="94"/>
      <c r="F280" s="94"/>
      <c r="G280" s="17"/>
      <c r="H280" s="66">
        <f>H281+H283</f>
        <v>0</v>
      </c>
      <c r="I280" s="66">
        <f>I281+I283</f>
        <v>0</v>
      </c>
      <c r="J280" s="66">
        <f>J281+J283</f>
        <v>772.68</v>
      </c>
      <c r="K280" s="66">
        <f>K281+K283</f>
        <v>0</v>
      </c>
      <c r="L280" s="66">
        <f>L281+L283</f>
        <v>772.68</v>
      </c>
    </row>
    <row r="281" spans="1:12" ht="32.25" customHeight="1">
      <c r="A281" s="138" t="s">
        <v>437</v>
      </c>
      <c r="B281" s="95" t="s">
        <v>0</v>
      </c>
      <c r="C281" s="95" t="s">
        <v>20</v>
      </c>
      <c r="D281" s="95" t="s">
        <v>8</v>
      </c>
      <c r="E281" s="95" t="s">
        <v>438</v>
      </c>
      <c r="F281" s="95"/>
      <c r="G281" s="22"/>
      <c r="H281" s="69">
        <f>H282</f>
        <v>0</v>
      </c>
      <c r="I281" s="69">
        <f>I282</f>
        <v>0</v>
      </c>
      <c r="J281" s="69">
        <f>J282</f>
        <v>184.28</v>
      </c>
      <c r="K281" s="69">
        <f>K282</f>
        <v>0</v>
      </c>
      <c r="L281" s="69">
        <f>L282</f>
        <v>184.28</v>
      </c>
    </row>
    <row r="282" spans="1:12" ht="15" customHeight="1">
      <c r="A282" s="138" t="s">
        <v>440</v>
      </c>
      <c r="B282" s="95" t="s">
        <v>0</v>
      </c>
      <c r="C282" s="95" t="s">
        <v>20</v>
      </c>
      <c r="D282" s="95" t="s">
        <v>8</v>
      </c>
      <c r="E282" s="95" t="s">
        <v>438</v>
      </c>
      <c r="F282" s="95" t="s">
        <v>439</v>
      </c>
      <c r="G282" s="22"/>
      <c r="H282" s="69"/>
      <c r="I282" s="69"/>
      <c r="J282" s="69">
        <v>184.28</v>
      </c>
      <c r="K282" s="69"/>
      <c r="L282" s="69">
        <f>J282+K282</f>
        <v>184.28</v>
      </c>
    </row>
    <row r="283" spans="1:12" ht="22.5" customHeight="1">
      <c r="A283" s="137" t="s">
        <v>481</v>
      </c>
      <c r="B283" s="95" t="s">
        <v>0</v>
      </c>
      <c r="C283" s="95" t="s">
        <v>20</v>
      </c>
      <c r="D283" s="95" t="s">
        <v>8</v>
      </c>
      <c r="E283" s="95" t="s">
        <v>473</v>
      </c>
      <c r="F283" s="95"/>
      <c r="G283" s="22"/>
      <c r="H283" s="69">
        <f>H284</f>
        <v>0</v>
      </c>
      <c r="I283" s="69">
        <f>I284</f>
        <v>0</v>
      </c>
      <c r="J283" s="69">
        <f>J284</f>
        <v>588.4</v>
      </c>
      <c r="K283" s="69">
        <f>K284</f>
        <v>0</v>
      </c>
      <c r="L283" s="69">
        <f>L284</f>
        <v>588.4</v>
      </c>
    </row>
    <row r="284" spans="1:12" ht="15" customHeight="1">
      <c r="A284" s="138" t="s">
        <v>440</v>
      </c>
      <c r="B284" s="95" t="s">
        <v>0</v>
      </c>
      <c r="C284" s="95" t="s">
        <v>20</v>
      </c>
      <c r="D284" s="95" t="s">
        <v>8</v>
      </c>
      <c r="E284" s="95" t="s">
        <v>473</v>
      </c>
      <c r="F284" s="95" t="s">
        <v>439</v>
      </c>
      <c r="G284" s="22"/>
      <c r="H284" s="69"/>
      <c r="I284" s="69"/>
      <c r="J284" s="69">
        <v>588.4</v>
      </c>
      <c r="K284" s="69"/>
      <c r="L284" s="69">
        <f>J284+K284</f>
        <v>588.4</v>
      </c>
    </row>
    <row r="285" spans="1:12" ht="15">
      <c r="A285" s="125" t="s">
        <v>257</v>
      </c>
      <c r="B285" s="99" t="s">
        <v>258</v>
      </c>
      <c r="C285" s="99"/>
      <c r="D285" s="99"/>
      <c r="E285" s="99"/>
      <c r="F285" s="99"/>
      <c r="G285" s="53" t="e">
        <f>G286+G378+G408+G451+G503+#REF!+#REF!+G363</f>
        <v>#REF!</v>
      </c>
      <c r="H285" s="70" t="e">
        <f>H286+H363+H378+H408+H451+H503+H523+H571+H513</f>
        <v>#REF!</v>
      </c>
      <c r="I285" s="70" t="e">
        <f>I286+I363+I378+I408+I451+I503+I523+I571+I513</f>
        <v>#REF!</v>
      </c>
      <c r="J285" s="70">
        <f>J286+J363+J378+J408+J451+J503+J523+J571+J513+J447</f>
        <v>77970.69300000001</v>
      </c>
      <c r="K285" s="70">
        <f>K286+K363+K378+K408+K451+K503+K523+K571+K513+K447</f>
        <v>-3205.2938999999997</v>
      </c>
      <c r="L285" s="70">
        <f>L286+L363+L378+L408+L451+L503+L523+L571+L513+L447</f>
        <v>74765.3991</v>
      </c>
    </row>
    <row r="286" spans="1:12" s="40" customFormat="1" ht="14.25">
      <c r="A286" s="136" t="s">
        <v>4</v>
      </c>
      <c r="B286" s="94" t="s">
        <v>258</v>
      </c>
      <c r="C286" s="94" t="s">
        <v>6</v>
      </c>
      <c r="D286" s="94"/>
      <c r="E286" s="94"/>
      <c r="F286" s="94"/>
      <c r="G286" s="18" t="e">
        <f>G287+G292+G302+#REF!+G333+#REF!</f>
        <v>#REF!</v>
      </c>
      <c r="H286" s="66">
        <f>H287+H292+H302+H323+H333+H339+H327</f>
        <v>19625.530000000002</v>
      </c>
      <c r="I286" s="66">
        <f>I287+I292+I302+I323+I333+I339+I327</f>
        <v>2048.6456</v>
      </c>
      <c r="J286" s="66">
        <f>J287+J292+J302+J323+J333+J339+J327</f>
        <v>22640.6756</v>
      </c>
      <c r="K286" s="66">
        <f>K287+K292+K302+K323+K333+K339+K327</f>
        <v>421.54</v>
      </c>
      <c r="L286" s="66">
        <f>L287+L292+L302+L323+L333+L339+L327</f>
        <v>23062.2156</v>
      </c>
    </row>
    <row r="287" spans="1:12" s="36" customFormat="1" ht="27" customHeight="1">
      <c r="A287" s="136" t="s">
        <v>547</v>
      </c>
      <c r="B287" s="94" t="s">
        <v>258</v>
      </c>
      <c r="C287" s="94" t="s">
        <v>6</v>
      </c>
      <c r="D287" s="94" t="s">
        <v>7</v>
      </c>
      <c r="E287" s="94"/>
      <c r="F287" s="94"/>
      <c r="G287" s="17" t="e">
        <f aca="true" t="shared" si="23" ref="G287:L288">G288</f>
        <v>#REF!</v>
      </c>
      <c r="H287" s="71">
        <f t="shared" si="23"/>
        <v>1047.9</v>
      </c>
      <c r="I287" s="66">
        <f>I288</f>
        <v>216.64</v>
      </c>
      <c r="J287" s="66">
        <f t="shared" si="23"/>
        <v>1264.54</v>
      </c>
      <c r="K287" s="66">
        <f>K288</f>
        <v>0</v>
      </c>
      <c r="L287" s="66">
        <f t="shared" si="23"/>
        <v>1264.54</v>
      </c>
    </row>
    <row r="288" spans="1:12" ht="23.25">
      <c r="A288" s="137" t="s">
        <v>250</v>
      </c>
      <c r="B288" s="95" t="s">
        <v>258</v>
      </c>
      <c r="C288" s="95" t="s">
        <v>6</v>
      </c>
      <c r="D288" s="95" t="s">
        <v>7</v>
      </c>
      <c r="E288" s="95" t="s">
        <v>115</v>
      </c>
      <c r="F288" s="95"/>
      <c r="G288" s="22" t="e">
        <f t="shared" si="23"/>
        <v>#REF!</v>
      </c>
      <c r="H288" s="72">
        <f t="shared" si="23"/>
        <v>1047.9</v>
      </c>
      <c r="I288" s="69">
        <f>I289</f>
        <v>216.64</v>
      </c>
      <c r="J288" s="69">
        <f t="shared" si="23"/>
        <v>1264.54</v>
      </c>
      <c r="K288" s="69">
        <f>K289</f>
        <v>0</v>
      </c>
      <c r="L288" s="69">
        <f t="shared" si="23"/>
        <v>1264.54</v>
      </c>
    </row>
    <row r="289" spans="1:12" ht="15">
      <c r="A289" s="137" t="s">
        <v>259</v>
      </c>
      <c r="B289" s="95" t="s">
        <v>258</v>
      </c>
      <c r="C289" s="95" t="s">
        <v>6</v>
      </c>
      <c r="D289" s="95" t="s">
        <v>7</v>
      </c>
      <c r="E289" s="95" t="s">
        <v>260</v>
      </c>
      <c r="F289" s="95"/>
      <c r="G289" s="22" t="e">
        <f>#REF!</f>
        <v>#REF!</v>
      </c>
      <c r="H289" s="69">
        <f>H290+H291</f>
        <v>1047.9</v>
      </c>
      <c r="I289" s="69">
        <f>I290+I291</f>
        <v>216.64</v>
      </c>
      <c r="J289" s="69">
        <f>J290+J291</f>
        <v>1264.54</v>
      </c>
      <c r="K289" s="69">
        <f>K290+K291</f>
        <v>0</v>
      </c>
      <c r="L289" s="69">
        <f>L290+L291</f>
        <v>1264.54</v>
      </c>
    </row>
    <row r="290" spans="1:12" ht="13.5" customHeight="1">
      <c r="A290" s="126" t="s">
        <v>150</v>
      </c>
      <c r="B290" s="95" t="s">
        <v>258</v>
      </c>
      <c r="C290" s="95" t="s">
        <v>6</v>
      </c>
      <c r="D290" s="95" t="s">
        <v>7</v>
      </c>
      <c r="E290" s="95" t="s">
        <v>260</v>
      </c>
      <c r="F290" s="95" t="s">
        <v>151</v>
      </c>
      <c r="G290" s="22"/>
      <c r="H290" s="72">
        <v>1047.9</v>
      </c>
      <c r="I290" s="69">
        <v>216.64</v>
      </c>
      <c r="J290" s="69">
        <f>H290+I290</f>
        <v>1264.54</v>
      </c>
      <c r="K290" s="69"/>
      <c r="L290" s="69">
        <f>J290+K290</f>
        <v>1264.54</v>
      </c>
    </row>
    <row r="291" spans="1:12" ht="15" customHeight="1" hidden="1">
      <c r="A291" s="137" t="s">
        <v>94</v>
      </c>
      <c r="B291" s="95" t="s">
        <v>258</v>
      </c>
      <c r="C291" s="95" t="s">
        <v>6</v>
      </c>
      <c r="D291" s="95" t="s">
        <v>7</v>
      </c>
      <c r="E291" s="95" t="s">
        <v>260</v>
      </c>
      <c r="F291" s="95" t="s">
        <v>93</v>
      </c>
      <c r="G291" s="22"/>
      <c r="H291" s="72"/>
      <c r="I291" s="69"/>
      <c r="J291" s="69">
        <f>H291+I291</f>
        <v>0</v>
      </c>
      <c r="K291" s="69"/>
      <c r="L291" s="69">
        <f>J291+K291</f>
        <v>0</v>
      </c>
    </row>
    <row r="292" spans="1:12" s="36" customFormat="1" ht="25.5" customHeight="1">
      <c r="A292" s="136" t="s">
        <v>423</v>
      </c>
      <c r="B292" s="94" t="s">
        <v>258</v>
      </c>
      <c r="C292" s="94" t="s">
        <v>6</v>
      </c>
      <c r="D292" s="94" t="s">
        <v>8</v>
      </c>
      <c r="E292" s="94"/>
      <c r="F292" s="94"/>
      <c r="G292" s="17" t="e">
        <f aca="true" t="shared" si="24" ref="G292:L292">G293</f>
        <v>#REF!</v>
      </c>
      <c r="H292" s="71">
        <f t="shared" si="24"/>
        <v>1779.4299999999998</v>
      </c>
      <c r="I292" s="66">
        <f t="shared" si="24"/>
        <v>-227.99999999999997</v>
      </c>
      <c r="J292" s="66">
        <f t="shared" si="24"/>
        <v>1703.9299999999998</v>
      </c>
      <c r="K292" s="66">
        <f t="shared" si="24"/>
        <v>0</v>
      </c>
      <c r="L292" s="66">
        <f t="shared" si="24"/>
        <v>1703.9299999999998</v>
      </c>
    </row>
    <row r="293" spans="1:12" ht="23.25">
      <c r="A293" s="137" t="s">
        <v>250</v>
      </c>
      <c r="B293" s="95" t="s">
        <v>258</v>
      </c>
      <c r="C293" s="95" t="s">
        <v>6</v>
      </c>
      <c r="D293" s="95" t="s">
        <v>8</v>
      </c>
      <c r="E293" s="95" t="s">
        <v>115</v>
      </c>
      <c r="F293" s="95"/>
      <c r="G293" s="22" t="e">
        <f aca="true" t="shared" si="25" ref="G293:L293">G294+G299</f>
        <v>#REF!</v>
      </c>
      <c r="H293" s="72">
        <f t="shared" si="25"/>
        <v>1779.4299999999998</v>
      </c>
      <c r="I293" s="69">
        <f t="shared" si="25"/>
        <v>-227.99999999999997</v>
      </c>
      <c r="J293" s="69">
        <f t="shared" si="25"/>
        <v>1703.9299999999998</v>
      </c>
      <c r="K293" s="69">
        <f t="shared" si="25"/>
        <v>0</v>
      </c>
      <c r="L293" s="69">
        <f t="shared" si="25"/>
        <v>1703.9299999999998</v>
      </c>
    </row>
    <row r="294" spans="1:12" ht="15">
      <c r="A294" s="137" t="s">
        <v>116</v>
      </c>
      <c r="B294" s="95" t="s">
        <v>258</v>
      </c>
      <c r="C294" s="95" t="s">
        <v>6</v>
      </c>
      <c r="D294" s="95" t="s">
        <v>8</v>
      </c>
      <c r="E294" s="95" t="s">
        <v>117</v>
      </c>
      <c r="F294" s="95"/>
      <c r="G294" s="22" t="e">
        <f>#REF!</f>
        <v>#REF!</v>
      </c>
      <c r="H294" s="69">
        <f>H295+H296+H297+H298</f>
        <v>1045.58</v>
      </c>
      <c r="I294" s="69">
        <f>I295+I296+I297+I298</f>
        <v>-382.02</v>
      </c>
      <c r="J294" s="69">
        <f>J295+J296+J297+J298</f>
        <v>816.06</v>
      </c>
      <c r="K294" s="69">
        <f>K295+K296+K297+K298</f>
        <v>0</v>
      </c>
      <c r="L294" s="69">
        <f>L295+L296+L297+L298</f>
        <v>816.06</v>
      </c>
    </row>
    <row r="295" spans="1:12" ht="20.25" customHeight="1">
      <c r="A295" s="126" t="s">
        <v>150</v>
      </c>
      <c r="B295" s="95" t="s">
        <v>258</v>
      </c>
      <c r="C295" s="95" t="s">
        <v>6</v>
      </c>
      <c r="D295" s="95" t="s">
        <v>8</v>
      </c>
      <c r="E295" s="95" t="s">
        <v>117</v>
      </c>
      <c r="F295" s="95" t="s">
        <v>151</v>
      </c>
      <c r="G295" s="22"/>
      <c r="H295" s="72">
        <v>800.75</v>
      </c>
      <c r="I295" s="69">
        <v>-287.19</v>
      </c>
      <c r="J295" s="69">
        <f>H295+I295</f>
        <v>513.56</v>
      </c>
      <c r="K295" s="69"/>
      <c r="L295" s="69">
        <f>J295+K295</f>
        <v>513.56</v>
      </c>
    </row>
    <row r="296" spans="1:12" ht="22.5" customHeight="1">
      <c r="A296" s="126" t="s">
        <v>153</v>
      </c>
      <c r="B296" s="95" t="s">
        <v>258</v>
      </c>
      <c r="C296" s="95" t="s">
        <v>6</v>
      </c>
      <c r="D296" s="95" t="s">
        <v>8</v>
      </c>
      <c r="E296" s="95" t="s">
        <v>117</v>
      </c>
      <c r="F296" s="95" t="s">
        <v>154</v>
      </c>
      <c r="G296" s="22"/>
      <c r="H296" s="72">
        <v>34.2</v>
      </c>
      <c r="I296" s="69">
        <v>15.8</v>
      </c>
      <c r="J296" s="69">
        <v>85</v>
      </c>
      <c r="K296" s="69"/>
      <c r="L296" s="69">
        <f>J296+K296</f>
        <v>85</v>
      </c>
    </row>
    <row r="297" spans="1:12" ht="24" customHeight="1">
      <c r="A297" s="126" t="s">
        <v>548</v>
      </c>
      <c r="B297" s="95" t="s">
        <v>258</v>
      </c>
      <c r="C297" s="95" t="s">
        <v>6</v>
      </c>
      <c r="D297" s="95" t="s">
        <v>8</v>
      </c>
      <c r="E297" s="95" t="s">
        <v>117</v>
      </c>
      <c r="F297" s="95" t="s">
        <v>147</v>
      </c>
      <c r="G297" s="22"/>
      <c r="H297" s="72">
        <v>210.63</v>
      </c>
      <c r="I297" s="69">
        <v>-110.63</v>
      </c>
      <c r="J297" s="69">
        <v>217.5</v>
      </c>
      <c r="K297" s="69"/>
      <c r="L297" s="69">
        <f>J297+K297</f>
        <v>217.5</v>
      </c>
    </row>
    <row r="298" spans="1:12" ht="15" customHeight="1" hidden="1">
      <c r="A298" s="137" t="s">
        <v>94</v>
      </c>
      <c r="B298" s="95" t="s">
        <v>258</v>
      </c>
      <c r="C298" s="95" t="s">
        <v>6</v>
      </c>
      <c r="D298" s="95" t="s">
        <v>8</v>
      </c>
      <c r="E298" s="95" t="s">
        <v>117</v>
      </c>
      <c r="F298" s="95" t="s">
        <v>93</v>
      </c>
      <c r="G298" s="22">
        <v>30</v>
      </c>
      <c r="H298" s="72"/>
      <c r="I298" s="69"/>
      <c r="J298" s="69">
        <f>H298+I298</f>
        <v>0</v>
      </c>
      <c r="K298" s="69"/>
      <c r="L298" s="69">
        <f>J298+K298</f>
        <v>0</v>
      </c>
    </row>
    <row r="299" spans="1:12" ht="23.25">
      <c r="A299" s="137" t="s">
        <v>261</v>
      </c>
      <c r="B299" s="95" t="s">
        <v>258</v>
      </c>
      <c r="C299" s="95" t="s">
        <v>6</v>
      </c>
      <c r="D299" s="95" t="s">
        <v>8</v>
      </c>
      <c r="E299" s="95" t="s">
        <v>262</v>
      </c>
      <c r="F299" s="95"/>
      <c r="G299" s="22" t="e">
        <f>#REF!</f>
        <v>#REF!</v>
      </c>
      <c r="H299" s="69">
        <f>H300+H301</f>
        <v>733.85</v>
      </c>
      <c r="I299" s="69">
        <f>I300+I301</f>
        <v>154.02</v>
      </c>
      <c r="J299" s="69">
        <f>J300+J301</f>
        <v>887.87</v>
      </c>
      <c r="K299" s="69">
        <f>K300+K301</f>
        <v>0</v>
      </c>
      <c r="L299" s="69">
        <f>L300+L301</f>
        <v>887.87</v>
      </c>
    </row>
    <row r="300" spans="1:12" ht="17.25" customHeight="1">
      <c r="A300" s="126" t="s">
        <v>150</v>
      </c>
      <c r="B300" s="95" t="s">
        <v>258</v>
      </c>
      <c r="C300" s="95" t="s">
        <v>6</v>
      </c>
      <c r="D300" s="95" t="s">
        <v>8</v>
      </c>
      <c r="E300" s="95" t="s">
        <v>262</v>
      </c>
      <c r="F300" s="95" t="s">
        <v>151</v>
      </c>
      <c r="G300" s="22"/>
      <c r="H300" s="72">
        <v>733.85</v>
      </c>
      <c r="I300" s="69">
        <v>154.02</v>
      </c>
      <c r="J300" s="69">
        <f>H300+I300</f>
        <v>887.87</v>
      </c>
      <c r="K300" s="69"/>
      <c r="L300" s="69">
        <f>J300+K300</f>
        <v>887.87</v>
      </c>
    </row>
    <row r="301" spans="1:12" ht="15" customHeight="1" hidden="1">
      <c r="A301" s="137" t="s">
        <v>94</v>
      </c>
      <c r="B301" s="95" t="s">
        <v>258</v>
      </c>
      <c r="C301" s="95" t="s">
        <v>6</v>
      </c>
      <c r="D301" s="95" t="s">
        <v>8</v>
      </c>
      <c r="E301" s="95" t="s">
        <v>262</v>
      </c>
      <c r="F301" s="95" t="s">
        <v>93</v>
      </c>
      <c r="G301" s="22"/>
      <c r="H301" s="72"/>
      <c r="I301" s="69"/>
      <c r="J301" s="69">
        <f>H301+I301</f>
        <v>0</v>
      </c>
      <c r="K301" s="69"/>
      <c r="L301" s="69">
        <f>J301+K301</f>
        <v>0</v>
      </c>
    </row>
    <row r="302" spans="1:12" s="36" customFormat="1" ht="14.25">
      <c r="A302" s="136" t="s">
        <v>549</v>
      </c>
      <c r="B302" s="94" t="s">
        <v>258</v>
      </c>
      <c r="C302" s="94" t="s">
        <v>6</v>
      </c>
      <c r="D302" s="94" t="s">
        <v>9</v>
      </c>
      <c r="E302" s="94"/>
      <c r="F302" s="94"/>
      <c r="G302" s="17" t="e">
        <f>G312+G304+G306</f>
        <v>#REF!</v>
      </c>
      <c r="H302" s="71">
        <f>H303+H312+H321</f>
        <v>15352.410000000002</v>
      </c>
      <c r="I302" s="71">
        <f>I303+I312+I321</f>
        <v>-4639.914400000001</v>
      </c>
      <c r="J302" s="71">
        <f>J303+J312+J321</f>
        <v>10712.495600000002</v>
      </c>
      <c r="K302" s="71">
        <f>K303+K312+K321</f>
        <v>0</v>
      </c>
      <c r="L302" s="71">
        <f>L303+L312+L321</f>
        <v>10712.495600000002</v>
      </c>
    </row>
    <row r="303" spans="1:12" ht="22.5">
      <c r="A303" s="225" t="s">
        <v>250</v>
      </c>
      <c r="B303" s="95" t="s">
        <v>258</v>
      </c>
      <c r="C303" s="95" t="s">
        <v>6</v>
      </c>
      <c r="D303" s="95" t="s">
        <v>9</v>
      </c>
      <c r="E303" s="95" t="s">
        <v>407</v>
      </c>
      <c r="F303" s="95"/>
      <c r="G303" s="22"/>
      <c r="H303" s="72">
        <f>H304+H306+H310</f>
        <v>605</v>
      </c>
      <c r="I303" s="72">
        <f>I304+I306+I310</f>
        <v>159.7</v>
      </c>
      <c r="J303" s="72">
        <f>J304+J306+J310</f>
        <v>764.7</v>
      </c>
      <c r="K303" s="72">
        <f>K304+K306+K310</f>
        <v>0</v>
      </c>
      <c r="L303" s="72">
        <f>L304+L306+L310</f>
        <v>764.7</v>
      </c>
    </row>
    <row r="304" spans="1:12" s="36" customFormat="1" ht="45.75" customHeight="1" hidden="1">
      <c r="A304" s="145" t="s">
        <v>263</v>
      </c>
      <c r="B304" s="95" t="s">
        <v>258</v>
      </c>
      <c r="C304" s="95" t="s">
        <v>6</v>
      </c>
      <c r="D304" s="95" t="s">
        <v>9</v>
      </c>
      <c r="E304" s="95" t="s">
        <v>264</v>
      </c>
      <c r="F304" s="95"/>
      <c r="G304" s="22">
        <f aca="true" t="shared" si="26" ref="G304:L304">G305</f>
        <v>47.3</v>
      </c>
      <c r="H304" s="72">
        <f t="shared" si="26"/>
        <v>0</v>
      </c>
      <c r="I304" s="69">
        <f t="shared" si="26"/>
        <v>0</v>
      </c>
      <c r="J304" s="69">
        <f t="shared" si="26"/>
        <v>0</v>
      </c>
      <c r="K304" s="69">
        <f t="shared" si="26"/>
        <v>0</v>
      </c>
      <c r="L304" s="69">
        <f t="shared" si="26"/>
        <v>0</v>
      </c>
    </row>
    <row r="305" spans="1:12" s="36" customFormat="1" ht="31.5" customHeight="1" hidden="1">
      <c r="A305" s="137" t="s">
        <v>193</v>
      </c>
      <c r="B305" s="95" t="s">
        <v>258</v>
      </c>
      <c r="C305" s="95" t="s">
        <v>6</v>
      </c>
      <c r="D305" s="95" t="s">
        <v>9</v>
      </c>
      <c r="E305" s="95" t="s">
        <v>264</v>
      </c>
      <c r="F305" s="95" t="s">
        <v>149</v>
      </c>
      <c r="G305" s="22">
        <v>47.3</v>
      </c>
      <c r="H305" s="72"/>
      <c r="I305" s="69"/>
      <c r="J305" s="69">
        <f>H305+I305</f>
        <v>0</v>
      </c>
      <c r="K305" s="69"/>
      <c r="L305" s="69">
        <f>J305+K305</f>
        <v>0</v>
      </c>
    </row>
    <row r="306" spans="1:12" s="36" customFormat="1" ht="33.75">
      <c r="A306" s="145" t="s">
        <v>113</v>
      </c>
      <c r="B306" s="95" t="s">
        <v>258</v>
      </c>
      <c r="C306" s="95" t="s">
        <v>6</v>
      </c>
      <c r="D306" s="95" t="s">
        <v>9</v>
      </c>
      <c r="E306" s="95" t="s">
        <v>114</v>
      </c>
      <c r="F306" s="95"/>
      <c r="G306" s="18" t="e">
        <f>#REF!</f>
        <v>#REF!</v>
      </c>
      <c r="H306" s="69">
        <f>H307+H308+H309</f>
        <v>605</v>
      </c>
      <c r="I306" s="69">
        <f>I307+I308+I309</f>
        <v>159</v>
      </c>
      <c r="J306" s="69">
        <f>J307+J308+J309</f>
        <v>764</v>
      </c>
      <c r="K306" s="69">
        <f>K307+K308+K309</f>
        <v>0</v>
      </c>
      <c r="L306" s="69">
        <f>L307+L308+L309</f>
        <v>764</v>
      </c>
    </row>
    <row r="307" spans="1:12" s="36" customFormat="1" ht="18.75" customHeight="1">
      <c r="A307" s="126" t="s">
        <v>150</v>
      </c>
      <c r="B307" s="95" t="s">
        <v>258</v>
      </c>
      <c r="C307" s="95" t="s">
        <v>6</v>
      </c>
      <c r="D307" s="95" t="s">
        <v>9</v>
      </c>
      <c r="E307" s="95" t="s">
        <v>114</v>
      </c>
      <c r="F307" s="95" t="s">
        <v>151</v>
      </c>
      <c r="G307" s="18"/>
      <c r="H307" s="69">
        <v>325.41</v>
      </c>
      <c r="I307" s="69">
        <v>159</v>
      </c>
      <c r="J307" s="69">
        <f>H307+I307</f>
        <v>484.41</v>
      </c>
      <c r="K307" s="69"/>
      <c r="L307" s="69">
        <f>J307+K307</f>
        <v>484.41</v>
      </c>
    </row>
    <row r="308" spans="1:12" s="36" customFormat="1" ht="23.25" customHeight="1">
      <c r="A308" s="126" t="s">
        <v>153</v>
      </c>
      <c r="B308" s="95" t="s">
        <v>258</v>
      </c>
      <c r="C308" s="95" t="s">
        <v>6</v>
      </c>
      <c r="D308" s="95" t="s">
        <v>9</v>
      </c>
      <c r="E308" s="95" t="s">
        <v>114</v>
      </c>
      <c r="F308" s="95" t="s">
        <v>154</v>
      </c>
      <c r="G308" s="18"/>
      <c r="H308" s="69">
        <v>1</v>
      </c>
      <c r="I308" s="69"/>
      <c r="J308" s="69">
        <f>H308+I308</f>
        <v>1</v>
      </c>
      <c r="K308" s="69">
        <v>1</v>
      </c>
      <c r="L308" s="69">
        <f>J308+K308</f>
        <v>2</v>
      </c>
    </row>
    <row r="309" spans="1:12" s="36" customFormat="1" ht="21" customHeight="1">
      <c r="A309" s="126" t="s">
        <v>548</v>
      </c>
      <c r="B309" s="95" t="s">
        <v>258</v>
      </c>
      <c r="C309" s="95" t="s">
        <v>6</v>
      </c>
      <c r="D309" s="95" t="s">
        <v>9</v>
      </c>
      <c r="E309" s="95" t="s">
        <v>114</v>
      </c>
      <c r="F309" s="95" t="s">
        <v>147</v>
      </c>
      <c r="G309" s="18"/>
      <c r="H309" s="69">
        <v>278.59</v>
      </c>
      <c r="I309" s="69"/>
      <c r="J309" s="69">
        <f>H309+I309</f>
        <v>278.59</v>
      </c>
      <c r="K309" s="69">
        <v>-1</v>
      </c>
      <c r="L309" s="69">
        <f>J309+K309</f>
        <v>277.59</v>
      </c>
    </row>
    <row r="310" spans="1:12" s="36" customFormat="1" ht="67.5">
      <c r="A310" s="124" t="s">
        <v>490</v>
      </c>
      <c r="B310" s="95" t="s">
        <v>258</v>
      </c>
      <c r="C310" s="95" t="s">
        <v>6</v>
      </c>
      <c r="D310" s="95" t="s">
        <v>9</v>
      </c>
      <c r="E310" s="95" t="s">
        <v>491</v>
      </c>
      <c r="F310" s="95"/>
      <c r="G310" s="18" t="e">
        <f>#REF!-#REF!</f>
        <v>#REF!</v>
      </c>
      <c r="H310" s="69">
        <f>H311</f>
        <v>0</v>
      </c>
      <c r="I310" s="69">
        <f>I311</f>
        <v>0.7</v>
      </c>
      <c r="J310" s="69">
        <f>H310+I310</f>
        <v>0.7</v>
      </c>
      <c r="K310" s="69">
        <f>K311</f>
        <v>0</v>
      </c>
      <c r="L310" s="69">
        <f>J310+K310</f>
        <v>0.7</v>
      </c>
    </row>
    <row r="311" spans="1:12" s="36" customFormat="1" ht="21" customHeight="1">
      <c r="A311" s="126" t="s">
        <v>548</v>
      </c>
      <c r="B311" s="95" t="s">
        <v>258</v>
      </c>
      <c r="C311" s="95" t="s">
        <v>6</v>
      </c>
      <c r="D311" s="95" t="s">
        <v>9</v>
      </c>
      <c r="E311" s="95" t="s">
        <v>491</v>
      </c>
      <c r="F311" s="95" t="s">
        <v>147</v>
      </c>
      <c r="G311" s="18"/>
      <c r="H311" s="72"/>
      <c r="I311" s="69">
        <v>0.7</v>
      </c>
      <c r="J311" s="69">
        <f>H311+I311</f>
        <v>0.7</v>
      </c>
      <c r="K311" s="69"/>
      <c r="L311" s="69">
        <f>J311+K311</f>
        <v>0.7</v>
      </c>
    </row>
    <row r="312" spans="1:12" ht="23.25">
      <c r="A312" s="137" t="s">
        <v>250</v>
      </c>
      <c r="B312" s="95" t="s">
        <v>258</v>
      </c>
      <c r="C312" s="95" t="s">
        <v>6</v>
      </c>
      <c r="D312" s="95" t="s">
        <v>9</v>
      </c>
      <c r="E312" s="95" t="s">
        <v>115</v>
      </c>
      <c r="F312" s="95"/>
      <c r="G312" s="22" t="e">
        <f aca="true" t="shared" si="27" ref="G312:L312">G313</f>
        <v>#REF!</v>
      </c>
      <c r="H312" s="72">
        <f t="shared" si="27"/>
        <v>14747.410000000002</v>
      </c>
      <c r="I312" s="69">
        <f t="shared" si="27"/>
        <v>-4799.6144</v>
      </c>
      <c r="J312" s="69">
        <f t="shared" si="27"/>
        <v>9947.795600000001</v>
      </c>
      <c r="K312" s="69">
        <f t="shared" si="27"/>
        <v>0</v>
      </c>
      <c r="L312" s="69">
        <f t="shared" si="27"/>
        <v>9947.795600000001</v>
      </c>
    </row>
    <row r="313" spans="1:12" ht="15">
      <c r="A313" s="137" t="s">
        <v>116</v>
      </c>
      <c r="B313" s="95" t="s">
        <v>258</v>
      </c>
      <c r="C313" s="95" t="s">
        <v>6</v>
      </c>
      <c r="D313" s="95" t="s">
        <v>9</v>
      </c>
      <c r="E313" s="95" t="s">
        <v>117</v>
      </c>
      <c r="F313" s="95"/>
      <c r="G313" s="22" t="e">
        <f>#REF!+#REF!</f>
        <v>#REF!</v>
      </c>
      <c r="H313" s="69">
        <f>H314+H315+H316+H317+H318+H319+H320</f>
        <v>14747.410000000002</v>
      </c>
      <c r="I313" s="69">
        <f>I314+I315+I316+I317+I318+I319+I320</f>
        <v>-4799.6144</v>
      </c>
      <c r="J313" s="69">
        <f>J314+J315+J316+J317+J318+J319+J320</f>
        <v>9947.795600000001</v>
      </c>
      <c r="K313" s="69">
        <f>K314+K315+K316+K317+K318+K319+K320</f>
        <v>0</v>
      </c>
      <c r="L313" s="69">
        <f>L314+L315+L316+L317+L318+L319+L320</f>
        <v>9947.795600000001</v>
      </c>
    </row>
    <row r="314" spans="1:12" ht="15.75" customHeight="1">
      <c r="A314" s="126" t="s">
        <v>150</v>
      </c>
      <c r="B314" s="95" t="s">
        <v>258</v>
      </c>
      <c r="C314" s="95" t="s">
        <v>6</v>
      </c>
      <c r="D314" s="95" t="s">
        <v>9</v>
      </c>
      <c r="E314" s="95" t="s">
        <v>117</v>
      </c>
      <c r="F314" s="95" t="s">
        <v>151</v>
      </c>
      <c r="G314" s="17"/>
      <c r="H314" s="69">
        <v>8465.28</v>
      </c>
      <c r="I314" s="69">
        <f>1644.27-175.13-482.851</f>
        <v>986.2889999999999</v>
      </c>
      <c r="J314" s="69">
        <f aca="true" t="shared" si="28" ref="J314:L320">H314+I314</f>
        <v>9451.569000000001</v>
      </c>
      <c r="K314" s="69">
        <v>-78.37</v>
      </c>
      <c r="L314" s="69">
        <f t="shared" si="28"/>
        <v>9373.199</v>
      </c>
    </row>
    <row r="315" spans="1:12" ht="20.25" customHeight="1" hidden="1">
      <c r="A315" s="126" t="s">
        <v>153</v>
      </c>
      <c r="B315" s="95" t="s">
        <v>258</v>
      </c>
      <c r="C315" s="95" t="s">
        <v>6</v>
      </c>
      <c r="D315" s="95" t="s">
        <v>9</v>
      </c>
      <c r="E315" s="95" t="s">
        <v>117</v>
      </c>
      <c r="F315" s="95" t="s">
        <v>154</v>
      </c>
      <c r="G315" s="17"/>
      <c r="H315" s="69">
        <v>91.4</v>
      </c>
      <c r="I315" s="69">
        <v>-91.4</v>
      </c>
      <c r="J315" s="69">
        <f t="shared" si="28"/>
        <v>0</v>
      </c>
      <c r="K315" s="69"/>
      <c r="L315" s="69">
        <f t="shared" si="28"/>
        <v>0</v>
      </c>
    </row>
    <row r="316" spans="1:12" ht="30" customHeight="1" hidden="1">
      <c r="A316" s="126" t="s">
        <v>156</v>
      </c>
      <c r="B316" s="95" t="s">
        <v>258</v>
      </c>
      <c r="C316" s="95" t="s">
        <v>6</v>
      </c>
      <c r="D316" s="95" t="s">
        <v>9</v>
      </c>
      <c r="E316" s="95" t="s">
        <v>117</v>
      </c>
      <c r="F316" s="95" t="s">
        <v>157</v>
      </c>
      <c r="G316" s="17"/>
      <c r="H316" s="69">
        <v>195.16</v>
      </c>
      <c r="I316" s="69">
        <v>-195.16</v>
      </c>
      <c r="J316" s="69">
        <f t="shared" si="28"/>
        <v>0</v>
      </c>
      <c r="K316" s="69"/>
      <c r="L316" s="69">
        <f t="shared" si="28"/>
        <v>0</v>
      </c>
    </row>
    <row r="317" spans="1:12" ht="23.25" customHeight="1">
      <c r="A317" s="126" t="s">
        <v>548</v>
      </c>
      <c r="B317" s="95" t="s">
        <v>258</v>
      </c>
      <c r="C317" s="95" t="s">
        <v>6</v>
      </c>
      <c r="D317" s="95" t="s">
        <v>9</v>
      </c>
      <c r="E317" s="95" t="s">
        <v>117</v>
      </c>
      <c r="F317" s="95" t="s">
        <v>147</v>
      </c>
      <c r="G317" s="17"/>
      <c r="H317" s="69">
        <v>5405.56</v>
      </c>
      <c r="I317" s="69">
        <f>-5405.56+496.2266</f>
        <v>-4909.3334</v>
      </c>
      <c r="J317" s="69">
        <f t="shared" si="28"/>
        <v>496.22659999999996</v>
      </c>
      <c r="K317" s="69">
        <v>78.37</v>
      </c>
      <c r="L317" s="69">
        <f t="shared" si="28"/>
        <v>574.5966</v>
      </c>
    </row>
    <row r="318" spans="1:12" ht="15" customHeight="1" hidden="1">
      <c r="A318" s="137" t="s">
        <v>94</v>
      </c>
      <c r="B318" s="95" t="s">
        <v>258</v>
      </c>
      <c r="C318" s="95" t="s">
        <v>6</v>
      </c>
      <c r="D318" s="95" t="s">
        <v>9</v>
      </c>
      <c r="E318" s="95" t="s">
        <v>117</v>
      </c>
      <c r="F318" s="95" t="s">
        <v>93</v>
      </c>
      <c r="G318" s="22">
        <f>10-200+200+80.47+1300-0.47-80+50</f>
        <v>1360</v>
      </c>
      <c r="H318" s="72"/>
      <c r="I318" s="69"/>
      <c r="J318" s="69">
        <f>H318+I318</f>
        <v>0</v>
      </c>
      <c r="K318" s="69"/>
      <c r="L318" s="69">
        <f>J318+K318</f>
        <v>0</v>
      </c>
    </row>
    <row r="319" spans="1:12" ht="24" customHeight="1" hidden="1">
      <c r="A319" s="126" t="s">
        <v>265</v>
      </c>
      <c r="B319" s="95" t="s">
        <v>258</v>
      </c>
      <c r="C319" s="95" t="s">
        <v>6</v>
      </c>
      <c r="D319" s="95" t="s">
        <v>9</v>
      </c>
      <c r="E319" s="95" t="s">
        <v>117</v>
      </c>
      <c r="F319" s="95" t="s">
        <v>159</v>
      </c>
      <c r="G319" s="17"/>
      <c r="H319" s="69">
        <v>360.41</v>
      </c>
      <c r="I319" s="69">
        <v>-360.41</v>
      </c>
      <c r="J319" s="69">
        <f t="shared" si="28"/>
        <v>0</v>
      </c>
      <c r="K319" s="69"/>
      <c r="L319" s="69">
        <f t="shared" si="28"/>
        <v>0</v>
      </c>
    </row>
    <row r="320" spans="1:12" s="50" customFormat="1" ht="15.75" customHeight="1" hidden="1">
      <c r="A320" s="129" t="s">
        <v>160</v>
      </c>
      <c r="B320" s="103" t="s">
        <v>258</v>
      </c>
      <c r="C320" s="103" t="s">
        <v>6</v>
      </c>
      <c r="D320" s="103" t="s">
        <v>9</v>
      </c>
      <c r="E320" s="103" t="s">
        <v>117</v>
      </c>
      <c r="F320" s="103" t="s">
        <v>161</v>
      </c>
      <c r="G320" s="52"/>
      <c r="H320" s="69">
        <v>229.6</v>
      </c>
      <c r="I320" s="69">
        <v>-229.6</v>
      </c>
      <c r="J320" s="69">
        <f t="shared" si="28"/>
        <v>0</v>
      </c>
      <c r="K320" s="69"/>
      <c r="L320" s="69">
        <f t="shared" si="28"/>
        <v>0</v>
      </c>
    </row>
    <row r="321" spans="1:12" s="50" customFormat="1" ht="25.5" customHeight="1" hidden="1">
      <c r="A321" s="137" t="s">
        <v>481</v>
      </c>
      <c r="B321" s="103" t="s">
        <v>258</v>
      </c>
      <c r="C321" s="103" t="s">
        <v>6</v>
      </c>
      <c r="D321" s="103" t="s">
        <v>9</v>
      </c>
      <c r="E321" s="103" t="s">
        <v>473</v>
      </c>
      <c r="F321" s="103"/>
      <c r="G321" s="52"/>
      <c r="H321" s="69">
        <f>H322</f>
        <v>0</v>
      </c>
      <c r="I321" s="69">
        <f>I322</f>
        <v>0</v>
      </c>
      <c r="J321" s="69">
        <f>J322</f>
        <v>0</v>
      </c>
      <c r="K321" s="69">
        <f>K322</f>
        <v>0</v>
      </c>
      <c r="L321" s="69">
        <f>L322</f>
        <v>0</v>
      </c>
    </row>
    <row r="322" spans="1:12" s="50" customFormat="1" ht="25.5" customHeight="1" hidden="1">
      <c r="A322" s="137" t="s">
        <v>482</v>
      </c>
      <c r="B322" s="103" t="s">
        <v>258</v>
      </c>
      <c r="C322" s="103" t="s">
        <v>6</v>
      </c>
      <c r="D322" s="103" t="s">
        <v>9</v>
      </c>
      <c r="E322" s="103" t="s">
        <v>473</v>
      </c>
      <c r="F322" s="103" t="s">
        <v>477</v>
      </c>
      <c r="G322" s="52"/>
      <c r="H322" s="69"/>
      <c r="I322" s="69"/>
      <c r="J322" s="69">
        <f>H322+I322</f>
        <v>0</v>
      </c>
      <c r="K322" s="69"/>
      <c r="L322" s="69">
        <f>J322+K322</f>
        <v>0</v>
      </c>
    </row>
    <row r="323" spans="1:12" s="36" customFormat="1" ht="14.25" customHeight="1" hidden="1">
      <c r="A323" s="123" t="s">
        <v>10</v>
      </c>
      <c r="B323" s="94" t="s">
        <v>258</v>
      </c>
      <c r="C323" s="94" t="s">
        <v>6</v>
      </c>
      <c r="D323" s="94" t="s">
        <v>11</v>
      </c>
      <c r="E323" s="94"/>
      <c r="F323" s="94"/>
      <c r="G323" s="17"/>
      <c r="H323" s="71">
        <f>H324</f>
        <v>0</v>
      </c>
      <c r="I323" s="66">
        <f>I324</f>
        <v>0</v>
      </c>
      <c r="J323" s="66">
        <f>J324</f>
        <v>0</v>
      </c>
      <c r="K323" s="66">
        <f>K324</f>
        <v>0</v>
      </c>
      <c r="L323" s="66">
        <f>L324</f>
        <v>0</v>
      </c>
    </row>
    <row r="324" spans="1:12" ht="32.25" customHeight="1" hidden="1">
      <c r="A324" s="124" t="s">
        <v>266</v>
      </c>
      <c r="B324" s="95" t="s">
        <v>258</v>
      </c>
      <c r="C324" s="95" t="s">
        <v>6</v>
      </c>
      <c r="D324" s="95" t="s">
        <v>11</v>
      </c>
      <c r="E324" s="95" t="s">
        <v>267</v>
      </c>
      <c r="F324" s="95"/>
      <c r="G324" s="17"/>
      <c r="H324" s="69">
        <f>H325+H326</f>
        <v>0</v>
      </c>
      <c r="I324" s="69">
        <f>I325+I326</f>
        <v>0</v>
      </c>
      <c r="J324" s="69">
        <f>J325+J326</f>
        <v>0</v>
      </c>
      <c r="K324" s="69">
        <f>K325+K326</f>
        <v>0</v>
      </c>
      <c r="L324" s="69">
        <f>L325+L326</f>
        <v>0</v>
      </c>
    </row>
    <row r="325" spans="1:12" ht="15" customHeight="1" hidden="1">
      <c r="A325" s="137" t="s">
        <v>92</v>
      </c>
      <c r="B325" s="95" t="s">
        <v>258</v>
      </c>
      <c r="C325" s="95" t="s">
        <v>6</v>
      </c>
      <c r="D325" s="95" t="s">
        <v>11</v>
      </c>
      <c r="E325" s="95" t="s">
        <v>267</v>
      </c>
      <c r="F325" s="95" t="s">
        <v>149</v>
      </c>
      <c r="G325" s="22"/>
      <c r="H325" s="72"/>
      <c r="I325" s="69"/>
      <c r="J325" s="69">
        <f>H325+I325</f>
        <v>0</v>
      </c>
      <c r="K325" s="69"/>
      <c r="L325" s="69">
        <f>J325+K325</f>
        <v>0</v>
      </c>
    </row>
    <row r="326" spans="1:12" ht="31.5" customHeight="1" hidden="1">
      <c r="A326" s="126" t="s">
        <v>145</v>
      </c>
      <c r="B326" s="95" t="s">
        <v>258</v>
      </c>
      <c r="C326" s="95" t="s">
        <v>6</v>
      </c>
      <c r="D326" s="95" t="s">
        <v>11</v>
      </c>
      <c r="E326" s="95" t="s">
        <v>267</v>
      </c>
      <c r="F326" s="95" t="s">
        <v>147</v>
      </c>
      <c r="G326" s="22"/>
      <c r="H326" s="72"/>
      <c r="I326" s="69"/>
      <c r="J326" s="69">
        <f>H326+I326</f>
        <v>0</v>
      </c>
      <c r="K326" s="69"/>
      <c r="L326" s="69">
        <f>J326+K326</f>
        <v>0</v>
      </c>
    </row>
    <row r="327" spans="1:12" ht="33">
      <c r="A327" s="139" t="s">
        <v>191</v>
      </c>
      <c r="B327" s="94" t="s">
        <v>258</v>
      </c>
      <c r="C327" s="94" t="s">
        <v>6</v>
      </c>
      <c r="D327" s="94" t="s">
        <v>12</v>
      </c>
      <c r="E327" s="94"/>
      <c r="F327" s="94"/>
      <c r="G327" s="17" t="e">
        <f aca="true" t="shared" si="29" ref="G327:L327">G328</f>
        <v>#REF!</v>
      </c>
      <c r="H327" s="66">
        <f t="shared" si="29"/>
        <v>557</v>
      </c>
      <c r="I327" s="66">
        <f t="shared" si="29"/>
        <v>226.01</v>
      </c>
      <c r="J327" s="66">
        <f t="shared" si="29"/>
        <v>783.01</v>
      </c>
      <c r="K327" s="66">
        <f t="shared" si="29"/>
        <v>0</v>
      </c>
      <c r="L327" s="66">
        <f t="shared" si="29"/>
        <v>783.01</v>
      </c>
    </row>
    <row r="328" spans="1:12" ht="45.75">
      <c r="A328" s="138" t="s">
        <v>192</v>
      </c>
      <c r="B328" s="95" t="s">
        <v>258</v>
      </c>
      <c r="C328" s="95" t="s">
        <v>6</v>
      </c>
      <c r="D328" s="95" t="s">
        <v>12</v>
      </c>
      <c r="E328" s="95" t="s">
        <v>115</v>
      </c>
      <c r="F328" s="95"/>
      <c r="G328" s="22" t="e">
        <f>#REF!+#REF!</f>
        <v>#REF!</v>
      </c>
      <c r="H328" s="69">
        <f>H329+H330+H331+H332</f>
        <v>557</v>
      </c>
      <c r="I328" s="69">
        <f>I329+I330+I331+I332</f>
        <v>226.01</v>
      </c>
      <c r="J328" s="69">
        <f>J329+J330+J331+J332</f>
        <v>783.01</v>
      </c>
      <c r="K328" s="69">
        <f>K329+K330+K331+K332</f>
        <v>0</v>
      </c>
      <c r="L328" s="69">
        <f>L329+L330+L331+L332</f>
        <v>783.01</v>
      </c>
    </row>
    <row r="329" spans="1:12" ht="15">
      <c r="A329" s="129" t="s">
        <v>340</v>
      </c>
      <c r="B329" s="95" t="s">
        <v>258</v>
      </c>
      <c r="C329" s="95" t="s">
        <v>6</v>
      </c>
      <c r="D329" s="95" t="s">
        <v>12</v>
      </c>
      <c r="E329" s="95" t="s">
        <v>117</v>
      </c>
      <c r="F329" s="95" t="s">
        <v>151</v>
      </c>
      <c r="G329" s="22"/>
      <c r="H329" s="69">
        <v>555</v>
      </c>
      <c r="I329" s="69">
        <v>218.01</v>
      </c>
      <c r="J329" s="69">
        <f>SUM(H329:I329)</f>
        <v>773.01</v>
      </c>
      <c r="K329" s="69"/>
      <c r="L329" s="69">
        <f>SUM(J329:K329)</f>
        <v>773.01</v>
      </c>
    </row>
    <row r="330" spans="1:12" ht="32.25" customHeight="1" hidden="1">
      <c r="A330" s="129" t="s">
        <v>153</v>
      </c>
      <c r="B330" s="95" t="s">
        <v>258</v>
      </c>
      <c r="C330" s="95" t="s">
        <v>6</v>
      </c>
      <c r="D330" s="95" t="s">
        <v>12</v>
      </c>
      <c r="E330" s="95" t="s">
        <v>117</v>
      </c>
      <c r="F330" s="95" t="s">
        <v>154</v>
      </c>
      <c r="G330" s="22"/>
      <c r="H330" s="69"/>
      <c r="I330" s="69"/>
      <c r="J330" s="69">
        <f>SUM(H330:I330)</f>
        <v>0</v>
      </c>
      <c r="K330" s="69"/>
      <c r="L330" s="69">
        <f>SUM(J330:K330)</f>
        <v>0</v>
      </c>
    </row>
    <row r="331" spans="1:12" ht="32.25" customHeight="1" hidden="1">
      <c r="A331" s="129" t="s">
        <v>156</v>
      </c>
      <c r="B331" s="95" t="s">
        <v>258</v>
      </c>
      <c r="C331" s="95" t="s">
        <v>6</v>
      </c>
      <c r="D331" s="95" t="s">
        <v>12</v>
      </c>
      <c r="E331" s="95" t="s">
        <v>117</v>
      </c>
      <c r="F331" s="95" t="s">
        <v>157</v>
      </c>
      <c r="G331" s="22"/>
      <c r="H331" s="69"/>
      <c r="I331" s="69"/>
      <c r="J331" s="69">
        <f>SUM(H331:I331)</f>
        <v>0</v>
      </c>
      <c r="K331" s="69"/>
      <c r="L331" s="69">
        <f>SUM(J331:K331)</f>
        <v>0</v>
      </c>
    </row>
    <row r="332" spans="1:12" ht="33.75">
      <c r="A332" s="126" t="s">
        <v>548</v>
      </c>
      <c r="B332" s="95" t="s">
        <v>258</v>
      </c>
      <c r="C332" s="95" t="s">
        <v>6</v>
      </c>
      <c r="D332" s="95" t="s">
        <v>12</v>
      </c>
      <c r="E332" s="95" t="s">
        <v>117</v>
      </c>
      <c r="F332" s="95" t="s">
        <v>147</v>
      </c>
      <c r="G332" s="22"/>
      <c r="H332" s="69">
        <v>2</v>
      </c>
      <c r="I332" s="69">
        <v>8</v>
      </c>
      <c r="J332" s="69">
        <f>SUM(H332:I332)</f>
        <v>10</v>
      </c>
      <c r="K332" s="69"/>
      <c r="L332" s="69">
        <f>SUM(J332:K332)</f>
        <v>10</v>
      </c>
    </row>
    <row r="333" spans="1:12" s="36" customFormat="1" ht="21.75">
      <c r="A333" s="136" t="s">
        <v>268</v>
      </c>
      <c r="B333" s="94" t="s">
        <v>258</v>
      </c>
      <c r="C333" s="94" t="s">
        <v>6</v>
      </c>
      <c r="D333" s="94" t="s">
        <v>14</v>
      </c>
      <c r="E333" s="94"/>
      <c r="F333" s="94"/>
      <c r="G333" s="17" t="e">
        <f aca="true" t="shared" si="30" ref="G333:L333">G334</f>
        <v>#REF!</v>
      </c>
      <c r="H333" s="71">
        <f t="shared" si="30"/>
        <v>100</v>
      </c>
      <c r="I333" s="66">
        <f t="shared" si="30"/>
        <v>100</v>
      </c>
      <c r="J333" s="66">
        <f t="shared" si="30"/>
        <v>1014</v>
      </c>
      <c r="K333" s="66">
        <f t="shared" si="30"/>
        <v>0</v>
      </c>
      <c r="L333" s="66">
        <f t="shared" si="30"/>
        <v>1014</v>
      </c>
    </row>
    <row r="334" spans="1:12" ht="18" customHeight="1">
      <c r="A334" s="137" t="s">
        <v>269</v>
      </c>
      <c r="B334" s="95" t="s">
        <v>258</v>
      </c>
      <c r="C334" s="95" t="s">
        <v>6</v>
      </c>
      <c r="D334" s="95" t="s">
        <v>14</v>
      </c>
      <c r="E334" s="95" t="s">
        <v>270</v>
      </c>
      <c r="F334" s="95"/>
      <c r="G334" s="22" t="e">
        <f>G337</f>
        <v>#REF!</v>
      </c>
      <c r="H334" s="72">
        <f>H337+H335</f>
        <v>100</v>
      </c>
      <c r="I334" s="72">
        <f>I337+I335</f>
        <v>100</v>
      </c>
      <c r="J334" s="72">
        <f>J337+J335</f>
        <v>1014</v>
      </c>
      <c r="K334" s="72">
        <f>K337+K335</f>
        <v>0</v>
      </c>
      <c r="L334" s="72">
        <f>L337+L335</f>
        <v>1014</v>
      </c>
    </row>
    <row r="335" spans="1:12" ht="18" customHeight="1">
      <c r="A335" s="137" t="s">
        <v>497</v>
      </c>
      <c r="B335" s="95" t="s">
        <v>258</v>
      </c>
      <c r="C335" s="95" t="s">
        <v>6</v>
      </c>
      <c r="D335" s="95" t="s">
        <v>14</v>
      </c>
      <c r="E335" s="95" t="s">
        <v>496</v>
      </c>
      <c r="F335" s="95"/>
      <c r="G335" s="22" t="e">
        <f>#REF!</f>
        <v>#REF!</v>
      </c>
      <c r="H335" s="73">
        <f>H336</f>
        <v>0</v>
      </c>
      <c r="I335" s="73">
        <f>I336</f>
        <v>100</v>
      </c>
      <c r="J335" s="73">
        <f>J336</f>
        <v>514</v>
      </c>
      <c r="K335" s="73">
        <f>K336</f>
        <v>0</v>
      </c>
      <c r="L335" s="73">
        <f>L336</f>
        <v>514</v>
      </c>
    </row>
    <row r="336" spans="1:12" ht="22.5" customHeight="1">
      <c r="A336" s="126" t="s">
        <v>548</v>
      </c>
      <c r="B336" s="95" t="s">
        <v>258</v>
      </c>
      <c r="C336" s="95" t="s">
        <v>6</v>
      </c>
      <c r="D336" s="95" t="s">
        <v>14</v>
      </c>
      <c r="E336" s="95" t="s">
        <v>496</v>
      </c>
      <c r="F336" s="95" t="s">
        <v>147</v>
      </c>
      <c r="G336" s="22"/>
      <c r="H336" s="72"/>
      <c r="I336" s="69">
        <v>100</v>
      </c>
      <c r="J336" s="69">
        <v>514</v>
      </c>
      <c r="K336" s="69"/>
      <c r="L336" s="69">
        <f>J336+K336</f>
        <v>514</v>
      </c>
    </row>
    <row r="337" spans="1:12" ht="28.5" customHeight="1">
      <c r="A337" s="137" t="s">
        <v>271</v>
      </c>
      <c r="B337" s="95" t="s">
        <v>258</v>
      </c>
      <c r="C337" s="95" t="s">
        <v>6</v>
      </c>
      <c r="D337" s="95" t="s">
        <v>14</v>
      </c>
      <c r="E337" s="95" t="s">
        <v>272</v>
      </c>
      <c r="F337" s="95"/>
      <c r="G337" s="22" t="e">
        <f>#REF!</f>
        <v>#REF!</v>
      </c>
      <c r="H337" s="73">
        <f>H338</f>
        <v>100</v>
      </c>
      <c r="I337" s="73">
        <f>I338</f>
        <v>0</v>
      </c>
      <c r="J337" s="73">
        <f>J338</f>
        <v>500</v>
      </c>
      <c r="K337" s="73">
        <f>K338</f>
        <v>0</v>
      </c>
      <c r="L337" s="73">
        <f>L338</f>
        <v>500</v>
      </c>
    </row>
    <row r="338" spans="1:12" ht="23.25" customHeight="1">
      <c r="A338" s="126" t="s">
        <v>548</v>
      </c>
      <c r="B338" s="95" t="s">
        <v>258</v>
      </c>
      <c r="C338" s="95" t="s">
        <v>6</v>
      </c>
      <c r="D338" s="95" t="s">
        <v>14</v>
      </c>
      <c r="E338" s="95" t="s">
        <v>272</v>
      </c>
      <c r="F338" s="95" t="s">
        <v>147</v>
      </c>
      <c r="G338" s="22"/>
      <c r="H338" s="72">
        <v>100</v>
      </c>
      <c r="I338" s="69"/>
      <c r="J338" s="69">
        <v>500</v>
      </c>
      <c r="K338" s="69"/>
      <c r="L338" s="69">
        <f>J338+K338</f>
        <v>500</v>
      </c>
    </row>
    <row r="339" spans="1:12" ht="16.5" customHeight="1">
      <c r="A339" s="136" t="s">
        <v>19</v>
      </c>
      <c r="B339" s="94" t="s">
        <v>258</v>
      </c>
      <c r="C339" s="94" t="s">
        <v>6</v>
      </c>
      <c r="D339" s="94" t="s">
        <v>18</v>
      </c>
      <c r="E339" s="94"/>
      <c r="F339" s="94"/>
      <c r="G339" s="17">
        <f>G351+G340</f>
        <v>0</v>
      </c>
      <c r="H339" s="66">
        <f>H340+H342+H351+H355+H347+H357</f>
        <v>788.79</v>
      </c>
      <c r="I339" s="66">
        <f>I340+I342+I351+I355+I347+I357</f>
        <v>6373.91</v>
      </c>
      <c r="J339" s="66">
        <f>J340+J342+J351+J355+J347+J357</f>
        <v>7162.7</v>
      </c>
      <c r="K339" s="66">
        <f>K340+K342+K351+K355+K347+K357</f>
        <v>421.54</v>
      </c>
      <c r="L339" s="66">
        <f>L340+L342+L351+L355+L347+L357</f>
        <v>7584.24</v>
      </c>
    </row>
    <row r="340" spans="1:12" ht="24" customHeight="1">
      <c r="A340" s="145" t="s">
        <v>263</v>
      </c>
      <c r="B340" s="95" t="s">
        <v>258</v>
      </c>
      <c r="C340" s="95" t="s">
        <v>6</v>
      </c>
      <c r="D340" s="95" t="s">
        <v>18</v>
      </c>
      <c r="E340" s="95" t="s">
        <v>264</v>
      </c>
      <c r="F340" s="95"/>
      <c r="G340" s="22">
        <f>G343</f>
        <v>195</v>
      </c>
      <c r="H340" s="69">
        <f>H341</f>
        <v>54.3</v>
      </c>
      <c r="I340" s="69">
        <f>I341</f>
        <v>-5.3</v>
      </c>
      <c r="J340" s="69">
        <f>J341</f>
        <v>49</v>
      </c>
      <c r="K340" s="69">
        <f>K341</f>
        <v>0</v>
      </c>
      <c r="L340" s="69">
        <f>L341</f>
        <v>49</v>
      </c>
    </row>
    <row r="341" spans="1:12" ht="27.75" customHeight="1">
      <c r="A341" s="126" t="s">
        <v>548</v>
      </c>
      <c r="B341" s="95" t="s">
        <v>258</v>
      </c>
      <c r="C341" s="95" t="s">
        <v>6</v>
      </c>
      <c r="D341" s="95" t="s">
        <v>18</v>
      </c>
      <c r="E341" s="95" t="s">
        <v>264</v>
      </c>
      <c r="F341" s="95" t="s">
        <v>147</v>
      </c>
      <c r="G341" s="22"/>
      <c r="H341" s="72">
        <v>54.3</v>
      </c>
      <c r="I341" s="69">
        <v>-5.3</v>
      </c>
      <c r="J341" s="69">
        <f>H341+I341</f>
        <v>49</v>
      </c>
      <c r="K341" s="69"/>
      <c r="L341" s="69">
        <f>J341+K341</f>
        <v>49</v>
      </c>
    </row>
    <row r="342" spans="1:12" ht="28.5" customHeight="1">
      <c r="A342" s="145" t="s">
        <v>273</v>
      </c>
      <c r="B342" s="95" t="s">
        <v>258</v>
      </c>
      <c r="C342" s="95" t="s">
        <v>6</v>
      </c>
      <c r="D342" s="95" t="s">
        <v>18</v>
      </c>
      <c r="E342" s="95" t="s">
        <v>274</v>
      </c>
      <c r="F342" s="95"/>
      <c r="G342" s="22"/>
      <c r="H342" s="69">
        <f>H343+H344+H345+H346</f>
        <v>479</v>
      </c>
      <c r="I342" s="69">
        <f>I343+I344+I345+I346</f>
        <v>126</v>
      </c>
      <c r="J342" s="69">
        <f>J343+J344+J345+J346</f>
        <v>605</v>
      </c>
      <c r="K342" s="69">
        <f>K343+K344+K345+K346</f>
        <v>0</v>
      </c>
      <c r="L342" s="69">
        <f>L343+L344+L345+L346</f>
        <v>605</v>
      </c>
    </row>
    <row r="343" spans="1:12" ht="28.5" customHeight="1" hidden="1">
      <c r="A343" s="137" t="s">
        <v>96</v>
      </c>
      <c r="B343" s="95" t="s">
        <v>258</v>
      </c>
      <c r="C343" s="95" t="s">
        <v>6</v>
      </c>
      <c r="D343" s="95" t="s">
        <v>18</v>
      </c>
      <c r="E343" s="95" t="s">
        <v>274</v>
      </c>
      <c r="F343" s="95" t="s">
        <v>97</v>
      </c>
      <c r="G343" s="22">
        <v>195</v>
      </c>
      <c r="H343" s="72"/>
      <c r="I343" s="69"/>
      <c r="J343" s="69">
        <f>H343+I343</f>
        <v>0</v>
      </c>
      <c r="K343" s="69"/>
      <c r="L343" s="69">
        <f>J343+K343</f>
        <v>0</v>
      </c>
    </row>
    <row r="344" spans="1:12" ht="14.25" customHeight="1">
      <c r="A344" s="126" t="s">
        <v>150</v>
      </c>
      <c r="B344" s="95" t="s">
        <v>258</v>
      </c>
      <c r="C344" s="95" t="s">
        <v>6</v>
      </c>
      <c r="D344" s="95" t="s">
        <v>18</v>
      </c>
      <c r="E344" s="95" t="s">
        <v>274</v>
      </c>
      <c r="F344" s="95" t="s">
        <v>151</v>
      </c>
      <c r="G344" s="22"/>
      <c r="H344" s="69">
        <v>328.56</v>
      </c>
      <c r="I344" s="69">
        <v>126</v>
      </c>
      <c r="J344" s="69">
        <v>396.521</v>
      </c>
      <c r="K344" s="69"/>
      <c r="L344" s="69">
        <f>J344+K344</f>
        <v>396.521</v>
      </c>
    </row>
    <row r="345" spans="1:12" ht="28.5" customHeight="1">
      <c r="A345" s="126" t="s">
        <v>153</v>
      </c>
      <c r="B345" s="95" t="s">
        <v>258</v>
      </c>
      <c r="C345" s="95" t="s">
        <v>6</v>
      </c>
      <c r="D345" s="95" t="s">
        <v>18</v>
      </c>
      <c r="E345" s="95" t="s">
        <v>274</v>
      </c>
      <c r="F345" s="95" t="s">
        <v>154</v>
      </c>
      <c r="G345" s="22"/>
      <c r="H345" s="69">
        <v>1</v>
      </c>
      <c r="I345" s="69"/>
      <c r="J345" s="69">
        <f>H345+I345</f>
        <v>1</v>
      </c>
      <c r="K345" s="69"/>
      <c r="L345" s="69">
        <f>J345+K345</f>
        <v>1</v>
      </c>
    </row>
    <row r="346" spans="1:12" ht="28.5" customHeight="1">
      <c r="A346" s="126" t="s">
        <v>548</v>
      </c>
      <c r="B346" s="95" t="s">
        <v>258</v>
      </c>
      <c r="C346" s="95" t="s">
        <v>6</v>
      </c>
      <c r="D346" s="95" t="s">
        <v>18</v>
      </c>
      <c r="E346" s="95" t="s">
        <v>274</v>
      </c>
      <c r="F346" s="95" t="s">
        <v>147</v>
      </c>
      <c r="G346" s="22"/>
      <c r="H346" s="69">
        <v>149.44</v>
      </c>
      <c r="I346" s="69"/>
      <c r="J346" s="69">
        <v>207.479</v>
      </c>
      <c r="K346" s="69"/>
      <c r="L346" s="69">
        <f>J346+K346</f>
        <v>207.479</v>
      </c>
    </row>
    <row r="347" spans="1:12" ht="56.25">
      <c r="A347" s="141" t="s">
        <v>203</v>
      </c>
      <c r="B347" s="101" t="s">
        <v>258</v>
      </c>
      <c r="C347" s="101" t="s">
        <v>6</v>
      </c>
      <c r="D347" s="101" t="s">
        <v>18</v>
      </c>
      <c r="E347" s="101" t="s">
        <v>204</v>
      </c>
      <c r="F347" s="95"/>
      <c r="G347" s="22"/>
      <c r="H347" s="69">
        <f>H348+H349+H350</f>
        <v>0</v>
      </c>
      <c r="I347" s="69">
        <f>I348+I349+I350</f>
        <v>212</v>
      </c>
      <c r="J347" s="69">
        <f>J348+J349+J350</f>
        <v>212</v>
      </c>
      <c r="K347" s="69">
        <f>K348+K349+K350</f>
        <v>0</v>
      </c>
      <c r="L347" s="69">
        <f>L348+L349+L350</f>
        <v>212</v>
      </c>
    </row>
    <row r="348" spans="1:12" ht="15.75" customHeight="1">
      <c r="A348" s="126" t="s">
        <v>150</v>
      </c>
      <c r="B348" s="101" t="s">
        <v>258</v>
      </c>
      <c r="C348" s="101" t="s">
        <v>6</v>
      </c>
      <c r="D348" s="101" t="s">
        <v>18</v>
      </c>
      <c r="E348" s="101" t="s">
        <v>204</v>
      </c>
      <c r="F348" s="95" t="s">
        <v>151</v>
      </c>
      <c r="G348" s="22"/>
      <c r="H348" s="69"/>
      <c r="I348" s="69">
        <v>212</v>
      </c>
      <c r="J348" s="69">
        <f>H348+I348</f>
        <v>212</v>
      </c>
      <c r="K348" s="69"/>
      <c r="L348" s="69">
        <f>J348+K348</f>
        <v>212</v>
      </c>
    </row>
    <row r="349" spans="1:12" ht="31.5" customHeight="1" hidden="1">
      <c r="A349" s="126" t="s">
        <v>156</v>
      </c>
      <c r="B349" s="95" t="s">
        <v>258</v>
      </c>
      <c r="C349" s="95" t="s">
        <v>6</v>
      </c>
      <c r="D349" s="95" t="s">
        <v>18</v>
      </c>
      <c r="E349" s="95" t="s">
        <v>469</v>
      </c>
      <c r="F349" s="95" t="s">
        <v>157</v>
      </c>
      <c r="G349" s="22"/>
      <c r="H349" s="69"/>
      <c r="I349" s="69"/>
      <c r="J349" s="69">
        <f>H349+I349</f>
        <v>0</v>
      </c>
      <c r="K349" s="69"/>
      <c r="L349" s="69">
        <f>J349+K349</f>
        <v>0</v>
      </c>
    </row>
    <row r="350" spans="1:12" ht="31.5" customHeight="1" hidden="1">
      <c r="A350" s="126" t="s">
        <v>145</v>
      </c>
      <c r="B350" s="95" t="s">
        <v>258</v>
      </c>
      <c r="C350" s="95" t="s">
        <v>6</v>
      </c>
      <c r="D350" s="95" t="s">
        <v>18</v>
      </c>
      <c r="E350" s="95" t="s">
        <v>469</v>
      </c>
      <c r="F350" s="95" t="s">
        <v>147</v>
      </c>
      <c r="G350" s="22"/>
      <c r="H350" s="69"/>
      <c r="I350" s="69"/>
      <c r="J350" s="69">
        <f>H350+I350</f>
        <v>0</v>
      </c>
      <c r="K350" s="69"/>
      <c r="L350" s="69">
        <f>J350+K350</f>
        <v>0</v>
      </c>
    </row>
    <row r="351" spans="1:12" ht="29.25" customHeight="1">
      <c r="A351" s="137" t="s">
        <v>275</v>
      </c>
      <c r="B351" s="95" t="s">
        <v>258</v>
      </c>
      <c r="C351" s="95" t="s">
        <v>6</v>
      </c>
      <c r="D351" s="95" t="s">
        <v>18</v>
      </c>
      <c r="E351" s="95" t="s">
        <v>276</v>
      </c>
      <c r="F351" s="95"/>
      <c r="G351" s="22">
        <f aca="true" t="shared" si="31" ref="G351:L351">G352</f>
        <v>-195</v>
      </c>
      <c r="H351" s="72">
        <f t="shared" si="31"/>
        <v>135</v>
      </c>
      <c r="I351" s="69">
        <f t="shared" si="31"/>
        <v>-0.8</v>
      </c>
      <c r="J351" s="69">
        <f t="shared" si="31"/>
        <v>134.2</v>
      </c>
      <c r="K351" s="69">
        <f t="shared" si="31"/>
        <v>135</v>
      </c>
      <c r="L351" s="69">
        <f t="shared" si="31"/>
        <v>269.2</v>
      </c>
    </row>
    <row r="352" spans="1:12" ht="17.25" customHeight="1">
      <c r="A352" s="137" t="s">
        <v>98</v>
      </c>
      <c r="B352" s="95" t="s">
        <v>258</v>
      </c>
      <c r="C352" s="95" t="s">
        <v>6</v>
      </c>
      <c r="D352" s="95" t="s">
        <v>18</v>
      </c>
      <c r="E352" s="95" t="s">
        <v>277</v>
      </c>
      <c r="F352" s="95"/>
      <c r="G352" s="22">
        <f>G353</f>
        <v>-195</v>
      </c>
      <c r="H352" s="69">
        <f>H353+H354</f>
        <v>135</v>
      </c>
      <c r="I352" s="69">
        <f>I353+I354</f>
        <v>-0.8</v>
      </c>
      <c r="J352" s="69">
        <f>J353+J354</f>
        <v>134.2</v>
      </c>
      <c r="K352" s="69">
        <f>K353+K354</f>
        <v>135</v>
      </c>
      <c r="L352" s="69">
        <f>L353+L354</f>
        <v>269.2</v>
      </c>
    </row>
    <row r="353" spans="1:12" ht="27.75" customHeight="1">
      <c r="A353" s="189" t="s">
        <v>537</v>
      </c>
      <c r="B353" s="95" t="s">
        <v>258</v>
      </c>
      <c r="C353" s="95" t="s">
        <v>6</v>
      </c>
      <c r="D353" s="95" t="s">
        <v>18</v>
      </c>
      <c r="E353" s="95" t="s">
        <v>277</v>
      </c>
      <c r="F353" s="95" t="s">
        <v>456</v>
      </c>
      <c r="G353" s="22">
        <v>-195</v>
      </c>
      <c r="H353" s="72"/>
      <c r="I353" s="69"/>
      <c r="J353" s="69"/>
      <c r="K353" s="69">
        <v>135</v>
      </c>
      <c r="L353" s="69">
        <f>J353+K353</f>
        <v>135</v>
      </c>
    </row>
    <row r="354" spans="1:12" ht="27" customHeight="1">
      <c r="A354" s="126" t="s">
        <v>548</v>
      </c>
      <c r="B354" s="95" t="s">
        <v>258</v>
      </c>
      <c r="C354" s="95" t="s">
        <v>6</v>
      </c>
      <c r="D354" s="95" t="s">
        <v>18</v>
      </c>
      <c r="E354" s="95" t="s">
        <v>277</v>
      </c>
      <c r="F354" s="95" t="s">
        <v>147</v>
      </c>
      <c r="G354" s="22"/>
      <c r="H354" s="72">
        <v>135</v>
      </c>
      <c r="I354" s="69">
        <v>-0.8</v>
      </c>
      <c r="J354" s="69">
        <f>H354+I354</f>
        <v>134.2</v>
      </c>
      <c r="K354" s="69"/>
      <c r="L354" s="69">
        <f>J354+K354</f>
        <v>134.2</v>
      </c>
    </row>
    <row r="355" spans="1:12" ht="27" customHeight="1">
      <c r="A355" s="127" t="s">
        <v>278</v>
      </c>
      <c r="B355" s="95" t="s">
        <v>258</v>
      </c>
      <c r="C355" s="95" t="s">
        <v>6</v>
      </c>
      <c r="D355" s="95" t="s">
        <v>18</v>
      </c>
      <c r="E355" s="95" t="s">
        <v>279</v>
      </c>
      <c r="F355" s="95"/>
      <c r="G355" s="22"/>
      <c r="H355" s="72">
        <f>H356</f>
        <v>120.49</v>
      </c>
      <c r="I355" s="72">
        <f>I356</f>
        <v>879.51</v>
      </c>
      <c r="J355" s="72">
        <f>J356</f>
        <v>1000</v>
      </c>
      <c r="K355" s="72">
        <f>K356</f>
        <v>0</v>
      </c>
      <c r="L355" s="72">
        <f>L356</f>
        <v>1000</v>
      </c>
    </row>
    <row r="356" spans="1:12" ht="27" customHeight="1">
      <c r="A356" s="126" t="s">
        <v>548</v>
      </c>
      <c r="B356" s="95" t="s">
        <v>258</v>
      </c>
      <c r="C356" s="95" t="s">
        <v>6</v>
      </c>
      <c r="D356" s="95" t="s">
        <v>18</v>
      </c>
      <c r="E356" s="95" t="s">
        <v>279</v>
      </c>
      <c r="F356" s="95" t="s">
        <v>147</v>
      </c>
      <c r="G356" s="22"/>
      <c r="H356" s="72">
        <v>120.49</v>
      </c>
      <c r="I356" s="69">
        <v>879.51</v>
      </c>
      <c r="J356" s="69">
        <f>H356+I356</f>
        <v>1000</v>
      </c>
      <c r="K356" s="69"/>
      <c r="L356" s="69">
        <f>J356+K356</f>
        <v>1000</v>
      </c>
    </row>
    <row r="357" spans="1:12" ht="43.5" customHeight="1">
      <c r="A357" s="126" t="s">
        <v>518</v>
      </c>
      <c r="B357" s="95" t="s">
        <v>258</v>
      </c>
      <c r="C357" s="95" t="s">
        <v>6</v>
      </c>
      <c r="D357" s="95" t="s">
        <v>18</v>
      </c>
      <c r="E357" s="95" t="s">
        <v>517</v>
      </c>
      <c r="F357" s="95"/>
      <c r="G357" s="22"/>
      <c r="H357" s="72">
        <f>H359+H360+H361+H362</f>
        <v>0</v>
      </c>
      <c r="I357" s="72">
        <f>I359+I360+I361+I362</f>
        <v>5162.5</v>
      </c>
      <c r="J357" s="72">
        <f>J359+J360+J361+J362+J358</f>
        <v>5162.5</v>
      </c>
      <c r="K357" s="72">
        <f>K359+K360+K361+K362+K358</f>
        <v>286.54</v>
      </c>
      <c r="L357" s="72">
        <f>L359+L360+L361+L362+L358</f>
        <v>5449.04</v>
      </c>
    </row>
    <row r="358" spans="1:12" ht="43.5" customHeight="1">
      <c r="A358" s="126" t="s">
        <v>153</v>
      </c>
      <c r="B358" s="95" t="s">
        <v>258</v>
      </c>
      <c r="C358" s="95" t="s">
        <v>6</v>
      </c>
      <c r="D358" s="95" t="s">
        <v>18</v>
      </c>
      <c r="E358" s="95" t="s">
        <v>517</v>
      </c>
      <c r="F358" s="95" t="s">
        <v>154</v>
      </c>
      <c r="G358" s="22"/>
      <c r="H358" s="72"/>
      <c r="I358" s="72"/>
      <c r="J358" s="72">
        <v>91.4</v>
      </c>
      <c r="K358" s="72"/>
      <c r="L358" s="72">
        <f>J358+K358</f>
        <v>91.4</v>
      </c>
    </row>
    <row r="359" spans="1:12" ht="33.75">
      <c r="A359" s="126" t="s">
        <v>156</v>
      </c>
      <c r="B359" s="95" t="s">
        <v>258</v>
      </c>
      <c r="C359" s="95" t="s">
        <v>6</v>
      </c>
      <c r="D359" s="95" t="s">
        <v>18</v>
      </c>
      <c r="E359" s="95" t="s">
        <v>517</v>
      </c>
      <c r="F359" s="95" t="s">
        <v>157</v>
      </c>
      <c r="G359" s="22"/>
      <c r="H359" s="72"/>
      <c r="I359" s="69">
        <f>114</f>
        <v>114</v>
      </c>
      <c r="J359" s="69">
        <f>H359+I359</f>
        <v>114</v>
      </c>
      <c r="K359" s="69"/>
      <c r="L359" s="69">
        <f>J359+K359</f>
        <v>114</v>
      </c>
    </row>
    <row r="360" spans="1:12" ht="33.75">
      <c r="A360" s="126" t="s">
        <v>548</v>
      </c>
      <c r="B360" s="95" t="s">
        <v>258</v>
      </c>
      <c r="C360" s="95" t="s">
        <v>6</v>
      </c>
      <c r="D360" s="95" t="s">
        <v>18</v>
      </c>
      <c r="E360" s="95" t="s">
        <v>517</v>
      </c>
      <c r="F360" s="95" t="s">
        <v>147</v>
      </c>
      <c r="G360" s="22"/>
      <c r="H360" s="72"/>
      <c r="I360" s="69">
        <f>4926.32-1.5934-496.2266</f>
        <v>4428.5</v>
      </c>
      <c r="J360" s="69">
        <v>4337.1</v>
      </c>
      <c r="K360" s="69">
        <f>200+116.8+169.74</f>
        <v>486.54</v>
      </c>
      <c r="L360" s="69">
        <f>J360+K360</f>
        <v>4823.64</v>
      </c>
    </row>
    <row r="361" spans="1:12" ht="33.75">
      <c r="A361" s="126" t="s">
        <v>265</v>
      </c>
      <c r="B361" s="95" t="s">
        <v>258</v>
      </c>
      <c r="C361" s="95" t="s">
        <v>6</v>
      </c>
      <c r="D361" s="95" t="s">
        <v>18</v>
      </c>
      <c r="E361" s="95" t="s">
        <v>517</v>
      </c>
      <c r="F361" s="95" t="s">
        <v>159</v>
      </c>
      <c r="G361" s="22"/>
      <c r="H361" s="72"/>
      <c r="I361" s="69">
        <f>376</f>
        <v>376</v>
      </c>
      <c r="J361" s="69">
        <f>H361+I361</f>
        <v>376</v>
      </c>
      <c r="K361" s="69">
        <v>-50</v>
      </c>
      <c r="L361" s="69">
        <f>J361+K361</f>
        <v>326</v>
      </c>
    </row>
    <row r="362" spans="1:12" ht="15">
      <c r="A362" s="129" t="s">
        <v>160</v>
      </c>
      <c r="B362" s="95" t="s">
        <v>258</v>
      </c>
      <c r="C362" s="95" t="s">
        <v>6</v>
      </c>
      <c r="D362" s="95" t="s">
        <v>18</v>
      </c>
      <c r="E362" s="95" t="s">
        <v>517</v>
      </c>
      <c r="F362" s="95" t="s">
        <v>161</v>
      </c>
      <c r="G362" s="22"/>
      <c r="H362" s="72"/>
      <c r="I362" s="69">
        <f>180+64</f>
        <v>244</v>
      </c>
      <c r="J362" s="69">
        <f>H362+I362</f>
        <v>244</v>
      </c>
      <c r="K362" s="69">
        <v>-150</v>
      </c>
      <c r="L362" s="69">
        <f>J362+K362</f>
        <v>94</v>
      </c>
    </row>
    <row r="363" spans="1:12" s="40" customFormat="1" ht="21.75">
      <c r="A363" s="136" t="s">
        <v>24</v>
      </c>
      <c r="B363" s="94" t="s">
        <v>258</v>
      </c>
      <c r="C363" s="94" t="s">
        <v>8</v>
      </c>
      <c r="D363" s="94"/>
      <c r="E363" s="94"/>
      <c r="F363" s="94"/>
      <c r="G363" s="17" t="e">
        <f>G364</f>
        <v>#REF!</v>
      </c>
      <c r="H363" s="71">
        <f>H364+H368</f>
        <v>100</v>
      </c>
      <c r="I363" s="71">
        <f>I364+I368</f>
        <v>502.851</v>
      </c>
      <c r="J363" s="71">
        <f>J364+J368</f>
        <v>1103.1509999999998</v>
      </c>
      <c r="K363" s="71">
        <f>K364+K368</f>
        <v>12.6</v>
      </c>
      <c r="L363" s="71">
        <f>L364+L368</f>
        <v>1115.7509999999997</v>
      </c>
    </row>
    <row r="364" spans="1:12" s="36" customFormat="1" ht="42.75">
      <c r="A364" s="136" t="s">
        <v>280</v>
      </c>
      <c r="B364" s="94" t="s">
        <v>258</v>
      </c>
      <c r="C364" s="94" t="s">
        <v>8</v>
      </c>
      <c r="D364" s="94" t="s">
        <v>28</v>
      </c>
      <c r="E364" s="94"/>
      <c r="F364" s="94"/>
      <c r="G364" s="17" t="e">
        <f>G365</f>
        <v>#REF!</v>
      </c>
      <c r="H364" s="71">
        <f>H365</f>
        <v>75</v>
      </c>
      <c r="I364" s="66">
        <f>I365</f>
        <v>482.851</v>
      </c>
      <c r="J364" s="66">
        <f>J365</f>
        <v>1058.1509999999998</v>
      </c>
      <c r="K364" s="66">
        <f>K365</f>
        <v>0</v>
      </c>
      <c r="L364" s="66">
        <f>L365</f>
        <v>1058.1509999999998</v>
      </c>
    </row>
    <row r="365" spans="1:12" ht="34.5">
      <c r="A365" s="137" t="s">
        <v>281</v>
      </c>
      <c r="B365" s="95" t="s">
        <v>258</v>
      </c>
      <c r="C365" s="95" t="s">
        <v>8</v>
      </c>
      <c r="D365" s="95" t="s">
        <v>28</v>
      </c>
      <c r="E365" s="95" t="s">
        <v>282</v>
      </c>
      <c r="F365" s="95"/>
      <c r="G365" s="22" t="e">
        <f>#REF!</f>
        <v>#REF!</v>
      </c>
      <c r="H365" s="72">
        <f>H366+H367</f>
        <v>75</v>
      </c>
      <c r="I365" s="72">
        <f>I366+I367</f>
        <v>482.851</v>
      </c>
      <c r="J365" s="72">
        <f>J366+J367</f>
        <v>1058.1509999999998</v>
      </c>
      <c r="K365" s="72">
        <f>K366+K367</f>
        <v>0</v>
      </c>
      <c r="L365" s="72">
        <f>L366+L367</f>
        <v>1058.1509999999998</v>
      </c>
    </row>
    <row r="366" spans="1:12" ht="32.25" customHeight="1">
      <c r="A366" s="126" t="s">
        <v>150</v>
      </c>
      <c r="B366" s="95" t="s">
        <v>258</v>
      </c>
      <c r="C366" s="95" t="s">
        <v>8</v>
      </c>
      <c r="D366" s="95" t="s">
        <v>28</v>
      </c>
      <c r="E366" s="95" t="s">
        <v>283</v>
      </c>
      <c r="F366" s="95" t="s">
        <v>151</v>
      </c>
      <c r="G366" s="22"/>
      <c r="H366" s="72"/>
      <c r="I366" s="69">
        <v>482.851</v>
      </c>
      <c r="J366" s="69">
        <f>H366+I366</f>
        <v>482.851</v>
      </c>
      <c r="K366" s="69"/>
      <c r="L366" s="69">
        <f>J366+K366</f>
        <v>482.851</v>
      </c>
    </row>
    <row r="367" spans="1:12" ht="24.75" customHeight="1">
      <c r="A367" s="126" t="s">
        <v>145</v>
      </c>
      <c r="B367" s="95" t="s">
        <v>258</v>
      </c>
      <c r="C367" s="95" t="s">
        <v>8</v>
      </c>
      <c r="D367" s="95" t="s">
        <v>28</v>
      </c>
      <c r="E367" s="95" t="s">
        <v>283</v>
      </c>
      <c r="F367" s="95" t="s">
        <v>147</v>
      </c>
      <c r="G367" s="22"/>
      <c r="H367" s="72">
        <v>75</v>
      </c>
      <c r="I367" s="69"/>
      <c r="J367" s="69">
        <v>575.3</v>
      </c>
      <c r="K367" s="69"/>
      <c r="L367" s="69">
        <f>J367+K367</f>
        <v>575.3</v>
      </c>
    </row>
    <row r="368" spans="1:12" s="36" customFormat="1" ht="32.25">
      <c r="A368" s="146" t="s">
        <v>29</v>
      </c>
      <c r="B368" s="94" t="s">
        <v>258</v>
      </c>
      <c r="C368" s="94" t="s">
        <v>8</v>
      </c>
      <c r="D368" s="94" t="s">
        <v>20</v>
      </c>
      <c r="E368" s="94"/>
      <c r="F368" s="94"/>
      <c r="G368" s="17"/>
      <c r="H368" s="71">
        <f>H371</f>
        <v>25</v>
      </c>
      <c r="I368" s="71">
        <f>I371</f>
        <v>20</v>
      </c>
      <c r="J368" s="71">
        <f>J371+J369</f>
        <v>45</v>
      </c>
      <c r="K368" s="71">
        <f>K371+K369</f>
        <v>12.6</v>
      </c>
      <c r="L368" s="71">
        <f>L371+L369</f>
        <v>57.6</v>
      </c>
    </row>
    <row r="369" spans="1:12" ht="34.5">
      <c r="A369" s="192" t="s">
        <v>573</v>
      </c>
      <c r="B369" s="95" t="s">
        <v>258</v>
      </c>
      <c r="C369" s="95" t="s">
        <v>8</v>
      </c>
      <c r="D369" s="95" t="s">
        <v>20</v>
      </c>
      <c r="E369" s="95" t="s">
        <v>572</v>
      </c>
      <c r="F369" s="95"/>
      <c r="G369" s="22"/>
      <c r="H369" s="72"/>
      <c r="I369" s="72"/>
      <c r="J369" s="72">
        <f>J370</f>
        <v>0</v>
      </c>
      <c r="K369" s="72">
        <f>K370</f>
        <v>12.6</v>
      </c>
      <c r="L369" s="72">
        <f>L370</f>
        <v>12.6</v>
      </c>
    </row>
    <row r="370" spans="1:12" ht="27" customHeight="1">
      <c r="A370" s="126" t="s">
        <v>548</v>
      </c>
      <c r="B370" s="95" t="s">
        <v>258</v>
      </c>
      <c r="C370" s="95" t="s">
        <v>8</v>
      </c>
      <c r="D370" s="95" t="s">
        <v>20</v>
      </c>
      <c r="E370" s="95" t="s">
        <v>572</v>
      </c>
      <c r="F370" s="95" t="s">
        <v>147</v>
      </c>
      <c r="G370" s="22"/>
      <c r="H370" s="72"/>
      <c r="I370" s="72"/>
      <c r="J370" s="72"/>
      <c r="K370" s="72">
        <v>12.6</v>
      </c>
      <c r="L370" s="72">
        <f>J370+K370</f>
        <v>12.6</v>
      </c>
    </row>
    <row r="371" spans="1:12" s="36" customFormat="1" ht="14.25">
      <c r="A371" s="137" t="s">
        <v>312</v>
      </c>
      <c r="B371" s="95" t="s">
        <v>258</v>
      </c>
      <c r="C371" s="95" t="s">
        <v>8</v>
      </c>
      <c r="D371" s="95" t="s">
        <v>20</v>
      </c>
      <c r="E371" s="95" t="s">
        <v>252</v>
      </c>
      <c r="F371" s="95"/>
      <c r="G371" s="22"/>
      <c r="H371" s="72">
        <f>H372+H374</f>
        <v>25</v>
      </c>
      <c r="I371" s="72">
        <f>I372+I374</f>
        <v>20</v>
      </c>
      <c r="J371" s="72">
        <f>J372+J374</f>
        <v>45</v>
      </c>
      <c r="K371" s="72">
        <f>K372+K374</f>
        <v>0</v>
      </c>
      <c r="L371" s="72">
        <f>L372+L374</f>
        <v>45</v>
      </c>
    </row>
    <row r="372" spans="1:12" ht="56.25">
      <c r="A372" s="127" t="s">
        <v>284</v>
      </c>
      <c r="B372" s="95" t="s">
        <v>258</v>
      </c>
      <c r="C372" s="95" t="s">
        <v>8</v>
      </c>
      <c r="D372" s="95" t="s">
        <v>20</v>
      </c>
      <c r="E372" s="95" t="s">
        <v>285</v>
      </c>
      <c r="F372" s="95"/>
      <c r="G372" s="22"/>
      <c r="H372" s="72">
        <f>H373</f>
        <v>15</v>
      </c>
      <c r="I372" s="72">
        <f>I373</f>
        <v>0</v>
      </c>
      <c r="J372" s="72">
        <f>J373</f>
        <v>15</v>
      </c>
      <c r="K372" s="72">
        <f>K373</f>
        <v>0</v>
      </c>
      <c r="L372" s="72">
        <f>L373</f>
        <v>15</v>
      </c>
    </row>
    <row r="373" spans="1:12" ht="24.75" customHeight="1">
      <c r="A373" s="126" t="s">
        <v>548</v>
      </c>
      <c r="B373" s="95" t="s">
        <v>258</v>
      </c>
      <c r="C373" s="95" t="s">
        <v>8</v>
      </c>
      <c r="D373" s="95" t="s">
        <v>20</v>
      </c>
      <c r="E373" s="95" t="s">
        <v>285</v>
      </c>
      <c r="F373" s="95" t="s">
        <v>147</v>
      </c>
      <c r="G373" s="22"/>
      <c r="H373" s="72">
        <v>15</v>
      </c>
      <c r="I373" s="72"/>
      <c r="J373" s="72">
        <f>H373+I373</f>
        <v>15</v>
      </c>
      <c r="K373" s="72"/>
      <c r="L373" s="72">
        <f>J373+K373</f>
        <v>15</v>
      </c>
    </row>
    <row r="374" spans="1:12" ht="33.75">
      <c r="A374" s="126" t="s">
        <v>286</v>
      </c>
      <c r="B374" s="95" t="s">
        <v>258</v>
      </c>
      <c r="C374" s="95" t="s">
        <v>8</v>
      </c>
      <c r="D374" s="95" t="s">
        <v>20</v>
      </c>
      <c r="E374" s="95" t="s">
        <v>287</v>
      </c>
      <c r="F374" s="95"/>
      <c r="G374" s="22"/>
      <c r="H374" s="72">
        <f>H375</f>
        <v>10</v>
      </c>
      <c r="I374" s="72">
        <f>I375</f>
        <v>20</v>
      </c>
      <c r="J374" s="72">
        <f>J375</f>
        <v>30</v>
      </c>
      <c r="K374" s="72">
        <f>K375</f>
        <v>0</v>
      </c>
      <c r="L374" s="72">
        <f>L375</f>
        <v>30</v>
      </c>
    </row>
    <row r="375" spans="1:12" ht="21.75" customHeight="1">
      <c r="A375" s="126" t="s">
        <v>548</v>
      </c>
      <c r="B375" s="95" t="s">
        <v>258</v>
      </c>
      <c r="C375" s="95" t="s">
        <v>8</v>
      </c>
      <c r="D375" s="95" t="s">
        <v>20</v>
      </c>
      <c r="E375" s="95" t="s">
        <v>287</v>
      </c>
      <c r="F375" s="95" t="s">
        <v>147</v>
      </c>
      <c r="G375" s="22"/>
      <c r="H375" s="72">
        <v>10</v>
      </c>
      <c r="I375" s="69">
        <v>20</v>
      </c>
      <c r="J375" s="69">
        <f>H375+I375</f>
        <v>30</v>
      </c>
      <c r="K375" s="69"/>
      <c r="L375" s="69">
        <f>J375+K375</f>
        <v>30</v>
      </c>
    </row>
    <row r="376" spans="1:12" ht="21.75" customHeight="1" hidden="1">
      <c r="A376" s="126" t="s">
        <v>507</v>
      </c>
      <c r="B376" s="95" t="s">
        <v>258</v>
      </c>
      <c r="C376" s="95" t="s">
        <v>8</v>
      </c>
      <c r="D376" s="95" t="s">
        <v>20</v>
      </c>
      <c r="E376" s="95" t="s">
        <v>508</v>
      </c>
      <c r="F376" s="95"/>
      <c r="G376" s="22"/>
      <c r="H376" s="72">
        <f>H377</f>
        <v>0</v>
      </c>
      <c r="I376" s="72">
        <f>I377</f>
        <v>0</v>
      </c>
      <c r="J376" s="72">
        <f>J377</f>
        <v>0</v>
      </c>
      <c r="K376" s="72">
        <f>K377</f>
        <v>0</v>
      </c>
      <c r="L376" s="72">
        <f>L377</f>
        <v>0</v>
      </c>
    </row>
    <row r="377" spans="1:12" ht="21.75" customHeight="1" hidden="1">
      <c r="A377" s="126" t="s">
        <v>145</v>
      </c>
      <c r="B377" s="95" t="s">
        <v>258</v>
      </c>
      <c r="C377" s="95" t="s">
        <v>8</v>
      </c>
      <c r="D377" s="95" t="s">
        <v>20</v>
      </c>
      <c r="E377" s="95" t="s">
        <v>509</v>
      </c>
      <c r="F377" s="95" t="s">
        <v>147</v>
      </c>
      <c r="G377" s="22"/>
      <c r="H377" s="72"/>
      <c r="I377" s="69"/>
      <c r="J377" s="69">
        <f>H377+I377</f>
        <v>0</v>
      </c>
      <c r="K377" s="69"/>
      <c r="L377" s="69">
        <f>J377+K377</f>
        <v>0</v>
      </c>
    </row>
    <row r="378" spans="1:12" s="40" customFormat="1" ht="14.25">
      <c r="A378" s="136" t="s">
        <v>30</v>
      </c>
      <c r="B378" s="94" t="s">
        <v>258</v>
      </c>
      <c r="C378" s="94" t="s">
        <v>9</v>
      </c>
      <c r="D378" s="94"/>
      <c r="E378" s="94"/>
      <c r="F378" s="94"/>
      <c r="G378" s="17" t="e">
        <f>G379+G388+#REF!</f>
        <v>#REF!</v>
      </c>
      <c r="H378" s="71">
        <f>H379+H388</f>
        <v>1536.54</v>
      </c>
      <c r="I378" s="71">
        <f>I379+I388</f>
        <v>606.95</v>
      </c>
      <c r="J378" s="71">
        <f>J379+J388+J384</f>
        <v>3668.874</v>
      </c>
      <c r="K378" s="71">
        <f>K379+K388+K384</f>
        <v>-1325.384</v>
      </c>
      <c r="L378" s="71">
        <f>L379+L388+L384</f>
        <v>2343.49</v>
      </c>
    </row>
    <row r="379" spans="1:12" s="36" customFormat="1" ht="14.25">
      <c r="A379" s="136" t="s">
        <v>33</v>
      </c>
      <c r="B379" s="94" t="s">
        <v>258</v>
      </c>
      <c r="C379" s="94" t="s">
        <v>9</v>
      </c>
      <c r="D379" s="94" t="s">
        <v>11</v>
      </c>
      <c r="E379" s="94"/>
      <c r="F379" s="94"/>
      <c r="G379" s="17">
        <f>G381</f>
        <v>0</v>
      </c>
      <c r="H379" s="71">
        <f aca="true" t="shared" si="32" ref="H379:L380">H380</f>
        <v>160</v>
      </c>
      <c r="I379" s="71">
        <f t="shared" si="32"/>
        <v>160</v>
      </c>
      <c r="J379" s="71">
        <f t="shared" si="32"/>
        <v>420</v>
      </c>
      <c r="K379" s="71">
        <f t="shared" si="32"/>
        <v>100</v>
      </c>
      <c r="L379" s="71">
        <f t="shared" si="32"/>
        <v>520</v>
      </c>
    </row>
    <row r="380" spans="1:12" ht="15">
      <c r="A380" s="137" t="s">
        <v>312</v>
      </c>
      <c r="B380" s="95" t="s">
        <v>258</v>
      </c>
      <c r="C380" s="95" t="s">
        <v>9</v>
      </c>
      <c r="D380" s="95" t="s">
        <v>11</v>
      </c>
      <c r="E380" s="95" t="s">
        <v>252</v>
      </c>
      <c r="F380" s="95"/>
      <c r="G380" s="22"/>
      <c r="H380" s="72">
        <f t="shared" si="32"/>
        <v>160</v>
      </c>
      <c r="I380" s="72">
        <f t="shared" si="32"/>
        <v>160</v>
      </c>
      <c r="J380" s="72">
        <f t="shared" si="32"/>
        <v>420</v>
      </c>
      <c r="K380" s="72">
        <f t="shared" si="32"/>
        <v>100</v>
      </c>
      <c r="L380" s="72">
        <f t="shared" si="32"/>
        <v>520</v>
      </c>
    </row>
    <row r="381" spans="1:12" ht="23.25">
      <c r="A381" s="137" t="s">
        <v>288</v>
      </c>
      <c r="B381" s="95" t="s">
        <v>258</v>
      </c>
      <c r="C381" s="95" t="s">
        <v>9</v>
      </c>
      <c r="D381" s="95" t="s">
        <v>11</v>
      </c>
      <c r="E381" s="95" t="s">
        <v>289</v>
      </c>
      <c r="F381" s="95"/>
      <c r="G381" s="22">
        <f>G382</f>
        <v>0</v>
      </c>
      <c r="H381" s="69">
        <f>H382+H383</f>
        <v>160</v>
      </c>
      <c r="I381" s="69">
        <f>I382+I383</f>
        <v>160</v>
      </c>
      <c r="J381" s="69">
        <f>J382+J383</f>
        <v>420</v>
      </c>
      <c r="K381" s="69">
        <f>K382+K383</f>
        <v>100</v>
      </c>
      <c r="L381" s="69">
        <f>L382+L383</f>
        <v>520</v>
      </c>
    </row>
    <row r="382" spans="1:12" ht="30.75" customHeight="1" hidden="1">
      <c r="A382" s="137" t="s">
        <v>290</v>
      </c>
      <c r="B382" s="95" t="s">
        <v>258</v>
      </c>
      <c r="C382" s="95" t="s">
        <v>9</v>
      </c>
      <c r="D382" s="95" t="s">
        <v>11</v>
      </c>
      <c r="E382" s="95" t="s">
        <v>289</v>
      </c>
      <c r="F382" s="95" t="s">
        <v>291</v>
      </c>
      <c r="G382" s="22"/>
      <c r="H382" s="72"/>
      <c r="I382" s="69"/>
      <c r="J382" s="69">
        <f>H382+I382</f>
        <v>0</v>
      </c>
      <c r="K382" s="69"/>
      <c r="L382" s="69">
        <f>J382+K382</f>
        <v>0</v>
      </c>
    </row>
    <row r="383" spans="1:12" ht="23.25" customHeight="1">
      <c r="A383" s="126" t="s">
        <v>548</v>
      </c>
      <c r="B383" s="95" t="s">
        <v>258</v>
      </c>
      <c r="C383" s="95" t="s">
        <v>9</v>
      </c>
      <c r="D383" s="95" t="s">
        <v>11</v>
      </c>
      <c r="E383" s="95" t="s">
        <v>289</v>
      </c>
      <c r="F383" s="95" t="s">
        <v>147</v>
      </c>
      <c r="G383" s="22"/>
      <c r="H383" s="72">
        <v>160</v>
      </c>
      <c r="I383" s="69">
        <f>60+100</f>
        <v>160</v>
      </c>
      <c r="J383" s="69">
        <v>420</v>
      </c>
      <c r="K383" s="69">
        <f>100</f>
        <v>100</v>
      </c>
      <c r="L383" s="69">
        <f>J383+K383</f>
        <v>520</v>
      </c>
    </row>
    <row r="384" spans="1:12" ht="23.25" customHeight="1" hidden="1">
      <c r="A384" s="136" t="s">
        <v>464</v>
      </c>
      <c r="B384" s="94" t="s">
        <v>258</v>
      </c>
      <c r="C384" s="94" t="s">
        <v>9</v>
      </c>
      <c r="D384" s="94" t="s">
        <v>28</v>
      </c>
      <c r="E384" s="95"/>
      <c r="F384" s="95"/>
      <c r="G384" s="22"/>
      <c r="H384" s="72"/>
      <c r="I384" s="69"/>
      <c r="J384" s="69">
        <f>J385</f>
        <v>0</v>
      </c>
      <c r="K384" s="69">
        <f aca="true" t="shared" si="33" ref="K384:L386">K385</f>
        <v>0</v>
      </c>
      <c r="L384" s="69">
        <f t="shared" si="33"/>
        <v>0</v>
      </c>
    </row>
    <row r="385" spans="1:12" ht="23.25" customHeight="1" hidden="1">
      <c r="A385" s="126" t="s">
        <v>312</v>
      </c>
      <c r="B385" s="95" t="s">
        <v>258</v>
      </c>
      <c r="C385" s="95" t="s">
        <v>9</v>
      </c>
      <c r="D385" s="95" t="s">
        <v>28</v>
      </c>
      <c r="E385" s="95" t="s">
        <v>252</v>
      </c>
      <c r="F385" s="95"/>
      <c r="G385" s="22"/>
      <c r="H385" s="72"/>
      <c r="I385" s="69"/>
      <c r="J385" s="69">
        <f>J386</f>
        <v>0</v>
      </c>
      <c r="K385" s="69">
        <f t="shared" si="33"/>
        <v>0</v>
      </c>
      <c r="L385" s="69">
        <f t="shared" si="33"/>
        <v>0</v>
      </c>
    </row>
    <row r="386" spans="1:12" ht="23.25" customHeight="1" hidden="1">
      <c r="A386" s="227" t="s">
        <v>441</v>
      </c>
      <c r="B386" s="95" t="s">
        <v>258</v>
      </c>
      <c r="C386" s="95" t="s">
        <v>9</v>
      </c>
      <c r="D386" s="95" t="s">
        <v>28</v>
      </c>
      <c r="E386" s="95" t="s">
        <v>442</v>
      </c>
      <c r="F386" s="95"/>
      <c r="G386" s="22"/>
      <c r="H386" s="72"/>
      <c r="I386" s="69"/>
      <c r="J386" s="69">
        <f>J387</f>
        <v>0</v>
      </c>
      <c r="K386" s="69">
        <f t="shared" si="33"/>
        <v>0</v>
      </c>
      <c r="L386" s="69">
        <f t="shared" si="33"/>
        <v>0</v>
      </c>
    </row>
    <row r="387" spans="1:12" ht="23.25" customHeight="1" hidden="1">
      <c r="A387" s="126" t="s">
        <v>548</v>
      </c>
      <c r="B387" s="95" t="s">
        <v>258</v>
      </c>
      <c r="C387" s="95" t="s">
        <v>9</v>
      </c>
      <c r="D387" s="95" t="s">
        <v>28</v>
      </c>
      <c r="E387" s="95" t="s">
        <v>442</v>
      </c>
      <c r="F387" s="95" t="s">
        <v>147</v>
      </c>
      <c r="G387" s="22"/>
      <c r="H387" s="72"/>
      <c r="I387" s="69"/>
      <c r="J387" s="69"/>
      <c r="K387" s="69">
        <f>300-300</f>
        <v>0</v>
      </c>
      <c r="L387" s="69">
        <f>J387+K387</f>
        <v>0</v>
      </c>
    </row>
    <row r="388" spans="1:12" s="36" customFormat="1" ht="22.5">
      <c r="A388" s="137" t="s">
        <v>292</v>
      </c>
      <c r="B388" s="94" t="s">
        <v>258</v>
      </c>
      <c r="C388" s="94" t="s">
        <v>9</v>
      </c>
      <c r="D388" s="94" t="s">
        <v>17</v>
      </c>
      <c r="E388" s="94"/>
      <c r="F388" s="94"/>
      <c r="G388" s="17" t="e">
        <f>G389+G394+#REF!</f>
        <v>#REF!</v>
      </c>
      <c r="H388" s="71">
        <f>H389+H394+H392+H403</f>
        <v>1376.54</v>
      </c>
      <c r="I388" s="71">
        <f>I389+I394+I392+I403</f>
        <v>446.95000000000005</v>
      </c>
      <c r="J388" s="71">
        <f>J389+J394+J392+J403+J400</f>
        <v>3248.874</v>
      </c>
      <c r="K388" s="71">
        <f>K389+K394+K392+K403+K400</f>
        <v>-1425.384</v>
      </c>
      <c r="L388" s="71">
        <f>L389+L394+L392+L403+L400</f>
        <v>1823.49</v>
      </c>
    </row>
    <row r="389" spans="1:12" ht="23.25" hidden="1">
      <c r="A389" s="137" t="s">
        <v>297</v>
      </c>
      <c r="B389" s="95" t="s">
        <v>258</v>
      </c>
      <c r="C389" s="95" t="s">
        <v>9</v>
      </c>
      <c r="D389" s="95" t="s">
        <v>17</v>
      </c>
      <c r="E389" s="95" t="s">
        <v>298</v>
      </c>
      <c r="F389" s="95"/>
      <c r="G389" s="21">
        <f aca="true" t="shared" si="34" ref="G389:L389">G390+G391</f>
        <v>2750</v>
      </c>
      <c r="H389" s="69">
        <f t="shared" si="34"/>
        <v>500</v>
      </c>
      <c r="I389" s="69">
        <f t="shared" si="34"/>
        <v>-500</v>
      </c>
      <c r="J389" s="69">
        <f t="shared" si="34"/>
        <v>0</v>
      </c>
      <c r="K389" s="69">
        <f t="shared" si="34"/>
        <v>0</v>
      </c>
      <c r="L389" s="69">
        <f t="shared" si="34"/>
        <v>0</v>
      </c>
    </row>
    <row r="390" spans="1:12" ht="15" customHeight="1" hidden="1">
      <c r="A390" s="137" t="s">
        <v>94</v>
      </c>
      <c r="B390" s="95" t="s">
        <v>258</v>
      </c>
      <c r="C390" s="95" t="s">
        <v>9</v>
      </c>
      <c r="D390" s="95" t="s">
        <v>17</v>
      </c>
      <c r="E390" s="95" t="s">
        <v>298</v>
      </c>
      <c r="F390" s="95" t="s">
        <v>93</v>
      </c>
      <c r="G390" s="22">
        <f>2377+151+222</f>
        <v>2750</v>
      </c>
      <c r="H390" s="72"/>
      <c r="I390" s="69"/>
      <c r="J390" s="69">
        <f>H390+I390</f>
        <v>0</v>
      </c>
      <c r="K390" s="69"/>
      <c r="L390" s="69">
        <f>J390+K390</f>
        <v>0</v>
      </c>
    </row>
    <row r="391" spans="1:12" ht="23.25" customHeight="1" hidden="1">
      <c r="A391" s="126" t="s">
        <v>145</v>
      </c>
      <c r="B391" s="95" t="s">
        <v>258</v>
      </c>
      <c r="C391" s="95" t="s">
        <v>9</v>
      </c>
      <c r="D391" s="95" t="s">
        <v>17</v>
      </c>
      <c r="E391" s="95" t="s">
        <v>298</v>
      </c>
      <c r="F391" s="95" t="s">
        <v>147</v>
      </c>
      <c r="G391" s="22"/>
      <c r="H391" s="72">
        <v>500</v>
      </c>
      <c r="I391" s="69">
        <v>-500</v>
      </c>
      <c r="J391" s="69">
        <f>H391+I391</f>
        <v>0</v>
      </c>
      <c r="K391" s="69"/>
      <c r="L391" s="69">
        <f>J391+K391</f>
        <v>0</v>
      </c>
    </row>
    <row r="392" spans="1:12" ht="15">
      <c r="A392" s="126" t="s">
        <v>299</v>
      </c>
      <c r="B392" s="95" t="s">
        <v>258</v>
      </c>
      <c r="C392" s="95" t="s">
        <v>9</v>
      </c>
      <c r="D392" s="95" t="s">
        <v>17</v>
      </c>
      <c r="E392" s="95" t="s">
        <v>300</v>
      </c>
      <c r="F392" s="95"/>
      <c r="G392" s="22"/>
      <c r="H392" s="72">
        <f>H393</f>
        <v>382.54</v>
      </c>
      <c r="I392" s="72">
        <f>I393</f>
        <v>840.95</v>
      </c>
      <c r="J392" s="72">
        <f>J393</f>
        <v>1223.49</v>
      </c>
      <c r="K392" s="72">
        <f>K393</f>
        <v>0</v>
      </c>
      <c r="L392" s="72">
        <f>L393</f>
        <v>1223.49</v>
      </c>
    </row>
    <row r="393" spans="1:12" ht="37.5" customHeight="1">
      <c r="A393" s="126" t="s">
        <v>551</v>
      </c>
      <c r="B393" s="95" t="s">
        <v>258</v>
      </c>
      <c r="C393" s="95" t="s">
        <v>9</v>
      </c>
      <c r="D393" s="95" t="s">
        <v>17</v>
      </c>
      <c r="E393" s="95" t="s">
        <v>300</v>
      </c>
      <c r="F393" s="95" t="s">
        <v>126</v>
      </c>
      <c r="G393" s="22"/>
      <c r="H393" s="72">
        <v>382.54</v>
      </c>
      <c r="I393" s="69">
        <v>840.95</v>
      </c>
      <c r="J393" s="69">
        <f>H393+I393</f>
        <v>1223.49</v>
      </c>
      <c r="K393" s="69"/>
      <c r="L393" s="69">
        <f>J393+K393</f>
        <v>1223.49</v>
      </c>
    </row>
    <row r="394" spans="1:12" ht="25.5" customHeight="1">
      <c r="A394" s="137" t="s">
        <v>301</v>
      </c>
      <c r="B394" s="95" t="s">
        <v>258</v>
      </c>
      <c r="C394" s="95" t="s">
        <v>9</v>
      </c>
      <c r="D394" s="95" t="s">
        <v>17</v>
      </c>
      <c r="E394" s="95" t="s">
        <v>302</v>
      </c>
      <c r="F394" s="95"/>
      <c r="G394" s="22">
        <f>G397</f>
        <v>550</v>
      </c>
      <c r="H394" s="72">
        <f>H397+H395</f>
        <v>494</v>
      </c>
      <c r="I394" s="72">
        <f>I397+I395</f>
        <v>106</v>
      </c>
      <c r="J394" s="72">
        <f>J397+J395</f>
        <v>600</v>
      </c>
      <c r="K394" s="72">
        <f>K397+K395</f>
        <v>0</v>
      </c>
      <c r="L394" s="72">
        <f>L397+L395</f>
        <v>600</v>
      </c>
    </row>
    <row r="395" spans="1:12" ht="15" customHeight="1" hidden="1">
      <c r="A395" s="126" t="s">
        <v>461</v>
      </c>
      <c r="B395" s="95" t="s">
        <v>258</v>
      </c>
      <c r="C395" s="95" t="s">
        <v>9</v>
      </c>
      <c r="D395" s="95" t="s">
        <v>17</v>
      </c>
      <c r="E395" s="95" t="s">
        <v>460</v>
      </c>
      <c r="F395" s="95"/>
      <c r="G395" s="22"/>
      <c r="H395" s="72">
        <f>H396</f>
        <v>0</v>
      </c>
      <c r="I395" s="72">
        <f>I396</f>
        <v>0</v>
      </c>
      <c r="J395" s="72">
        <f>J396</f>
        <v>0</v>
      </c>
      <c r="K395" s="72">
        <f>K396</f>
        <v>0</v>
      </c>
      <c r="L395" s="72">
        <f>L396</f>
        <v>0</v>
      </c>
    </row>
    <row r="396" spans="1:12" ht="15" customHeight="1" hidden="1">
      <c r="A396" s="126" t="s">
        <v>160</v>
      </c>
      <c r="B396" s="95" t="s">
        <v>258</v>
      </c>
      <c r="C396" s="95" t="s">
        <v>9</v>
      </c>
      <c r="D396" s="95" t="s">
        <v>17</v>
      </c>
      <c r="E396" s="95" t="s">
        <v>460</v>
      </c>
      <c r="F396" s="95" t="s">
        <v>161</v>
      </c>
      <c r="G396" s="22"/>
      <c r="H396" s="72"/>
      <c r="I396" s="69"/>
      <c r="J396" s="69">
        <f>H396+I396</f>
        <v>0</v>
      </c>
      <c r="K396" s="69"/>
      <c r="L396" s="69">
        <f>J396+K396</f>
        <v>0</v>
      </c>
    </row>
    <row r="397" spans="1:12" ht="23.25">
      <c r="A397" s="137" t="s">
        <v>303</v>
      </c>
      <c r="B397" s="95" t="s">
        <v>258</v>
      </c>
      <c r="C397" s="95" t="s">
        <v>9</v>
      </c>
      <c r="D397" s="95" t="s">
        <v>17</v>
      </c>
      <c r="E397" s="95" t="s">
        <v>304</v>
      </c>
      <c r="F397" s="95"/>
      <c r="G397" s="22">
        <f>G398</f>
        <v>550</v>
      </c>
      <c r="H397" s="69">
        <f>H398+H399</f>
        <v>494</v>
      </c>
      <c r="I397" s="69">
        <f>I398+I399</f>
        <v>106</v>
      </c>
      <c r="J397" s="69">
        <f>J398+J399</f>
        <v>600</v>
      </c>
      <c r="K397" s="69">
        <f>K398+K399</f>
        <v>0</v>
      </c>
      <c r="L397" s="69">
        <f>L398+L399</f>
        <v>600</v>
      </c>
    </row>
    <row r="398" spans="1:12" ht="31.5" customHeight="1" hidden="1">
      <c r="A398" s="126" t="s">
        <v>156</v>
      </c>
      <c r="B398" s="95" t="s">
        <v>258</v>
      </c>
      <c r="C398" s="95" t="s">
        <v>9</v>
      </c>
      <c r="D398" s="95" t="s">
        <v>17</v>
      </c>
      <c r="E398" s="95" t="s">
        <v>304</v>
      </c>
      <c r="F398" s="95" t="s">
        <v>157</v>
      </c>
      <c r="G398" s="22">
        <v>550</v>
      </c>
      <c r="H398" s="72"/>
      <c r="I398" s="69"/>
      <c r="J398" s="69">
        <f>H398+I398</f>
        <v>0</v>
      </c>
      <c r="K398" s="69"/>
      <c r="L398" s="69">
        <f>J398+K398</f>
        <v>0</v>
      </c>
    </row>
    <row r="399" spans="1:12" ht="25.5" customHeight="1">
      <c r="A399" s="126" t="s">
        <v>548</v>
      </c>
      <c r="B399" s="95" t="s">
        <v>258</v>
      </c>
      <c r="C399" s="95" t="s">
        <v>9</v>
      </c>
      <c r="D399" s="95" t="s">
        <v>17</v>
      </c>
      <c r="E399" s="95" t="s">
        <v>304</v>
      </c>
      <c r="F399" s="95" t="s">
        <v>147</v>
      </c>
      <c r="G399" s="22"/>
      <c r="H399" s="72">
        <v>494</v>
      </c>
      <c r="I399" s="69">
        <v>106</v>
      </c>
      <c r="J399" s="69">
        <f>H399+I399</f>
        <v>600</v>
      </c>
      <c r="K399" s="69"/>
      <c r="L399" s="69">
        <f>J399+K399</f>
        <v>600</v>
      </c>
    </row>
    <row r="400" spans="1:12" ht="15">
      <c r="A400" s="137" t="s">
        <v>317</v>
      </c>
      <c r="B400" s="95" t="s">
        <v>258</v>
      </c>
      <c r="C400" s="95" t="s">
        <v>9</v>
      </c>
      <c r="D400" s="95" t="s">
        <v>17</v>
      </c>
      <c r="E400" s="95" t="s">
        <v>318</v>
      </c>
      <c r="F400" s="95"/>
      <c r="G400" s="22"/>
      <c r="H400" s="72"/>
      <c r="I400" s="69"/>
      <c r="J400" s="69">
        <f aca="true" t="shared" si="35" ref="J400:L401">J401</f>
        <v>1425.384</v>
      </c>
      <c r="K400" s="69">
        <f t="shared" si="35"/>
        <v>-1425.384</v>
      </c>
      <c r="L400" s="69">
        <f t="shared" si="35"/>
        <v>0</v>
      </c>
    </row>
    <row r="401" spans="1:12" ht="22.5">
      <c r="A401" s="126" t="s">
        <v>545</v>
      </c>
      <c r="B401" s="95" t="s">
        <v>258</v>
      </c>
      <c r="C401" s="95" t="s">
        <v>9</v>
      </c>
      <c r="D401" s="95" t="s">
        <v>17</v>
      </c>
      <c r="E401" s="95" t="s">
        <v>544</v>
      </c>
      <c r="F401" s="95"/>
      <c r="G401" s="22"/>
      <c r="H401" s="72"/>
      <c r="I401" s="69"/>
      <c r="J401" s="69">
        <f t="shared" si="35"/>
        <v>1425.384</v>
      </c>
      <c r="K401" s="69">
        <f t="shared" si="35"/>
        <v>-1425.384</v>
      </c>
      <c r="L401" s="69">
        <f t="shared" si="35"/>
        <v>0</v>
      </c>
    </row>
    <row r="402" spans="1:12" ht="23.25" customHeight="1">
      <c r="A402" s="126" t="s">
        <v>548</v>
      </c>
      <c r="B402" s="95" t="s">
        <v>258</v>
      </c>
      <c r="C402" s="95" t="s">
        <v>9</v>
      </c>
      <c r="D402" s="95" t="s">
        <v>17</v>
      </c>
      <c r="E402" s="95" t="s">
        <v>544</v>
      </c>
      <c r="F402" s="95" t="s">
        <v>147</v>
      </c>
      <c r="G402" s="22"/>
      <c r="H402" s="72"/>
      <c r="I402" s="69"/>
      <c r="J402" s="69">
        <v>1425.384</v>
      </c>
      <c r="K402" s="69">
        <v>-1425.384</v>
      </c>
      <c r="L402" s="69">
        <f>J402+K402</f>
        <v>0</v>
      </c>
    </row>
    <row r="403" spans="1:12" ht="15" customHeight="1">
      <c r="A403" s="126" t="s">
        <v>312</v>
      </c>
      <c r="B403" s="95" t="s">
        <v>258</v>
      </c>
      <c r="C403" s="95" t="s">
        <v>9</v>
      </c>
      <c r="D403" s="95" t="s">
        <v>17</v>
      </c>
      <c r="E403" s="95" t="s">
        <v>252</v>
      </c>
      <c r="F403" s="95"/>
      <c r="G403" s="22"/>
      <c r="H403" s="72">
        <f>H404+H406</f>
        <v>0</v>
      </c>
      <c r="I403" s="72">
        <f>I404+I406</f>
        <v>0</v>
      </c>
      <c r="J403" s="72">
        <f>J404+J406</f>
        <v>0</v>
      </c>
      <c r="K403" s="72">
        <f>K404+K406</f>
        <v>0</v>
      </c>
      <c r="L403" s="72">
        <f>L404+L406</f>
        <v>0</v>
      </c>
    </row>
    <row r="404" spans="1:12" ht="32.25" customHeight="1" hidden="1">
      <c r="A404" s="144" t="s">
        <v>434</v>
      </c>
      <c r="B404" s="95" t="s">
        <v>258</v>
      </c>
      <c r="C404" s="95" t="s">
        <v>9</v>
      </c>
      <c r="D404" s="95" t="s">
        <v>17</v>
      </c>
      <c r="E404" s="95" t="s">
        <v>433</v>
      </c>
      <c r="F404" s="95"/>
      <c r="G404" s="22"/>
      <c r="H404" s="72">
        <f>H405</f>
        <v>0</v>
      </c>
      <c r="I404" s="72">
        <f>I405</f>
        <v>0</v>
      </c>
      <c r="J404" s="72">
        <f>J405</f>
        <v>0</v>
      </c>
      <c r="K404" s="72">
        <f>K405</f>
        <v>0</v>
      </c>
      <c r="L404" s="72">
        <f>L405</f>
        <v>0</v>
      </c>
    </row>
    <row r="405" spans="1:12" ht="24.75" customHeight="1" hidden="1">
      <c r="A405" s="126" t="s">
        <v>145</v>
      </c>
      <c r="B405" s="95" t="s">
        <v>258</v>
      </c>
      <c r="C405" s="95" t="s">
        <v>9</v>
      </c>
      <c r="D405" s="95" t="s">
        <v>17</v>
      </c>
      <c r="E405" s="95" t="s">
        <v>433</v>
      </c>
      <c r="F405" s="95" t="s">
        <v>147</v>
      </c>
      <c r="G405" s="22"/>
      <c r="H405" s="72"/>
      <c r="I405" s="69"/>
      <c r="J405" s="69">
        <f>H405+I405</f>
        <v>0</v>
      </c>
      <c r="K405" s="69"/>
      <c r="L405" s="69">
        <f>J405+K405</f>
        <v>0</v>
      </c>
    </row>
    <row r="406" spans="1:12" ht="21.75" customHeight="1">
      <c r="A406" s="227" t="s">
        <v>441</v>
      </c>
      <c r="B406" s="95" t="s">
        <v>258</v>
      </c>
      <c r="C406" s="95" t="s">
        <v>9</v>
      </c>
      <c r="D406" s="95" t="s">
        <v>17</v>
      </c>
      <c r="E406" s="95" t="s">
        <v>442</v>
      </c>
      <c r="F406" s="95"/>
      <c r="G406" s="22"/>
      <c r="H406" s="72">
        <f>H407</f>
        <v>0</v>
      </c>
      <c r="I406" s="72">
        <f>I407</f>
        <v>0</v>
      </c>
      <c r="J406" s="72">
        <f>J407</f>
        <v>0</v>
      </c>
      <c r="K406" s="72">
        <f>K407</f>
        <v>0</v>
      </c>
      <c r="L406" s="72">
        <f>L407</f>
        <v>0</v>
      </c>
    </row>
    <row r="407" spans="1:12" ht="29.25" customHeight="1">
      <c r="A407" s="126" t="s">
        <v>548</v>
      </c>
      <c r="B407" s="95" t="s">
        <v>258</v>
      </c>
      <c r="C407" s="95" t="s">
        <v>9</v>
      </c>
      <c r="D407" s="95" t="s">
        <v>17</v>
      </c>
      <c r="E407" s="95" t="s">
        <v>442</v>
      </c>
      <c r="F407" s="95" t="s">
        <v>147</v>
      </c>
      <c r="G407" s="22"/>
      <c r="H407" s="72"/>
      <c r="I407" s="69"/>
      <c r="J407" s="69">
        <v>0</v>
      </c>
      <c r="K407" s="69"/>
      <c r="L407" s="69">
        <f>J407+K407</f>
        <v>0</v>
      </c>
    </row>
    <row r="408" spans="1:12" s="40" customFormat="1" ht="14.25">
      <c r="A408" s="136" t="s">
        <v>222</v>
      </c>
      <c r="B408" s="94" t="s">
        <v>258</v>
      </c>
      <c r="C408" s="94" t="s">
        <v>11</v>
      </c>
      <c r="D408" s="94"/>
      <c r="E408" s="94"/>
      <c r="F408" s="94"/>
      <c r="G408" s="17" t="e">
        <f>G409+G421+G442+#REF!</f>
        <v>#REF!</v>
      </c>
      <c r="H408" s="66" t="e">
        <f>H409+H421+H442</f>
        <v>#REF!</v>
      </c>
      <c r="I408" s="66" t="e">
        <f>I409+I421+I442</f>
        <v>#REF!</v>
      </c>
      <c r="J408" s="66">
        <f>J409+J421+J442</f>
        <v>3816.3344</v>
      </c>
      <c r="K408" s="66">
        <f>K409+K421+K442</f>
        <v>1566.672</v>
      </c>
      <c r="L408" s="66">
        <f>L409+L421+L442</f>
        <v>5383.0064</v>
      </c>
    </row>
    <row r="409" spans="1:12" s="36" customFormat="1" ht="15" customHeight="1" hidden="1">
      <c r="A409" s="136" t="s">
        <v>38</v>
      </c>
      <c r="B409" s="94" t="s">
        <v>258</v>
      </c>
      <c r="C409" s="94" t="s">
        <v>11</v>
      </c>
      <c r="D409" s="94" t="s">
        <v>6</v>
      </c>
      <c r="E409" s="94"/>
      <c r="F409" s="94"/>
      <c r="G409" s="17">
        <f>G417</f>
        <v>-40</v>
      </c>
      <c r="H409" s="71">
        <f>H416+H413+H410</f>
        <v>0</v>
      </c>
      <c r="I409" s="71">
        <f>I416+I413+I410</f>
        <v>0</v>
      </c>
      <c r="J409" s="71">
        <f>J416+J413+J410</f>
        <v>0</v>
      </c>
      <c r="K409" s="71">
        <f>K416+K413+K410</f>
        <v>0</v>
      </c>
      <c r="L409" s="71">
        <f>L416+L413+L410</f>
        <v>0</v>
      </c>
    </row>
    <row r="410" spans="1:12" s="36" customFormat="1" ht="51" customHeight="1" hidden="1">
      <c r="A410" s="137" t="s">
        <v>435</v>
      </c>
      <c r="B410" s="95" t="s">
        <v>258</v>
      </c>
      <c r="C410" s="95" t="s">
        <v>11</v>
      </c>
      <c r="D410" s="95" t="s">
        <v>6</v>
      </c>
      <c r="E410" s="95" t="s">
        <v>445</v>
      </c>
      <c r="F410" s="95"/>
      <c r="G410" s="17"/>
      <c r="H410" s="71">
        <f>H411+H412</f>
        <v>0</v>
      </c>
      <c r="I410" s="71">
        <f>I411+I412</f>
        <v>0</v>
      </c>
      <c r="J410" s="71">
        <f>J411+J412</f>
        <v>0</v>
      </c>
      <c r="K410" s="71">
        <f>K411+K412</f>
        <v>0</v>
      </c>
      <c r="L410" s="71">
        <f>L411+L412</f>
        <v>0</v>
      </c>
    </row>
    <row r="411" spans="1:12" s="36" customFormat="1" ht="27" customHeight="1" hidden="1">
      <c r="A411" s="126" t="s">
        <v>145</v>
      </c>
      <c r="B411" s="95" t="s">
        <v>258</v>
      </c>
      <c r="C411" s="95" t="s">
        <v>11</v>
      </c>
      <c r="D411" s="95" t="s">
        <v>6</v>
      </c>
      <c r="E411" s="95" t="s">
        <v>445</v>
      </c>
      <c r="F411" s="95" t="s">
        <v>147</v>
      </c>
      <c r="G411" s="17"/>
      <c r="H411" s="72"/>
      <c r="I411" s="72"/>
      <c r="J411" s="72">
        <f>H411+I411</f>
        <v>0</v>
      </c>
      <c r="K411" s="72"/>
      <c r="L411" s="72">
        <f>J411+K411</f>
        <v>0</v>
      </c>
    </row>
    <row r="412" spans="1:12" s="36" customFormat="1" ht="26.25" customHeight="1" hidden="1">
      <c r="A412" s="126" t="s">
        <v>444</v>
      </c>
      <c r="B412" s="95" t="s">
        <v>258</v>
      </c>
      <c r="C412" s="95" t="s">
        <v>11</v>
      </c>
      <c r="D412" s="95" t="s">
        <v>6</v>
      </c>
      <c r="E412" s="95" t="s">
        <v>445</v>
      </c>
      <c r="F412" s="95" t="s">
        <v>443</v>
      </c>
      <c r="G412" s="22"/>
      <c r="H412" s="72"/>
      <c r="I412" s="72"/>
      <c r="J412" s="72">
        <f>H412+I412</f>
        <v>0</v>
      </c>
      <c r="K412" s="72"/>
      <c r="L412" s="72">
        <f>J412+K412</f>
        <v>0</v>
      </c>
    </row>
    <row r="413" spans="1:12" s="36" customFormat="1" ht="42.75" customHeight="1" hidden="1">
      <c r="A413" s="137" t="s">
        <v>436</v>
      </c>
      <c r="B413" s="95" t="s">
        <v>258</v>
      </c>
      <c r="C413" s="95" t="s">
        <v>11</v>
      </c>
      <c r="D413" s="95" t="s">
        <v>6</v>
      </c>
      <c r="E413" s="95" t="s">
        <v>412</v>
      </c>
      <c r="F413" s="95"/>
      <c r="G413" s="22"/>
      <c r="H413" s="72">
        <f>H414+H415</f>
        <v>0</v>
      </c>
      <c r="I413" s="72">
        <f>I414+I415</f>
        <v>0</v>
      </c>
      <c r="J413" s="72">
        <f>J414+J415</f>
        <v>0</v>
      </c>
      <c r="K413" s="72">
        <f>K414+K415</f>
        <v>0</v>
      </c>
      <c r="L413" s="72">
        <f>L414+L415</f>
        <v>0</v>
      </c>
    </row>
    <row r="414" spans="1:12" s="36" customFormat="1" ht="26.25" customHeight="1" hidden="1">
      <c r="A414" s="126" t="s">
        <v>145</v>
      </c>
      <c r="B414" s="95" t="s">
        <v>258</v>
      </c>
      <c r="C414" s="95" t="s">
        <v>11</v>
      </c>
      <c r="D414" s="95" t="s">
        <v>6</v>
      </c>
      <c r="E414" s="95" t="s">
        <v>412</v>
      </c>
      <c r="F414" s="95" t="s">
        <v>147</v>
      </c>
      <c r="G414" s="22"/>
      <c r="H414" s="72"/>
      <c r="I414" s="72"/>
      <c r="J414" s="72">
        <f>H414+I414</f>
        <v>0</v>
      </c>
      <c r="K414" s="72"/>
      <c r="L414" s="72">
        <f>J414+K414</f>
        <v>0</v>
      </c>
    </row>
    <row r="415" spans="1:12" s="36" customFormat="1" ht="26.25" customHeight="1" hidden="1">
      <c r="A415" s="126" t="s">
        <v>444</v>
      </c>
      <c r="B415" s="95" t="s">
        <v>258</v>
      </c>
      <c r="C415" s="95" t="s">
        <v>11</v>
      </c>
      <c r="D415" s="95" t="s">
        <v>6</v>
      </c>
      <c r="E415" s="95" t="s">
        <v>412</v>
      </c>
      <c r="F415" s="95" t="s">
        <v>443</v>
      </c>
      <c r="G415" s="22"/>
      <c r="H415" s="72"/>
      <c r="I415" s="72"/>
      <c r="J415" s="72">
        <f>H415+I415</f>
        <v>0</v>
      </c>
      <c r="K415" s="72"/>
      <c r="L415" s="72">
        <f>J415+K415</f>
        <v>0</v>
      </c>
    </row>
    <row r="416" spans="1:12" ht="15" customHeight="1" hidden="1">
      <c r="A416" s="137" t="s">
        <v>312</v>
      </c>
      <c r="B416" s="95" t="s">
        <v>258</v>
      </c>
      <c r="C416" s="95" t="s">
        <v>11</v>
      </c>
      <c r="D416" s="95" t="s">
        <v>6</v>
      </c>
      <c r="E416" s="95" t="s">
        <v>252</v>
      </c>
      <c r="F416" s="95"/>
      <c r="G416" s="22"/>
      <c r="H416" s="72">
        <f>H417+H419</f>
        <v>0</v>
      </c>
      <c r="I416" s="72">
        <f>I417+I419</f>
        <v>0</v>
      </c>
      <c r="J416" s="72">
        <f>J417+J419</f>
        <v>0</v>
      </c>
      <c r="K416" s="72">
        <f>K417+K419</f>
        <v>0</v>
      </c>
      <c r="L416" s="72">
        <f>L417+L419</f>
        <v>0</v>
      </c>
    </row>
    <row r="417" spans="1:12" ht="30" customHeight="1" hidden="1">
      <c r="A417" s="127" t="s">
        <v>305</v>
      </c>
      <c r="B417" s="95" t="s">
        <v>258</v>
      </c>
      <c r="C417" s="95" t="s">
        <v>11</v>
      </c>
      <c r="D417" s="95" t="s">
        <v>6</v>
      </c>
      <c r="E417" s="95" t="s">
        <v>306</v>
      </c>
      <c r="F417" s="95"/>
      <c r="G417" s="22">
        <f aca="true" t="shared" si="36" ref="G417:L417">G418</f>
        <v>-40</v>
      </c>
      <c r="H417" s="72">
        <f t="shared" si="36"/>
        <v>0</v>
      </c>
      <c r="I417" s="69">
        <f t="shared" si="36"/>
        <v>0</v>
      </c>
      <c r="J417" s="69">
        <f t="shared" si="36"/>
        <v>0</v>
      </c>
      <c r="K417" s="69">
        <f t="shared" si="36"/>
        <v>0</v>
      </c>
      <c r="L417" s="69">
        <f t="shared" si="36"/>
        <v>0</v>
      </c>
    </row>
    <row r="418" spans="1:12" ht="30" customHeight="1" hidden="1">
      <c r="A418" s="126" t="s">
        <v>145</v>
      </c>
      <c r="B418" s="95" t="s">
        <v>258</v>
      </c>
      <c r="C418" s="95" t="s">
        <v>11</v>
      </c>
      <c r="D418" s="95" t="s">
        <v>6</v>
      </c>
      <c r="E418" s="95" t="s">
        <v>306</v>
      </c>
      <c r="F418" s="95" t="s">
        <v>147</v>
      </c>
      <c r="G418" s="22">
        <v>-40</v>
      </c>
      <c r="H418" s="72"/>
      <c r="I418" s="69"/>
      <c r="J418" s="69">
        <f>H418+I418</f>
        <v>0</v>
      </c>
      <c r="K418" s="69"/>
      <c r="L418" s="69">
        <f>J418+K418</f>
        <v>0</v>
      </c>
    </row>
    <row r="419" spans="1:12" ht="38.25" customHeight="1" hidden="1">
      <c r="A419" s="124" t="s">
        <v>431</v>
      </c>
      <c r="B419" s="95" t="s">
        <v>258</v>
      </c>
      <c r="C419" s="95" t="s">
        <v>11</v>
      </c>
      <c r="D419" s="95" t="s">
        <v>6</v>
      </c>
      <c r="E419" s="95" t="s">
        <v>430</v>
      </c>
      <c r="F419" s="95"/>
      <c r="G419" s="22"/>
      <c r="H419" s="72">
        <f>H420</f>
        <v>0</v>
      </c>
      <c r="I419" s="72">
        <f>I420</f>
        <v>0</v>
      </c>
      <c r="J419" s="72">
        <f>J420</f>
        <v>0</v>
      </c>
      <c r="K419" s="72">
        <f>K420</f>
        <v>0</v>
      </c>
      <c r="L419" s="72">
        <f>L420</f>
        <v>0</v>
      </c>
    </row>
    <row r="420" spans="1:12" ht="30" customHeight="1" hidden="1">
      <c r="A420" s="126" t="s">
        <v>145</v>
      </c>
      <c r="B420" s="95" t="s">
        <v>258</v>
      </c>
      <c r="C420" s="95" t="s">
        <v>11</v>
      </c>
      <c r="D420" s="95" t="s">
        <v>6</v>
      </c>
      <c r="E420" s="95" t="s">
        <v>430</v>
      </c>
      <c r="F420" s="95" t="s">
        <v>147</v>
      </c>
      <c r="G420" s="22"/>
      <c r="H420" s="72"/>
      <c r="I420" s="69"/>
      <c r="J420" s="69">
        <f>H420+I420</f>
        <v>0</v>
      </c>
      <c r="K420" s="69"/>
      <c r="L420" s="69">
        <f>J420+K420</f>
        <v>0</v>
      </c>
    </row>
    <row r="421" spans="1:12" s="36" customFormat="1" ht="14.25">
      <c r="A421" s="137" t="s">
        <v>39</v>
      </c>
      <c r="B421" s="94" t="s">
        <v>258</v>
      </c>
      <c r="C421" s="94" t="s">
        <v>11</v>
      </c>
      <c r="D421" s="94" t="s">
        <v>7</v>
      </c>
      <c r="E421" s="94"/>
      <c r="F421" s="94"/>
      <c r="G421" s="17" t="e">
        <f>#REF!+G434+#REF!+#REF!</f>
        <v>#REF!</v>
      </c>
      <c r="H421" s="71" t="e">
        <f>H426+#REF!+H434+H429+H424+H422+H431</f>
        <v>#REF!</v>
      </c>
      <c r="I421" s="71" t="e">
        <f>I426+#REF!+I434+I429+I424+I422+I431</f>
        <v>#REF!</v>
      </c>
      <c r="J421" s="71">
        <f>J426+J434+J424+J422+J428</f>
        <v>3466.2744000000002</v>
      </c>
      <c r="K421" s="71">
        <f>K426+K434+K424+K422+K428</f>
        <v>1566.672</v>
      </c>
      <c r="L421" s="71">
        <f>L426+L434+L424+L422+L428</f>
        <v>5032.9464</v>
      </c>
    </row>
    <row r="422" spans="1:12" s="36" customFormat="1" ht="21" customHeight="1" hidden="1">
      <c r="A422" s="137" t="s">
        <v>293</v>
      </c>
      <c r="B422" s="95" t="s">
        <v>258</v>
      </c>
      <c r="C422" s="95" t="s">
        <v>11</v>
      </c>
      <c r="D422" s="95" t="s">
        <v>7</v>
      </c>
      <c r="E422" s="95" t="s">
        <v>470</v>
      </c>
      <c r="F422" s="95"/>
      <c r="G422" s="22"/>
      <c r="H422" s="72">
        <f>H423</f>
        <v>0</v>
      </c>
      <c r="I422" s="72">
        <f>I423</f>
        <v>0</v>
      </c>
      <c r="J422" s="72">
        <f>J423</f>
        <v>0</v>
      </c>
      <c r="K422" s="72">
        <f>K423</f>
        <v>0</v>
      </c>
      <c r="L422" s="72">
        <f>L423</f>
        <v>0</v>
      </c>
    </row>
    <row r="423" spans="1:12" s="36" customFormat="1" ht="31.5" customHeight="1" hidden="1">
      <c r="A423" s="137" t="s">
        <v>310</v>
      </c>
      <c r="B423" s="95" t="s">
        <v>258</v>
      </c>
      <c r="C423" s="95" t="s">
        <v>11</v>
      </c>
      <c r="D423" s="95" t="s">
        <v>7</v>
      </c>
      <c r="E423" s="95" t="s">
        <v>470</v>
      </c>
      <c r="F423" s="95" t="s">
        <v>311</v>
      </c>
      <c r="G423" s="22"/>
      <c r="H423" s="72"/>
      <c r="I423" s="72"/>
      <c r="J423" s="72">
        <f>H423+I423</f>
        <v>0</v>
      </c>
      <c r="K423" s="72"/>
      <c r="L423" s="72">
        <f>J423+K423</f>
        <v>0</v>
      </c>
    </row>
    <row r="424" spans="1:12" s="36" customFormat="1" ht="39" customHeight="1" hidden="1">
      <c r="A424" s="137" t="s">
        <v>293</v>
      </c>
      <c r="B424" s="95" t="s">
        <v>258</v>
      </c>
      <c r="C424" s="95" t="s">
        <v>11</v>
      </c>
      <c r="D424" s="95" t="s">
        <v>7</v>
      </c>
      <c r="E424" s="95" t="s">
        <v>455</v>
      </c>
      <c r="F424" s="95"/>
      <c r="G424" s="22"/>
      <c r="H424" s="72">
        <f>H425</f>
        <v>0</v>
      </c>
      <c r="I424" s="72">
        <f>I425</f>
        <v>0</v>
      </c>
      <c r="J424" s="72">
        <f>J425</f>
        <v>0</v>
      </c>
      <c r="K424" s="72">
        <f>K425</f>
        <v>0</v>
      </c>
      <c r="L424" s="72">
        <f>L425</f>
        <v>0</v>
      </c>
    </row>
    <row r="425" spans="1:12" ht="32.25" customHeight="1" hidden="1">
      <c r="A425" s="137" t="s">
        <v>310</v>
      </c>
      <c r="B425" s="95" t="s">
        <v>258</v>
      </c>
      <c r="C425" s="95" t="s">
        <v>11</v>
      </c>
      <c r="D425" s="95" t="s">
        <v>7</v>
      </c>
      <c r="E425" s="95" t="s">
        <v>470</v>
      </c>
      <c r="F425" s="95" t="s">
        <v>311</v>
      </c>
      <c r="G425" s="22"/>
      <c r="H425" s="72"/>
      <c r="I425" s="69"/>
      <c r="J425" s="69">
        <f>H425+I425</f>
        <v>0</v>
      </c>
      <c r="K425" s="69"/>
      <c r="L425" s="69">
        <f>J425+K425</f>
        <v>0</v>
      </c>
    </row>
    <row r="426" spans="1:12" s="36" customFormat="1" ht="24.75" customHeight="1">
      <c r="A426" s="137" t="s">
        <v>293</v>
      </c>
      <c r="B426" s="95" t="s">
        <v>258</v>
      </c>
      <c r="C426" s="95" t="s">
        <v>11</v>
      </c>
      <c r="D426" s="95" t="s">
        <v>7</v>
      </c>
      <c r="E426" s="95" t="s">
        <v>294</v>
      </c>
      <c r="F426" s="95"/>
      <c r="G426" s="22"/>
      <c r="H426" s="72" t="e">
        <f>#REF!+H427</f>
        <v>#REF!</v>
      </c>
      <c r="I426" s="72" t="e">
        <f>#REF!+I427</f>
        <v>#REF!</v>
      </c>
      <c r="J426" s="72">
        <f>J427</f>
        <v>906.2744</v>
      </c>
      <c r="K426" s="72">
        <f>K427</f>
        <v>1000</v>
      </c>
      <c r="L426" s="72">
        <f>L427</f>
        <v>1906.2744</v>
      </c>
    </row>
    <row r="427" spans="1:12" s="36" customFormat="1" ht="24.75" customHeight="1">
      <c r="A427" s="126" t="s">
        <v>516</v>
      </c>
      <c r="B427" s="95" t="s">
        <v>258</v>
      </c>
      <c r="C427" s="95" t="s">
        <v>11</v>
      </c>
      <c r="D427" s="95" t="s">
        <v>7</v>
      </c>
      <c r="E427" s="95" t="s">
        <v>294</v>
      </c>
      <c r="F427" s="95" t="s">
        <v>515</v>
      </c>
      <c r="G427" s="22"/>
      <c r="H427" s="72"/>
      <c r="I427" s="72">
        <f>1000+707.606</f>
        <v>1707.606</v>
      </c>
      <c r="J427" s="69">
        <v>906.2744</v>
      </c>
      <c r="K427" s="72">
        <f>1000</f>
        <v>1000</v>
      </c>
      <c r="L427" s="69">
        <f>J427+K427</f>
        <v>1906.2744</v>
      </c>
    </row>
    <row r="428" spans="1:12" s="36" customFormat="1" ht="24.75" customHeight="1">
      <c r="A428" s="190" t="s">
        <v>317</v>
      </c>
      <c r="B428" s="95" t="s">
        <v>258</v>
      </c>
      <c r="C428" s="95" t="s">
        <v>11</v>
      </c>
      <c r="D428" s="95" t="s">
        <v>7</v>
      </c>
      <c r="E428" s="95" t="s">
        <v>318</v>
      </c>
      <c r="F428" s="95"/>
      <c r="G428" s="22"/>
      <c r="H428" s="72"/>
      <c r="I428" s="72"/>
      <c r="J428" s="69">
        <f>J429+J431</f>
        <v>900</v>
      </c>
      <c r="K428" s="69">
        <f>K429+K431</f>
        <v>510</v>
      </c>
      <c r="L428" s="69">
        <f>L429+L431</f>
        <v>1410</v>
      </c>
    </row>
    <row r="429" spans="1:12" ht="28.5" customHeight="1">
      <c r="A429" s="126" t="s">
        <v>413</v>
      </c>
      <c r="B429" s="95" t="s">
        <v>258</v>
      </c>
      <c r="C429" s="95" t="s">
        <v>11</v>
      </c>
      <c r="D429" s="95" t="s">
        <v>7</v>
      </c>
      <c r="E429" s="95" t="s">
        <v>320</v>
      </c>
      <c r="F429" s="95"/>
      <c r="G429" s="22"/>
      <c r="H429" s="72">
        <f>H430</f>
        <v>0</v>
      </c>
      <c r="I429" s="72">
        <f>I430</f>
        <v>0</v>
      </c>
      <c r="J429" s="72">
        <f>J430</f>
        <v>900</v>
      </c>
      <c r="K429" s="72">
        <f>K430</f>
        <v>0</v>
      </c>
      <c r="L429" s="72">
        <f>L430</f>
        <v>900</v>
      </c>
    </row>
    <row r="430" spans="1:12" ht="32.25" customHeight="1">
      <c r="A430" s="126" t="s">
        <v>516</v>
      </c>
      <c r="B430" s="95" t="s">
        <v>258</v>
      </c>
      <c r="C430" s="95" t="s">
        <v>11</v>
      </c>
      <c r="D430" s="95" t="s">
        <v>7</v>
      </c>
      <c r="E430" s="95" t="s">
        <v>320</v>
      </c>
      <c r="F430" s="95" t="s">
        <v>515</v>
      </c>
      <c r="G430" s="22"/>
      <c r="H430" s="72"/>
      <c r="I430" s="69"/>
      <c r="J430" s="69">
        <v>900</v>
      </c>
      <c r="K430" s="69"/>
      <c r="L430" s="69">
        <f>J430+K430</f>
        <v>900</v>
      </c>
    </row>
    <row r="431" spans="1:12" ht="48.75">
      <c r="A431" s="191" t="s">
        <v>571</v>
      </c>
      <c r="B431" s="95" t="s">
        <v>258</v>
      </c>
      <c r="C431" s="95" t="s">
        <v>11</v>
      </c>
      <c r="D431" s="95" t="s">
        <v>7</v>
      </c>
      <c r="E431" s="95" t="s">
        <v>480</v>
      </c>
      <c r="F431" s="95"/>
      <c r="G431" s="22"/>
      <c r="H431" s="72"/>
      <c r="I431" s="72"/>
      <c r="J431" s="72">
        <f>J432+J433</f>
        <v>0</v>
      </c>
      <c r="K431" s="72">
        <f>K432+K433</f>
        <v>510</v>
      </c>
      <c r="L431" s="72">
        <f>L432+L433</f>
        <v>510</v>
      </c>
    </row>
    <row r="432" spans="1:12" ht="24.75" customHeight="1">
      <c r="A432" s="189" t="s">
        <v>537</v>
      </c>
      <c r="B432" s="95" t="s">
        <v>258</v>
      </c>
      <c r="C432" s="95" t="s">
        <v>11</v>
      </c>
      <c r="D432" s="95" t="s">
        <v>7</v>
      </c>
      <c r="E432" s="95" t="s">
        <v>480</v>
      </c>
      <c r="F432" s="95" t="s">
        <v>456</v>
      </c>
      <c r="G432" s="22"/>
      <c r="H432" s="72"/>
      <c r="I432" s="69"/>
      <c r="J432" s="69"/>
      <c r="K432" s="69">
        <v>410</v>
      </c>
      <c r="L432" s="69">
        <f>J432+K432</f>
        <v>410</v>
      </c>
    </row>
    <row r="433" spans="1:12" ht="33.75">
      <c r="A433" s="126" t="s">
        <v>548</v>
      </c>
      <c r="B433" s="95" t="s">
        <v>258</v>
      </c>
      <c r="C433" s="95" t="s">
        <v>11</v>
      </c>
      <c r="D433" s="95" t="s">
        <v>7</v>
      </c>
      <c r="E433" s="95" t="s">
        <v>480</v>
      </c>
      <c r="F433" s="95" t="s">
        <v>147</v>
      </c>
      <c r="G433" s="22"/>
      <c r="H433" s="72"/>
      <c r="I433" s="69"/>
      <c r="J433" s="69"/>
      <c r="K433" s="69">
        <f>100</f>
        <v>100</v>
      </c>
      <c r="L433" s="69">
        <f>J433+K433</f>
        <v>100</v>
      </c>
    </row>
    <row r="434" spans="1:12" ht="15" customHeight="1">
      <c r="A434" s="137" t="s">
        <v>312</v>
      </c>
      <c r="B434" s="95" t="s">
        <v>258</v>
      </c>
      <c r="C434" s="95" t="s">
        <v>11</v>
      </c>
      <c r="D434" s="95" t="s">
        <v>7</v>
      </c>
      <c r="E434" s="95" t="s">
        <v>252</v>
      </c>
      <c r="F434" s="95"/>
      <c r="G434" s="22" t="e">
        <f>G435+#REF!</f>
        <v>#REF!</v>
      </c>
      <c r="H434" s="72">
        <f>H435+H438</f>
        <v>50</v>
      </c>
      <c r="I434" s="72">
        <f>I435+I438</f>
        <v>475</v>
      </c>
      <c r="J434" s="72">
        <f>J435+J438</f>
        <v>1660</v>
      </c>
      <c r="K434" s="72">
        <f>K435+K438</f>
        <v>56.67200000000001</v>
      </c>
      <c r="L434" s="72">
        <f>L435+L438</f>
        <v>1716.672</v>
      </c>
    </row>
    <row r="435" spans="1:12" ht="27" customHeight="1">
      <c r="A435" s="130" t="s">
        <v>313</v>
      </c>
      <c r="B435" s="95" t="s">
        <v>258</v>
      </c>
      <c r="C435" s="95" t="s">
        <v>11</v>
      </c>
      <c r="D435" s="95" t="s">
        <v>7</v>
      </c>
      <c r="E435" s="95" t="s">
        <v>314</v>
      </c>
      <c r="F435" s="95"/>
      <c r="G435" s="22">
        <f>G436</f>
        <v>-1750</v>
      </c>
      <c r="H435" s="72">
        <f>H436+H437</f>
        <v>50</v>
      </c>
      <c r="I435" s="72">
        <f>I436+I437</f>
        <v>475</v>
      </c>
      <c r="J435" s="72">
        <f>J436+J437</f>
        <v>585</v>
      </c>
      <c r="K435" s="72">
        <f>K436+K437</f>
        <v>0</v>
      </c>
      <c r="L435" s="72">
        <f>L436+L437</f>
        <v>585</v>
      </c>
    </row>
    <row r="436" spans="1:12" ht="12.75" customHeight="1">
      <c r="A436" s="126" t="s">
        <v>548</v>
      </c>
      <c r="B436" s="95" t="s">
        <v>258</v>
      </c>
      <c r="C436" s="95" t="s">
        <v>11</v>
      </c>
      <c r="D436" s="95" t="s">
        <v>7</v>
      </c>
      <c r="E436" s="95" t="s">
        <v>314</v>
      </c>
      <c r="F436" s="95" t="s">
        <v>147</v>
      </c>
      <c r="G436" s="22">
        <v>-1750</v>
      </c>
      <c r="H436" s="72">
        <v>50</v>
      </c>
      <c r="I436" s="69">
        <v>475</v>
      </c>
      <c r="J436" s="69">
        <v>585</v>
      </c>
      <c r="K436" s="69"/>
      <c r="L436" s="69">
        <f>J436+K436</f>
        <v>585</v>
      </c>
    </row>
    <row r="437" spans="1:12" ht="12.75" customHeight="1" hidden="1">
      <c r="A437" s="129" t="s">
        <v>160</v>
      </c>
      <c r="B437" s="95" t="s">
        <v>258</v>
      </c>
      <c r="C437" s="95" t="s">
        <v>11</v>
      </c>
      <c r="D437" s="95" t="s">
        <v>7</v>
      </c>
      <c r="E437" s="95" t="s">
        <v>314</v>
      </c>
      <c r="F437" s="95" t="s">
        <v>161</v>
      </c>
      <c r="G437" s="22"/>
      <c r="H437" s="72"/>
      <c r="I437" s="69"/>
      <c r="J437" s="69">
        <f>H437+I437</f>
        <v>0</v>
      </c>
      <c r="K437" s="69"/>
      <c r="L437" s="69">
        <f>J437+K437</f>
        <v>0</v>
      </c>
    </row>
    <row r="438" spans="1:12" s="57" customFormat="1" ht="42" customHeight="1">
      <c r="A438" s="147" t="s">
        <v>434</v>
      </c>
      <c r="B438" s="95" t="s">
        <v>258</v>
      </c>
      <c r="C438" s="95" t="s">
        <v>11</v>
      </c>
      <c r="D438" s="95" t="s">
        <v>7</v>
      </c>
      <c r="E438" s="95" t="s">
        <v>433</v>
      </c>
      <c r="F438" s="95"/>
      <c r="G438" s="22"/>
      <c r="H438" s="72">
        <f>H440</f>
        <v>0</v>
      </c>
      <c r="I438" s="72">
        <f>I440</f>
        <v>0</v>
      </c>
      <c r="J438" s="72">
        <f>J440+J441+J439</f>
        <v>1075</v>
      </c>
      <c r="K438" s="72">
        <f>K440+K441+K439</f>
        <v>56.67200000000001</v>
      </c>
      <c r="L438" s="72">
        <f>L440+L441+L439</f>
        <v>1131.672</v>
      </c>
    </row>
    <row r="439" spans="1:12" s="57" customFormat="1" ht="24" customHeight="1">
      <c r="A439" s="126" t="s">
        <v>548</v>
      </c>
      <c r="B439" s="95" t="s">
        <v>258</v>
      </c>
      <c r="C439" s="95" t="s">
        <v>11</v>
      </c>
      <c r="D439" s="95" t="s">
        <v>7</v>
      </c>
      <c r="E439" s="95" t="s">
        <v>433</v>
      </c>
      <c r="F439" s="95" t="s">
        <v>456</v>
      </c>
      <c r="G439" s="22"/>
      <c r="H439" s="72"/>
      <c r="I439" s="69"/>
      <c r="J439" s="69"/>
      <c r="K439" s="69">
        <v>45.562</v>
      </c>
      <c r="L439" s="69">
        <f>J439+K439</f>
        <v>45.562</v>
      </c>
    </row>
    <row r="440" spans="1:12" s="57" customFormat="1" ht="22.5" customHeight="1">
      <c r="A440" s="126" t="s">
        <v>548</v>
      </c>
      <c r="B440" s="95" t="s">
        <v>258</v>
      </c>
      <c r="C440" s="95" t="s">
        <v>11</v>
      </c>
      <c r="D440" s="95" t="s">
        <v>7</v>
      </c>
      <c r="E440" s="95" t="s">
        <v>433</v>
      </c>
      <c r="F440" s="95" t="s">
        <v>147</v>
      </c>
      <c r="G440" s="22"/>
      <c r="H440" s="72"/>
      <c r="I440" s="69"/>
      <c r="J440" s="69">
        <v>1075</v>
      </c>
      <c r="K440" s="69">
        <f>-975+11.11</f>
        <v>-963.89</v>
      </c>
      <c r="L440" s="69">
        <f>J440+K440</f>
        <v>111.11000000000001</v>
      </c>
    </row>
    <row r="441" spans="1:12" s="57" customFormat="1" ht="15">
      <c r="A441" s="126" t="s">
        <v>444</v>
      </c>
      <c r="B441" s="95" t="s">
        <v>258</v>
      </c>
      <c r="C441" s="95" t="s">
        <v>11</v>
      </c>
      <c r="D441" s="95" t="s">
        <v>7</v>
      </c>
      <c r="E441" s="95" t="s">
        <v>433</v>
      </c>
      <c r="F441" s="95" t="s">
        <v>443</v>
      </c>
      <c r="G441" s="22"/>
      <c r="H441" s="72"/>
      <c r="I441" s="69"/>
      <c r="J441" s="69"/>
      <c r="K441" s="69">
        <v>975</v>
      </c>
      <c r="L441" s="69">
        <f>J441+K441</f>
        <v>975</v>
      </c>
    </row>
    <row r="442" spans="1:12" s="36" customFormat="1" ht="14.25" customHeight="1">
      <c r="A442" s="136" t="s">
        <v>315</v>
      </c>
      <c r="B442" s="94" t="s">
        <v>258</v>
      </c>
      <c r="C442" s="94" t="s">
        <v>11</v>
      </c>
      <c r="D442" s="94" t="s">
        <v>8</v>
      </c>
      <c r="E442" s="94"/>
      <c r="F442" s="94"/>
      <c r="G442" s="17" t="e">
        <f>G443</f>
        <v>#REF!</v>
      </c>
      <c r="H442" s="71">
        <f>H443+H445</f>
        <v>0</v>
      </c>
      <c r="I442" s="71">
        <f>I443+I445</f>
        <v>600</v>
      </c>
      <c r="J442" s="71">
        <f>J443+J445</f>
        <v>350.06</v>
      </c>
      <c r="K442" s="71">
        <f>K443+K445</f>
        <v>0</v>
      </c>
      <c r="L442" s="71">
        <f>L443+L445</f>
        <v>350.06</v>
      </c>
    </row>
    <row r="443" spans="1:12" ht="22.5" customHeight="1">
      <c r="A443" s="137" t="s">
        <v>519</v>
      </c>
      <c r="B443" s="95" t="s">
        <v>258</v>
      </c>
      <c r="C443" s="95" t="s">
        <v>11</v>
      </c>
      <c r="D443" s="95" t="s">
        <v>8</v>
      </c>
      <c r="E443" s="95" t="s">
        <v>520</v>
      </c>
      <c r="F443" s="95"/>
      <c r="G443" s="22" t="e">
        <f>#REF!</f>
        <v>#REF!</v>
      </c>
      <c r="H443" s="72">
        <f>H444</f>
        <v>0</v>
      </c>
      <c r="I443" s="72">
        <f>I444</f>
        <v>600</v>
      </c>
      <c r="J443" s="72">
        <f>J444</f>
        <v>350.06</v>
      </c>
      <c r="K443" s="72">
        <f>K444</f>
        <v>0</v>
      </c>
      <c r="L443" s="72">
        <f>L444</f>
        <v>350.06</v>
      </c>
    </row>
    <row r="444" spans="1:12" ht="30" customHeight="1">
      <c r="A444" s="126" t="s">
        <v>548</v>
      </c>
      <c r="B444" s="95" t="s">
        <v>258</v>
      </c>
      <c r="C444" s="95" t="s">
        <v>11</v>
      </c>
      <c r="D444" s="95" t="s">
        <v>8</v>
      </c>
      <c r="E444" s="95" t="s">
        <v>520</v>
      </c>
      <c r="F444" s="95" t="s">
        <v>147</v>
      </c>
      <c r="G444" s="22">
        <v>-786.5</v>
      </c>
      <c r="H444" s="72"/>
      <c r="I444" s="69">
        <v>600</v>
      </c>
      <c r="J444" s="69">
        <v>350.06</v>
      </c>
      <c r="K444" s="69"/>
      <c r="L444" s="69">
        <f>J444+K444</f>
        <v>350.06</v>
      </c>
    </row>
    <row r="445" spans="1:12" ht="30" customHeight="1" hidden="1">
      <c r="A445" s="137" t="s">
        <v>471</v>
      </c>
      <c r="B445" s="95" t="s">
        <v>258</v>
      </c>
      <c r="C445" s="95" t="s">
        <v>11</v>
      </c>
      <c r="D445" s="95" t="s">
        <v>8</v>
      </c>
      <c r="E445" s="95" t="s">
        <v>472</v>
      </c>
      <c r="F445" s="95"/>
      <c r="G445" s="22"/>
      <c r="H445" s="72">
        <f>H446</f>
        <v>0</v>
      </c>
      <c r="I445" s="72">
        <f>I446</f>
        <v>0</v>
      </c>
      <c r="J445" s="72">
        <f>J446</f>
        <v>0</v>
      </c>
      <c r="K445" s="72">
        <f>K446</f>
        <v>0</v>
      </c>
      <c r="L445" s="72">
        <f>L446</f>
        <v>0</v>
      </c>
    </row>
    <row r="446" spans="1:12" ht="30" customHeight="1" hidden="1">
      <c r="A446" s="126" t="s">
        <v>145</v>
      </c>
      <c r="B446" s="95" t="s">
        <v>258</v>
      </c>
      <c r="C446" s="95" t="s">
        <v>11</v>
      </c>
      <c r="D446" s="95" t="s">
        <v>8</v>
      </c>
      <c r="E446" s="95" t="s">
        <v>472</v>
      </c>
      <c r="F446" s="95" t="s">
        <v>147</v>
      </c>
      <c r="G446" s="22"/>
      <c r="H446" s="72"/>
      <c r="I446" s="69"/>
      <c r="J446" s="69">
        <f>H446+I446</f>
        <v>0</v>
      </c>
      <c r="K446" s="69"/>
      <c r="L446" s="69">
        <f>J446+K446</f>
        <v>0</v>
      </c>
    </row>
    <row r="447" spans="1:12" s="36" customFormat="1" ht="14.25">
      <c r="A447" s="140" t="s">
        <v>555</v>
      </c>
      <c r="B447" s="94" t="s">
        <v>258</v>
      </c>
      <c r="C447" s="94" t="s">
        <v>12</v>
      </c>
      <c r="D447" s="94"/>
      <c r="E447" s="94"/>
      <c r="F447" s="94"/>
      <c r="G447" s="17"/>
      <c r="H447" s="71"/>
      <c r="I447" s="66"/>
      <c r="J447" s="66">
        <f>J448</f>
        <v>100</v>
      </c>
      <c r="K447" s="66">
        <f aca="true" t="shared" si="37" ref="K447:L449">K448</f>
        <v>-100</v>
      </c>
      <c r="L447" s="66">
        <f t="shared" si="37"/>
        <v>0</v>
      </c>
    </row>
    <row r="448" spans="1:12" s="36" customFormat="1" ht="21">
      <c r="A448" s="140" t="s">
        <v>556</v>
      </c>
      <c r="B448" s="94" t="s">
        <v>258</v>
      </c>
      <c r="C448" s="94" t="s">
        <v>12</v>
      </c>
      <c r="D448" s="94" t="s">
        <v>8</v>
      </c>
      <c r="E448" s="94"/>
      <c r="F448" s="94"/>
      <c r="G448" s="17"/>
      <c r="H448" s="71"/>
      <c r="I448" s="66"/>
      <c r="J448" s="66">
        <f>J449</f>
        <v>100</v>
      </c>
      <c r="K448" s="66">
        <f t="shared" si="37"/>
        <v>-100</v>
      </c>
      <c r="L448" s="66">
        <f t="shared" si="37"/>
        <v>0</v>
      </c>
    </row>
    <row r="449" spans="1:12" ht="33.75">
      <c r="A449" s="133" t="s">
        <v>558</v>
      </c>
      <c r="B449" s="95" t="s">
        <v>258</v>
      </c>
      <c r="C449" s="95" t="s">
        <v>12</v>
      </c>
      <c r="D449" s="95" t="s">
        <v>8</v>
      </c>
      <c r="E449" s="95" t="s">
        <v>557</v>
      </c>
      <c r="F449" s="95"/>
      <c r="G449" s="22"/>
      <c r="H449" s="72"/>
      <c r="I449" s="69"/>
      <c r="J449" s="69">
        <f>J450</f>
        <v>100</v>
      </c>
      <c r="K449" s="69">
        <f t="shared" si="37"/>
        <v>-100</v>
      </c>
      <c r="L449" s="69">
        <f t="shared" si="37"/>
        <v>0</v>
      </c>
    </row>
    <row r="450" spans="1:12" ht="33.75">
      <c r="A450" s="126" t="s">
        <v>548</v>
      </c>
      <c r="B450" s="95" t="s">
        <v>258</v>
      </c>
      <c r="C450" s="95" t="s">
        <v>12</v>
      </c>
      <c r="D450" s="95" t="s">
        <v>8</v>
      </c>
      <c r="E450" s="95" t="s">
        <v>557</v>
      </c>
      <c r="F450" s="95" t="s">
        <v>147</v>
      </c>
      <c r="G450" s="22"/>
      <c r="H450" s="72"/>
      <c r="I450" s="69"/>
      <c r="J450" s="69">
        <v>100</v>
      </c>
      <c r="K450" s="69">
        <v>-100</v>
      </c>
      <c r="L450" s="69">
        <f>J450+K450</f>
        <v>0</v>
      </c>
    </row>
    <row r="451" spans="1:12" s="40" customFormat="1" ht="14.25" customHeight="1">
      <c r="A451" s="148" t="s">
        <v>41</v>
      </c>
      <c r="B451" s="94" t="s">
        <v>258</v>
      </c>
      <c r="C451" s="94" t="s">
        <v>14</v>
      </c>
      <c r="D451" s="94"/>
      <c r="E451" s="94"/>
      <c r="F451" s="94"/>
      <c r="G451" s="17" t="e">
        <f>G492+#REF!+#REF!</f>
        <v>#REF!</v>
      </c>
      <c r="H451" s="66">
        <f>H457+H492+H497+H452</f>
        <v>11023.16</v>
      </c>
      <c r="I451" s="66">
        <f>I457+I492+I497+I452</f>
        <v>4610.923999999999</v>
      </c>
      <c r="J451" s="66">
        <f>J457+J492+J497+J452</f>
        <v>32369.221</v>
      </c>
      <c r="K451" s="66">
        <f>K457+K492+K497+K452</f>
        <v>3177.8681</v>
      </c>
      <c r="L451" s="66">
        <f>L457+L492+L497+L452</f>
        <v>35547.08909999999</v>
      </c>
    </row>
    <row r="452" spans="1:12" ht="15" customHeight="1">
      <c r="A452" s="123" t="s">
        <v>43</v>
      </c>
      <c r="B452" s="94" t="s">
        <v>258</v>
      </c>
      <c r="C452" s="94" t="s">
        <v>14</v>
      </c>
      <c r="D452" s="94" t="s">
        <v>6</v>
      </c>
      <c r="E452" s="94"/>
      <c r="F452" s="94"/>
      <c r="G452" s="25"/>
      <c r="H452" s="71">
        <f aca="true" t="shared" si="38" ref="H452:L453">H453</f>
        <v>2564.73</v>
      </c>
      <c r="I452" s="66">
        <f t="shared" si="38"/>
        <v>-2564.73</v>
      </c>
      <c r="J452" s="66">
        <f t="shared" si="38"/>
        <v>191.804</v>
      </c>
      <c r="K452" s="66">
        <f t="shared" si="38"/>
        <v>0</v>
      </c>
      <c r="L452" s="66">
        <f t="shared" si="38"/>
        <v>191.804</v>
      </c>
    </row>
    <row r="453" spans="1:12" ht="27" customHeight="1">
      <c r="A453" s="124" t="s">
        <v>307</v>
      </c>
      <c r="B453" s="95" t="s">
        <v>258</v>
      </c>
      <c r="C453" s="95" t="s">
        <v>14</v>
      </c>
      <c r="D453" s="95" t="s">
        <v>6</v>
      </c>
      <c r="E453" s="95" t="s">
        <v>308</v>
      </c>
      <c r="F453" s="95"/>
      <c r="G453" s="27"/>
      <c r="H453" s="72">
        <f t="shared" si="38"/>
        <v>2564.73</v>
      </c>
      <c r="I453" s="69">
        <f t="shared" si="38"/>
        <v>-2564.73</v>
      </c>
      <c r="J453" s="69">
        <f t="shared" si="38"/>
        <v>191.804</v>
      </c>
      <c r="K453" s="69">
        <f t="shared" si="38"/>
        <v>0</v>
      </c>
      <c r="L453" s="69">
        <f t="shared" si="38"/>
        <v>191.804</v>
      </c>
    </row>
    <row r="454" spans="1:12" ht="24" customHeight="1">
      <c r="A454" s="124" t="s">
        <v>316</v>
      </c>
      <c r="B454" s="95" t="s">
        <v>258</v>
      </c>
      <c r="C454" s="95" t="s">
        <v>14</v>
      </c>
      <c r="D454" s="95" t="s">
        <v>6</v>
      </c>
      <c r="E454" s="95" t="s">
        <v>294</v>
      </c>
      <c r="F454" s="95"/>
      <c r="G454" s="27"/>
      <c r="H454" s="72">
        <f>H456+H455</f>
        <v>2564.73</v>
      </c>
      <c r="I454" s="72">
        <f>I456+I455</f>
        <v>-2564.73</v>
      </c>
      <c r="J454" s="72">
        <f>J456+J455</f>
        <v>191.804</v>
      </c>
      <c r="K454" s="72">
        <f>K456+K455</f>
        <v>0</v>
      </c>
      <c r="L454" s="72">
        <f>L456+L455</f>
        <v>191.804</v>
      </c>
    </row>
    <row r="455" spans="1:12" ht="24" customHeight="1">
      <c r="A455" s="126" t="s">
        <v>516</v>
      </c>
      <c r="B455" s="95" t="s">
        <v>258</v>
      </c>
      <c r="C455" s="95" t="s">
        <v>14</v>
      </c>
      <c r="D455" s="95" t="s">
        <v>6</v>
      </c>
      <c r="E455" s="95" t="s">
        <v>294</v>
      </c>
      <c r="F455" s="95" t="s">
        <v>515</v>
      </c>
      <c r="G455" s="27"/>
      <c r="H455" s="72"/>
      <c r="I455" s="69"/>
      <c r="J455" s="69">
        <v>191.804</v>
      </c>
      <c r="K455" s="69"/>
      <c r="L455" s="69">
        <f>J455+K455</f>
        <v>191.804</v>
      </c>
    </row>
    <row r="456" spans="1:12" ht="15" customHeight="1" hidden="1">
      <c r="A456" s="124" t="s">
        <v>295</v>
      </c>
      <c r="B456" s="95" t="s">
        <v>258</v>
      </c>
      <c r="C456" s="95" t="s">
        <v>14</v>
      </c>
      <c r="D456" s="95" t="s">
        <v>6</v>
      </c>
      <c r="E456" s="95" t="s">
        <v>294</v>
      </c>
      <c r="F456" s="95" t="s">
        <v>311</v>
      </c>
      <c r="G456" s="27"/>
      <c r="H456" s="72">
        <v>2564.73</v>
      </c>
      <c r="I456" s="69">
        <v>-2564.73</v>
      </c>
      <c r="J456" s="69">
        <f>H456+I456</f>
        <v>0</v>
      </c>
      <c r="K456" s="69"/>
      <c r="L456" s="69">
        <f>J456+K456</f>
        <v>0</v>
      </c>
    </row>
    <row r="457" spans="1:12" ht="18" customHeight="1">
      <c r="A457" s="123" t="s">
        <v>44</v>
      </c>
      <c r="B457" s="94" t="s">
        <v>258</v>
      </c>
      <c r="C457" s="94" t="s">
        <v>14</v>
      </c>
      <c r="D457" s="94" t="s">
        <v>7</v>
      </c>
      <c r="E457" s="95"/>
      <c r="F457" s="95"/>
      <c r="G457" s="27"/>
      <c r="H457" s="72">
        <f>H460+H463+H467+H478+H458</f>
        <v>8411.93</v>
      </c>
      <c r="I457" s="72">
        <f>I460+I463+I467+I478+I458</f>
        <v>7023.954</v>
      </c>
      <c r="J457" s="72">
        <f>J460+J463+J467+J478+J458+J489</f>
        <v>31885.869</v>
      </c>
      <c r="K457" s="72">
        <f>K460+K463+K467+K478+K458+K489</f>
        <v>3177.8681</v>
      </c>
      <c r="L457" s="72">
        <f>L460+L463+L467+L478+L458+L489</f>
        <v>35063.7371</v>
      </c>
    </row>
    <row r="458" spans="1:12" ht="36" customHeight="1">
      <c r="A458" s="124" t="s">
        <v>574</v>
      </c>
      <c r="B458" s="95" t="s">
        <v>258</v>
      </c>
      <c r="C458" s="95" t="s">
        <v>14</v>
      </c>
      <c r="D458" s="95" t="s">
        <v>7</v>
      </c>
      <c r="E458" s="95" t="s">
        <v>577</v>
      </c>
      <c r="F458" s="95"/>
      <c r="G458" s="27"/>
      <c r="H458" s="72">
        <f>H459</f>
        <v>0</v>
      </c>
      <c r="I458" s="72">
        <f>I459</f>
        <v>0</v>
      </c>
      <c r="J458" s="72">
        <f>J459</f>
        <v>0</v>
      </c>
      <c r="K458" s="72">
        <f>K459</f>
        <v>3000</v>
      </c>
      <c r="L458" s="72">
        <f>L459</f>
        <v>3000</v>
      </c>
    </row>
    <row r="459" spans="1:12" ht="25.5" customHeight="1">
      <c r="A459" s="124" t="s">
        <v>576</v>
      </c>
      <c r="B459" s="95" t="s">
        <v>258</v>
      </c>
      <c r="C459" s="95" t="s">
        <v>14</v>
      </c>
      <c r="D459" s="95" t="s">
        <v>7</v>
      </c>
      <c r="E459" s="95" t="s">
        <v>577</v>
      </c>
      <c r="F459" s="95" t="s">
        <v>456</v>
      </c>
      <c r="G459" s="27"/>
      <c r="H459" s="72"/>
      <c r="I459" s="72"/>
      <c r="J459" s="72">
        <f>H459+I459</f>
        <v>0</v>
      </c>
      <c r="K459" s="72">
        <v>3000</v>
      </c>
      <c r="L459" s="72">
        <f>J459+K459</f>
        <v>3000</v>
      </c>
    </row>
    <row r="460" spans="1:12" ht="25.5" customHeight="1">
      <c r="A460" s="137" t="s">
        <v>293</v>
      </c>
      <c r="B460" s="95" t="s">
        <v>258</v>
      </c>
      <c r="C460" s="95" t="s">
        <v>14</v>
      </c>
      <c r="D460" s="95" t="s">
        <v>7</v>
      </c>
      <c r="E460" s="95" t="s">
        <v>294</v>
      </c>
      <c r="F460" s="95"/>
      <c r="G460" s="27"/>
      <c r="H460" s="69">
        <f>H461+H462</f>
        <v>5111</v>
      </c>
      <c r="I460" s="69">
        <f>I461+I462</f>
        <v>-3238.6059999999998</v>
      </c>
      <c r="J460" s="69">
        <f>J461+J462</f>
        <v>1947.066</v>
      </c>
      <c r="K460" s="69">
        <f>K461+K462</f>
        <v>89</v>
      </c>
      <c r="L460" s="69">
        <f>L461+L462</f>
        <v>2036.066</v>
      </c>
    </row>
    <row r="461" spans="1:12" ht="16.5" customHeight="1">
      <c r="A461" s="126" t="s">
        <v>575</v>
      </c>
      <c r="B461" s="95" t="s">
        <v>258</v>
      </c>
      <c r="C461" s="95" t="s">
        <v>14</v>
      </c>
      <c r="D461" s="95" t="s">
        <v>7</v>
      </c>
      <c r="E461" s="95" t="s">
        <v>294</v>
      </c>
      <c r="F461" s="95" t="s">
        <v>515</v>
      </c>
      <c r="G461" s="27"/>
      <c r="H461" s="72"/>
      <c r="I461" s="69">
        <f>1800+72.394</f>
        <v>1872.394</v>
      </c>
      <c r="J461" s="69">
        <v>1947.066</v>
      </c>
      <c r="K461" s="69">
        <v>89</v>
      </c>
      <c r="L461" s="69">
        <f>J461+K461</f>
        <v>2036.066</v>
      </c>
    </row>
    <row r="462" spans="1:12" ht="34.5" hidden="1">
      <c r="A462" s="137" t="s">
        <v>310</v>
      </c>
      <c r="B462" s="95" t="s">
        <v>258</v>
      </c>
      <c r="C462" s="95" t="s">
        <v>14</v>
      </c>
      <c r="D462" s="95" t="s">
        <v>7</v>
      </c>
      <c r="E462" s="95" t="s">
        <v>294</v>
      </c>
      <c r="F462" s="95" t="s">
        <v>311</v>
      </c>
      <c r="G462" s="27"/>
      <c r="H462" s="72">
        <v>5111</v>
      </c>
      <c r="I462" s="69">
        <f>-5111</f>
        <v>-5111</v>
      </c>
      <c r="J462" s="69">
        <f>H462+I462</f>
        <v>0</v>
      </c>
      <c r="K462" s="69"/>
      <c r="L462" s="69">
        <f>J462+K462</f>
        <v>0</v>
      </c>
    </row>
    <row r="463" spans="1:12" ht="21.75" customHeight="1" hidden="1">
      <c r="A463" s="124" t="s">
        <v>122</v>
      </c>
      <c r="B463" s="95" t="s">
        <v>258</v>
      </c>
      <c r="C463" s="95" t="s">
        <v>14</v>
      </c>
      <c r="D463" s="95" t="s">
        <v>7</v>
      </c>
      <c r="E463" s="95" t="s">
        <v>123</v>
      </c>
      <c r="F463" s="95"/>
      <c r="G463" s="27"/>
      <c r="H463" s="72">
        <f>H464</f>
        <v>0</v>
      </c>
      <c r="I463" s="72">
        <f>I464</f>
        <v>0</v>
      </c>
      <c r="J463" s="72">
        <f>J464</f>
        <v>0</v>
      </c>
      <c r="K463" s="72">
        <f>K464</f>
        <v>0</v>
      </c>
      <c r="L463" s="72">
        <f>L464</f>
        <v>0</v>
      </c>
    </row>
    <row r="464" spans="1:12" ht="15" customHeight="1" hidden="1">
      <c r="A464" s="124" t="s">
        <v>98</v>
      </c>
      <c r="B464" s="95" t="s">
        <v>258</v>
      </c>
      <c r="C464" s="95" t="s">
        <v>14</v>
      </c>
      <c r="D464" s="95" t="s">
        <v>7</v>
      </c>
      <c r="E464" s="95" t="s">
        <v>124</v>
      </c>
      <c r="F464" s="95"/>
      <c r="G464" s="27"/>
      <c r="H464" s="72">
        <f>H466+H465</f>
        <v>0</v>
      </c>
      <c r="I464" s="72">
        <f>I466+I465</f>
        <v>0</v>
      </c>
      <c r="J464" s="72">
        <f>J466+J465</f>
        <v>0</v>
      </c>
      <c r="K464" s="72">
        <f>K466+K465</f>
        <v>0</v>
      </c>
      <c r="L464" s="72">
        <f>L466+L465</f>
        <v>0</v>
      </c>
    </row>
    <row r="465" spans="1:12" ht="21.75" customHeight="1" hidden="1">
      <c r="A465" s="124" t="s">
        <v>457</v>
      </c>
      <c r="B465" s="95" t="s">
        <v>258</v>
      </c>
      <c r="C465" s="95" t="s">
        <v>14</v>
      </c>
      <c r="D465" s="95" t="s">
        <v>7</v>
      </c>
      <c r="E465" s="95" t="s">
        <v>124</v>
      </c>
      <c r="F465" s="95" t="s">
        <v>456</v>
      </c>
      <c r="G465" s="27"/>
      <c r="H465" s="72"/>
      <c r="I465" s="72"/>
      <c r="J465" s="72">
        <f>H465+I465</f>
        <v>0</v>
      </c>
      <c r="K465" s="72"/>
      <c r="L465" s="72">
        <f>J465+K465</f>
        <v>0</v>
      </c>
    </row>
    <row r="466" spans="1:12" ht="31.5" customHeight="1" hidden="1">
      <c r="A466" s="126" t="s">
        <v>145</v>
      </c>
      <c r="B466" s="95" t="s">
        <v>258</v>
      </c>
      <c r="C466" s="95" t="s">
        <v>14</v>
      </c>
      <c r="D466" s="95" t="s">
        <v>7</v>
      </c>
      <c r="E466" s="95" t="s">
        <v>124</v>
      </c>
      <c r="F466" s="95" t="s">
        <v>147</v>
      </c>
      <c r="G466" s="27"/>
      <c r="H466" s="72">
        <v>0</v>
      </c>
      <c r="I466" s="69"/>
      <c r="J466" s="69">
        <f>H466+I466</f>
        <v>0</v>
      </c>
      <c r="K466" s="69"/>
      <c r="L466" s="69">
        <f>J466+K466</f>
        <v>0</v>
      </c>
    </row>
    <row r="467" spans="1:12" ht="23.25">
      <c r="A467" s="124" t="s">
        <v>468</v>
      </c>
      <c r="B467" s="95" t="s">
        <v>258</v>
      </c>
      <c r="C467" s="95" t="s">
        <v>14</v>
      </c>
      <c r="D467" s="95" t="s">
        <v>7</v>
      </c>
      <c r="E467" s="95" t="s">
        <v>139</v>
      </c>
      <c r="F467" s="95"/>
      <c r="G467" s="21"/>
      <c r="H467" s="72">
        <f>H468</f>
        <v>3300.93</v>
      </c>
      <c r="I467" s="69">
        <f>I468</f>
        <v>10262.56</v>
      </c>
      <c r="J467" s="69">
        <f>J468</f>
        <v>14448.803</v>
      </c>
      <c r="K467" s="69">
        <f>K468</f>
        <v>-563.1899999999998</v>
      </c>
      <c r="L467" s="69">
        <f>L468</f>
        <v>13885.613</v>
      </c>
    </row>
    <row r="468" spans="1:12" ht="21.75" customHeight="1">
      <c r="A468" s="124" t="s">
        <v>98</v>
      </c>
      <c r="B468" s="95" t="s">
        <v>258</v>
      </c>
      <c r="C468" s="95" t="s">
        <v>14</v>
      </c>
      <c r="D468" s="95" t="s">
        <v>7</v>
      </c>
      <c r="E468" s="95" t="s">
        <v>140</v>
      </c>
      <c r="F468" s="95"/>
      <c r="G468" s="22">
        <f>G469</f>
        <v>200</v>
      </c>
      <c r="H468" s="69">
        <f>H469+H470+H471+H474</f>
        <v>3300.93</v>
      </c>
      <c r="I468" s="69">
        <f>I469+I470+I471+I474</f>
        <v>10262.56</v>
      </c>
      <c r="J468" s="69">
        <f>J469+J470+J471+J474</f>
        <v>14448.803</v>
      </c>
      <c r="K468" s="69">
        <f>K469+K470+K471+K474</f>
        <v>-563.1899999999998</v>
      </c>
      <c r="L468" s="69">
        <f>L469+L470+L471+L474</f>
        <v>13885.613</v>
      </c>
    </row>
    <row r="469" spans="1:12" ht="22.5" customHeight="1" hidden="1">
      <c r="A469" s="124" t="s">
        <v>457</v>
      </c>
      <c r="B469" s="95" t="s">
        <v>258</v>
      </c>
      <c r="C469" s="95" t="s">
        <v>14</v>
      </c>
      <c r="D469" s="95" t="s">
        <v>7</v>
      </c>
      <c r="E469" s="95" t="s">
        <v>140</v>
      </c>
      <c r="F469" s="95" t="s">
        <v>456</v>
      </c>
      <c r="G469" s="22">
        <v>200</v>
      </c>
      <c r="H469" s="72"/>
      <c r="I469" s="69"/>
      <c r="J469" s="69">
        <f>H469+I469</f>
        <v>0</v>
      </c>
      <c r="K469" s="69"/>
      <c r="L469" s="69">
        <f>J469+K469</f>
        <v>0</v>
      </c>
    </row>
    <row r="470" spans="1:12" ht="14.25" customHeight="1" hidden="1">
      <c r="A470" s="137" t="s">
        <v>323</v>
      </c>
      <c r="B470" s="95" t="s">
        <v>258</v>
      </c>
      <c r="C470" s="95" t="s">
        <v>14</v>
      </c>
      <c r="D470" s="95" t="s">
        <v>7</v>
      </c>
      <c r="E470" s="95" t="s">
        <v>140</v>
      </c>
      <c r="F470" s="95" t="s">
        <v>324</v>
      </c>
      <c r="G470" s="22"/>
      <c r="H470" s="72">
        <v>3300.93</v>
      </c>
      <c r="I470" s="69">
        <v>-3300.93</v>
      </c>
      <c r="J470" s="69">
        <f>H470+I470</f>
        <v>0</v>
      </c>
      <c r="K470" s="69"/>
      <c r="L470" s="69">
        <f>J470+K470</f>
        <v>0</v>
      </c>
    </row>
    <row r="471" spans="1:12" ht="14.25" customHeight="1">
      <c r="A471" s="137" t="s">
        <v>513</v>
      </c>
      <c r="B471" s="95" t="s">
        <v>258</v>
      </c>
      <c r="C471" s="95" t="s">
        <v>14</v>
      </c>
      <c r="D471" s="95" t="s">
        <v>7</v>
      </c>
      <c r="E471" s="95" t="s">
        <v>510</v>
      </c>
      <c r="F471" s="95"/>
      <c r="G471" s="22"/>
      <c r="H471" s="72">
        <f>H472+H473</f>
        <v>0</v>
      </c>
      <c r="I471" s="72">
        <f>I472+I473</f>
        <v>3896.69</v>
      </c>
      <c r="J471" s="72">
        <f>J472+J473</f>
        <v>4046.69</v>
      </c>
      <c r="K471" s="72">
        <f>K472+K473</f>
        <v>251.41000000000003</v>
      </c>
      <c r="L471" s="72">
        <f>L472+L473</f>
        <v>4298.1</v>
      </c>
    </row>
    <row r="472" spans="1:12" ht="38.25" customHeight="1">
      <c r="A472" s="137" t="s">
        <v>512</v>
      </c>
      <c r="B472" s="95" t="s">
        <v>258</v>
      </c>
      <c r="C472" s="95" t="s">
        <v>14</v>
      </c>
      <c r="D472" s="95" t="s">
        <v>7</v>
      </c>
      <c r="E472" s="95" t="s">
        <v>510</v>
      </c>
      <c r="F472" s="95" t="s">
        <v>506</v>
      </c>
      <c r="G472" s="22"/>
      <c r="H472" s="72"/>
      <c r="I472" s="69">
        <v>3896.69</v>
      </c>
      <c r="J472" s="69">
        <v>4046.69</v>
      </c>
      <c r="K472" s="69">
        <f>286.41-35</f>
        <v>251.41000000000003</v>
      </c>
      <c r="L472" s="69">
        <f>J472+K472</f>
        <v>4298.1</v>
      </c>
    </row>
    <row r="473" spans="1:12" ht="16.5" customHeight="1" hidden="1">
      <c r="A473" s="137" t="s">
        <v>485</v>
      </c>
      <c r="B473" s="95" t="s">
        <v>258</v>
      </c>
      <c r="C473" s="95" t="s">
        <v>14</v>
      </c>
      <c r="D473" s="95" t="s">
        <v>7</v>
      </c>
      <c r="E473" s="95" t="s">
        <v>510</v>
      </c>
      <c r="F473" s="95" t="s">
        <v>474</v>
      </c>
      <c r="G473" s="22"/>
      <c r="H473" s="72"/>
      <c r="I473" s="69"/>
      <c r="J473" s="69">
        <f>H473+I473</f>
        <v>0</v>
      </c>
      <c r="K473" s="69"/>
      <c r="L473" s="69">
        <f>J473+K473</f>
        <v>0</v>
      </c>
    </row>
    <row r="474" spans="1:12" ht="14.25" customHeight="1">
      <c r="A474" s="137" t="s">
        <v>514</v>
      </c>
      <c r="B474" s="95" t="s">
        <v>258</v>
      </c>
      <c r="C474" s="95" t="s">
        <v>14</v>
      </c>
      <c r="D474" s="95" t="s">
        <v>7</v>
      </c>
      <c r="E474" s="95" t="s">
        <v>511</v>
      </c>
      <c r="F474" s="95"/>
      <c r="G474" s="22"/>
      <c r="H474" s="72">
        <f>H475+H476</f>
        <v>0</v>
      </c>
      <c r="I474" s="72">
        <f>I475+I476</f>
        <v>9666.8</v>
      </c>
      <c r="J474" s="72">
        <f>J475+J476+J477</f>
        <v>10402.113</v>
      </c>
      <c r="K474" s="72">
        <f>K475+K476+K477</f>
        <v>-814.5999999999999</v>
      </c>
      <c r="L474" s="72">
        <f>L475+L476+L477</f>
        <v>9587.512999999999</v>
      </c>
    </row>
    <row r="475" spans="1:12" ht="35.25" customHeight="1">
      <c r="A475" s="137" t="s">
        <v>512</v>
      </c>
      <c r="B475" s="95" t="s">
        <v>258</v>
      </c>
      <c r="C475" s="95" t="s">
        <v>14</v>
      </c>
      <c r="D475" s="95" t="s">
        <v>7</v>
      </c>
      <c r="E475" s="95" t="s">
        <v>511</v>
      </c>
      <c r="F475" s="95" t="s">
        <v>506</v>
      </c>
      <c r="G475" s="22"/>
      <c r="H475" s="72"/>
      <c r="I475" s="69">
        <v>9409.8</v>
      </c>
      <c r="J475" s="69">
        <v>9675.113</v>
      </c>
      <c r="K475" s="69">
        <v>-1454.6</v>
      </c>
      <c r="L475" s="69">
        <f>J475+K475</f>
        <v>8220.512999999999</v>
      </c>
    </row>
    <row r="476" spans="1:12" ht="14.25" customHeight="1">
      <c r="A476" s="137" t="s">
        <v>485</v>
      </c>
      <c r="B476" s="95" t="s">
        <v>258</v>
      </c>
      <c r="C476" s="95" t="s">
        <v>14</v>
      </c>
      <c r="D476" s="95" t="s">
        <v>7</v>
      </c>
      <c r="E476" s="95" t="s">
        <v>511</v>
      </c>
      <c r="F476" s="95" t="s">
        <v>474</v>
      </c>
      <c r="G476" s="22"/>
      <c r="H476" s="72"/>
      <c r="I476" s="69">
        <f>107+150</f>
        <v>257</v>
      </c>
      <c r="J476" s="69">
        <v>427</v>
      </c>
      <c r="K476" s="69">
        <f>640</f>
        <v>640</v>
      </c>
      <c r="L476" s="69">
        <f>J476+K476</f>
        <v>1067</v>
      </c>
    </row>
    <row r="477" spans="1:12" ht="32.25" customHeight="1">
      <c r="A477" s="137" t="s">
        <v>537</v>
      </c>
      <c r="B477" s="95" t="s">
        <v>258</v>
      </c>
      <c r="C477" s="95" t="s">
        <v>14</v>
      </c>
      <c r="D477" s="95" t="s">
        <v>7</v>
      </c>
      <c r="E477" s="95" t="s">
        <v>511</v>
      </c>
      <c r="F477" s="95" t="s">
        <v>456</v>
      </c>
      <c r="G477" s="22"/>
      <c r="H477" s="72"/>
      <c r="I477" s="69"/>
      <c r="J477" s="69">
        <v>300</v>
      </c>
      <c r="K477" s="69"/>
      <c r="L477" s="69">
        <f>J477+K477</f>
        <v>300</v>
      </c>
    </row>
    <row r="478" spans="1:12" ht="17.25" customHeight="1">
      <c r="A478" s="137" t="s">
        <v>317</v>
      </c>
      <c r="B478" s="95" t="s">
        <v>258</v>
      </c>
      <c r="C478" s="95" t="s">
        <v>14</v>
      </c>
      <c r="D478" s="95" t="s">
        <v>7</v>
      </c>
      <c r="E478" s="95" t="s">
        <v>318</v>
      </c>
      <c r="F478" s="95"/>
      <c r="G478" s="27"/>
      <c r="H478" s="72">
        <f>H479+H481+H485</f>
        <v>0</v>
      </c>
      <c r="I478" s="72">
        <f>I479+I481+I485</f>
        <v>0</v>
      </c>
      <c r="J478" s="72">
        <f>J479+J481+J485+J483+J487</f>
        <v>14250</v>
      </c>
      <c r="K478" s="72">
        <f>K479+K481+K485+K483+K487</f>
        <v>652.0581</v>
      </c>
      <c r="L478" s="72">
        <f>L479+L481+L485+L483+L487</f>
        <v>14902.0581</v>
      </c>
    </row>
    <row r="479" spans="1:12" ht="21.75" customHeight="1" hidden="1">
      <c r="A479" s="137" t="s">
        <v>319</v>
      </c>
      <c r="B479" s="95" t="s">
        <v>258</v>
      </c>
      <c r="C479" s="95" t="s">
        <v>14</v>
      </c>
      <c r="D479" s="95" t="s">
        <v>7</v>
      </c>
      <c r="E479" s="95" t="s">
        <v>320</v>
      </c>
      <c r="F479" s="95"/>
      <c r="G479" s="27"/>
      <c r="H479" s="69">
        <f>H480</f>
        <v>0</v>
      </c>
      <c r="I479" s="69">
        <f>I480</f>
        <v>0</v>
      </c>
      <c r="J479" s="69">
        <f>J480</f>
        <v>0</v>
      </c>
      <c r="K479" s="69">
        <f>K480</f>
        <v>0</v>
      </c>
      <c r="L479" s="69">
        <f>L480</f>
        <v>0</v>
      </c>
    </row>
    <row r="480" spans="1:12" ht="15" customHeight="1" hidden="1">
      <c r="A480" s="137" t="s">
        <v>295</v>
      </c>
      <c r="B480" s="95" t="s">
        <v>258</v>
      </c>
      <c r="C480" s="95" t="s">
        <v>14</v>
      </c>
      <c r="D480" s="95" t="s">
        <v>7</v>
      </c>
      <c r="E480" s="95" t="s">
        <v>320</v>
      </c>
      <c r="F480" s="95" t="s">
        <v>296</v>
      </c>
      <c r="G480" s="27"/>
      <c r="H480" s="72"/>
      <c r="I480" s="69"/>
      <c r="J480" s="69">
        <f>H480+I480</f>
        <v>0</v>
      </c>
      <c r="K480" s="69">
        <f>I480+J480</f>
        <v>0</v>
      </c>
      <c r="L480" s="69">
        <f>J480+K480</f>
        <v>0</v>
      </c>
    </row>
    <row r="481" spans="1:12" ht="21" customHeight="1">
      <c r="A481" s="126" t="s">
        <v>413</v>
      </c>
      <c r="B481" s="95" t="s">
        <v>258</v>
      </c>
      <c r="C481" s="95" t="s">
        <v>14</v>
      </c>
      <c r="D481" s="95" t="s">
        <v>7</v>
      </c>
      <c r="E481" s="95" t="s">
        <v>414</v>
      </c>
      <c r="F481" s="95"/>
      <c r="G481" s="27"/>
      <c r="H481" s="72">
        <f>H483+H482</f>
        <v>0</v>
      </c>
      <c r="I481" s="72">
        <f>I483+I482</f>
        <v>0</v>
      </c>
      <c r="J481" s="72">
        <f>J482</f>
        <v>8000</v>
      </c>
      <c r="K481" s="72">
        <f>K482</f>
        <v>0</v>
      </c>
      <c r="L481" s="72">
        <f>L482</f>
        <v>8000</v>
      </c>
    </row>
    <row r="482" spans="1:12" ht="36" customHeight="1">
      <c r="A482" s="126" t="s">
        <v>516</v>
      </c>
      <c r="B482" s="95" t="s">
        <v>258</v>
      </c>
      <c r="C482" s="95" t="s">
        <v>14</v>
      </c>
      <c r="D482" s="95" t="s">
        <v>7</v>
      </c>
      <c r="E482" s="95" t="s">
        <v>414</v>
      </c>
      <c r="F482" s="95" t="s">
        <v>515</v>
      </c>
      <c r="G482" s="27"/>
      <c r="H482" s="72"/>
      <c r="I482" s="72"/>
      <c r="J482" s="69">
        <v>8000</v>
      </c>
      <c r="K482" s="72"/>
      <c r="L482" s="69">
        <f>J482+K482</f>
        <v>8000</v>
      </c>
    </row>
    <row r="483" spans="1:12" ht="35.25" customHeight="1">
      <c r="A483" s="126" t="s">
        <v>428</v>
      </c>
      <c r="B483" s="95" t="s">
        <v>258</v>
      </c>
      <c r="C483" s="95" t="s">
        <v>14</v>
      </c>
      <c r="D483" s="95" t="s">
        <v>7</v>
      </c>
      <c r="E483" s="95" t="s">
        <v>429</v>
      </c>
      <c r="F483" s="95"/>
      <c r="G483" s="22"/>
      <c r="H483" s="69">
        <f>H484</f>
        <v>0</v>
      </c>
      <c r="I483" s="69">
        <f>I484</f>
        <v>0</v>
      </c>
      <c r="J483" s="69">
        <f>J484</f>
        <v>1250</v>
      </c>
      <c r="K483" s="69">
        <f>K484</f>
        <v>0</v>
      </c>
      <c r="L483" s="69">
        <f>L484</f>
        <v>1250</v>
      </c>
    </row>
    <row r="484" spans="1:12" ht="33" customHeight="1">
      <c r="A484" s="137" t="s">
        <v>537</v>
      </c>
      <c r="B484" s="95" t="s">
        <v>258</v>
      </c>
      <c r="C484" s="95" t="s">
        <v>14</v>
      </c>
      <c r="D484" s="95" t="s">
        <v>7</v>
      </c>
      <c r="E484" s="95" t="s">
        <v>429</v>
      </c>
      <c r="F484" s="95" t="s">
        <v>456</v>
      </c>
      <c r="G484" s="22"/>
      <c r="H484" s="69"/>
      <c r="I484" s="69"/>
      <c r="J484" s="69">
        <v>1250</v>
      </c>
      <c r="K484" s="69"/>
      <c r="L484" s="69">
        <f>J484+K484</f>
        <v>1250</v>
      </c>
    </row>
    <row r="485" spans="1:12" ht="30" customHeight="1">
      <c r="A485" s="137" t="s">
        <v>321</v>
      </c>
      <c r="B485" s="95" t="s">
        <v>258</v>
      </c>
      <c r="C485" s="95" t="s">
        <v>14</v>
      </c>
      <c r="D485" s="95" t="s">
        <v>7</v>
      </c>
      <c r="E485" s="95" t="s">
        <v>322</v>
      </c>
      <c r="F485" s="95"/>
      <c r="G485" s="21">
        <f>G486</f>
        <v>52.672</v>
      </c>
      <c r="H485" s="69">
        <f>H486+H488</f>
        <v>0</v>
      </c>
      <c r="I485" s="69">
        <f>I486+I488</f>
        <v>0</v>
      </c>
      <c r="J485" s="69">
        <f>J486</f>
        <v>5000</v>
      </c>
      <c r="K485" s="69">
        <f>K486</f>
        <v>0</v>
      </c>
      <c r="L485" s="69">
        <f>L486</f>
        <v>5000</v>
      </c>
    </row>
    <row r="486" spans="1:12" ht="35.25" customHeight="1">
      <c r="A486" s="126" t="s">
        <v>516</v>
      </c>
      <c r="B486" s="95" t="s">
        <v>258</v>
      </c>
      <c r="C486" s="95" t="s">
        <v>14</v>
      </c>
      <c r="D486" s="95" t="s">
        <v>7</v>
      </c>
      <c r="E486" s="95" t="s">
        <v>322</v>
      </c>
      <c r="F486" s="95" t="s">
        <v>515</v>
      </c>
      <c r="G486" s="21">
        <f>52.672</f>
        <v>52.672</v>
      </c>
      <c r="H486" s="72"/>
      <c r="I486" s="69"/>
      <c r="J486" s="69">
        <v>5000</v>
      </c>
      <c r="K486" s="69"/>
      <c r="L486" s="69">
        <f>J486+K486</f>
        <v>5000</v>
      </c>
    </row>
    <row r="487" spans="1:12" ht="33.75">
      <c r="A487" s="228" t="s">
        <v>563</v>
      </c>
      <c r="B487" s="95" t="s">
        <v>258</v>
      </c>
      <c r="C487" s="95" t="s">
        <v>14</v>
      </c>
      <c r="D487" s="95" t="s">
        <v>7</v>
      </c>
      <c r="E487" s="95" t="s">
        <v>565</v>
      </c>
      <c r="F487" s="95"/>
      <c r="G487" s="21"/>
      <c r="H487" s="72"/>
      <c r="I487" s="69"/>
      <c r="J487" s="69">
        <f>J488</f>
        <v>0</v>
      </c>
      <c r="K487" s="69">
        <f>K488</f>
        <v>652.0581</v>
      </c>
      <c r="L487" s="69">
        <f>L488</f>
        <v>652.0581</v>
      </c>
    </row>
    <row r="488" spans="1:12" ht="36.75" customHeight="1">
      <c r="A488" s="188" t="s">
        <v>551</v>
      </c>
      <c r="B488" s="95" t="s">
        <v>258</v>
      </c>
      <c r="C488" s="95" t="s">
        <v>14</v>
      </c>
      <c r="D488" s="95" t="s">
        <v>7</v>
      </c>
      <c r="E488" s="95" t="s">
        <v>565</v>
      </c>
      <c r="F488" s="95" t="s">
        <v>506</v>
      </c>
      <c r="G488" s="21"/>
      <c r="H488" s="72"/>
      <c r="I488" s="69"/>
      <c r="J488" s="69"/>
      <c r="K488" s="69">
        <v>652.0581</v>
      </c>
      <c r="L488" s="69">
        <f>J488+K488</f>
        <v>652.0581</v>
      </c>
    </row>
    <row r="489" spans="1:12" ht="15">
      <c r="A489" s="126" t="s">
        <v>312</v>
      </c>
      <c r="B489" s="95" t="s">
        <v>258</v>
      </c>
      <c r="C489" s="95" t="s">
        <v>14</v>
      </c>
      <c r="D489" s="95" t="s">
        <v>7</v>
      </c>
      <c r="E489" s="95" t="s">
        <v>252</v>
      </c>
      <c r="F489" s="95"/>
      <c r="G489" s="21"/>
      <c r="H489" s="72"/>
      <c r="I489" s="69"/>
      <c r="J489" s="69">
        <f aca="true" t="shared" si="39" ref="J489:L490">J490</f>
        <v>1240</v>
      </c>
      <c r="K489" s="69">
        <f t="shared" si="39"/>
        <v>0</v>
      </c>
      <c r="L489" s="69">
        <f t="shared" si="39"/>
        <v>1240</v>
      </c>
    </row>
    <row r="490" spans="1:12" ht="22.5">
      <c r="A490" s="127" t="s">
        <v>278</v>
      </c>
      <c r="B490" s="95" t="s">
        <v>258</v>
      </c>
      <c r="C490" s="95" t="s">
        <v>14</v>
      </c>
      <c r="D490" s="95" t="s">
        <v>7</v>
      </c>
      <c r="E490" s="95" t="s">
        <v>279</v>
      </c>
      <c r="F490" s="95"/>
      <c r="G490" s="21"/>
      <c r="H490" s="72"/>
      <c r="I490" s="69"/>
      <c r="J490" s="69">
        <f t="shared" si="39"/>
        <v>1240</v>
      </c>
      <c r="K490" s="69">
        <f t="shared" si="39"/>
        <v>0</v>
      </c>
      <c r="L490" s="69">
        <f t="shared" si="39"/>
        <v>1240</v>
      </c>
    </row>
    <row r="491" spans="1:12" ht="34.5">
      <c r="A491" s="137" t="s">
        <v>537</v>
      </c>
      <c r="B491" s="95" t="s">
        <v>258</v>
      </c>
      <c r="C491" s="95" t="s">
        <v>14</v>
      </c>
      <c r="D491" s="95" t="s">
        <v>7</v>
      </c>
      <c r="E491" s="95" t="s">
        <v>279</v>
      </c>
      <c r="F491" s="95" t="s">
        <v>456</v>
      </c>
      <c r="G491" s="21"/>
      <c r="H491" s="72"/>
      <c r="I491" s="69"/>
      <c r="J491" s="69">
        <v>1240</v>
      </c>
      <c r="K491" s="69"/>
      <c r="L491" s="69">
        <f>J491+K491</f>
        <v>1240</v>
      </c>
    </row>
    <row r="492" spans="1:12" s="36" customFormat="1" ht="14.25">
      <c r="A492" s="137" t="s">
        <v>223</v>
      </c>
      <c r="B492" s="94" t="s">
        <v>258</v>
      </c>
      <c r="C492" s="94" t="s">
        <v>14</v>
      </c>
      <c r="D492" s="94" t="s">
        <v>11</v>
      </c>
      <c r="E492" s="94"/>
      <c r="F492" s="94"/>
      <c r="G492" s="19" t="e">
        <f>G493+#REF!</f>
        <v>#REF!</v>
      </c>
      <c r="H492" s="71">
        <f aca="true" t="shared" si="40" ref="H492:L493">H493</f>
        <v>31.5</v>
      </c>
      <c r="I492" s="71">
        <f t="shared" si="40"/>
        <v>151.7</v>
      </c>
      <c r="J492" s="71">
        <f t="shared" si="40"/>
        <v>183.2</v>
      </c>
      <c r="K492" s="71">
        <f t="shared" si="40"/>
        <v>0</v>
      </c>
      <c r="L492" s="71">
        <f t="shared" si="40"/>
        <v>183.2</v>
      </c>
    </row>
    <row r="493" spans="1:12" ht="27.75" customHeight="1">
      <c r="A493" s="137" t="s">
        <v>88</v>
      </c>
      <c r="B493" s="95" t="s">
        <v>258</v>
      </c>
      <c r="C493" s="95" t="s">
        <v>14</v>
      </c>
      <c r="D493" s="95" t="s">
        <v>11</v>
      </c>
      <c r="E493" s="95" t="s">
        <v>89</v>
      </c>
      <c r="F493" s="95"/>
      <c r="G493" s="22" t="e">
        <f>G494</f>
        <v>#REF!</v>
      </c>
      <c r="H493" s="72">
        <f t="shared" si="40"/>
        <v>31.5</v>
      </c>
      <c r="I493" s="69">
        <f t="shared" si="40"/>
        <v>151.7</v>
      </c>
      <c r="J493" s="69">
        <f t="shared" si="40"/>
        <v>183.2</v>
      </c>
      <c r="K493" s="69">
        <f t="shared" si="40"/>
        <v>0</v>
      </c>
      <c r="L493" s="69">
        <f t="shared" si="40"/>
        <v>183.2</v>
      </c>
    </row>
    <row r="494" spans="1:12" ht="18" customHeight="1">
      <c r="A494" s="137" t="s">
        <v>90</v>
      </c>
      <c r="B494" s="95" t="s">
        <v>258</v>
      </c>
      <c r="C494" s="95" t="s">
        <v>14</v>
      </c>
      <c r="D494" s="95" t="s">
        <v>11</v>
      </c>
      <c r="E494" s="95" t="s">
        <v>91</v>
      </c>
      <c r="F494" s="95"/>
      <c r="G494" s="21" t="e">
        <f>#REF!+G496+G495</f>
        <v>#REF!</v>
      </c>
      <c r="H494" s="73">
        <f>H496+H495</f>
        <v>31.5</v>
      </c>
      <c r="I494" s="69">
        <f>I496+I495</f>
        <v>151.7</v>
      </c>
      <c r="J494" s="73">
        <f>J496+J495</f>
        <v>183.2</v>
      </c>
      <c r="K494" s="69">
        <f>K496+K495</f>
        <v>0</v>
      </c>
      <c r="L494" s="73">
        <f>L496+L495</f>
        <v>183.2</v>
      </c>
    </row>
    <row r="495" spans="1:12" ht="22.5" customHeight="1">
      <c r="A495" s="126" t="s">
        <v>153</v>
      </c>
      <c r="B495" s="95" t="s">
        <v>258</v>
      </c>
      <c r="C495" s="95" t="s">
        <v>14</v>
      </c>
      <c r="D495" s="95" t="s">
        <v>11</v>
      </c>
      <c r="E495" s="95" t="s">
        <v>91</v>
      </c>
      <c r="F495" s="95" t="s">
        <v>154</v>
      </c>
      <c r="G495" s="22"/>
      <c r="H495" s="72">
        <v>11.5</v>
      </c>
      <c r="I495" s="69">
        <v>10</v>
      </c>
      <c r="J495" s="69">
        <f>H495+I495</f>
        <v>21.5</v>
      </c>
      <c r="K495" s="69"/>
      <c r="L495" s="69">
        <f>J495+K495</f>
        <v>21.5</v>
      </c>
    </row>
    <row r="496" spans="1:12" ht="24" customHeight="1">
      <c r="A496" s="126" t="s">
        <v>548</v>
      </c>
      <c r="B496" s="95" t="s">
        <v>258</v>
      </c>
      <c r="C496" s="95" t="s">
        <v>14</v>
      </c>
      <c r="D496" s="95" t="s">
        <v>11</v>
      </c>
      <c r="E496" s="95" t="s">
        <v>91</v>
      </c>
      <c r="F496" s="95" t="s">
        <v>147</v>
      </c>
      <c r="G496" s="22"/>
      <c r="H496" s="72">
        <v>20</v>
      </c>
      <c r="I496" s="69">
        <v>141.7</v>
      </c>
      <c r="J496" s="69">
        <f>H496+I496</f>
        <v>161.7</v>
      </c>
      <c r="K496" s="69"/>
      <c r="L496" s="69">
        <f>J496+K496</f>
        <v>161.7</v>
      </c>
    </row>
    <row r="497" spans="1:12" s="36" customFormat="1" ht="14.25">
      <c r="A497" s="136" t="s">
        <v>46</v>
      </c>
      <c r="B497" s="94" t="s">
        <v>258</v>
      </c>
      <c r="C497" s="94" t="s">
        <v>14</v>
      </c>
      <c r="D497" s="94" t="s">
        <v>14</v>
      </c>
      <c r="E497" s="94"/>
      <c r="F497" s="94"/>
      <c r="G497" s="17"/>
      <c r="H497" s="71">
        <f>H500</f>
        <v>15</v>
      </c>
      <c r="I497" s="71">
        <f>I500</f>
        <v>0</v>
      </c>
      <c r="J497" s="71">
        <f>J500+J498</f>
        <v>108.348</v>
      </c>
      <c r="K497" s="71">
        <f>K500+K498</f>
        <v>0</v>
      </c>
      <c r="L497" s="71">
        <f>L500+L498</f>
        <v>108.348</v>
      </c>
    </row>
    <row r="498" spans="1:12" ht="23.25">
      <c r="A498" s="124" t="s">
        <v>405</v>
      </c>
      <c r="B498" s="95" t="s">
        <v>258</v>
      </c>
      <c r="C498" s="95" t="s">
        <v>14</v>
      </c>
      <c r="D498" s="95" t="s">
        <v>14</v>
      </c>
      <c r="E498" s="95" t="s">
        <v>148</v>
      </c>
      <c r="F498" s="95"/>
      <c r="G498" s="22"/>
      <c r="H498" s="72"/>
      <c r="I498" s="72"/>
      <c r="J498" s="72">
        <f>J499</f>
        <v>93.348</v>
      </c>
      <c r="K498" s="72">
        <f>K499</f>
        <v>0</v>
      </c>
      <c r="L498" s="72">
        <f>L499</f>
        <v>93.348</v>
      </c>
    </row>
    <row r="499" spans="1:12" ht="15">
      <c r="A499" s="224" t="s">
        <v>485</v>
      </c>
      <c r="B499" s="95" t="s">
        <v>258</v>
      </c>
      <c r="C499" s="95" t="s">
        <v>14</v>
      </c>
      <c r="D499" s="95" t="s">
        <v>14</v>
      </c>
      <c r="E499" s="95" t="s">
        <v>148</v>
      </c>
      <c r="F499" s="95" t="s">
        <v>474</v>
      </c>
      <c r="G499" s="22"/>
      <c r="H499" s="72"/>
      <c r="I499" s="72"/>
      <c r="J499" s="72">
        <v>93.348</v>
      </c>
      <c r="K499" s="72"/>
      <c r="L499" s="72">
        <f>J499+K499</f>
        <v>93.348</v>
      </c>
    </row>
    <row r="500" spans="1:12" s="36" customFormat="1" ht="14.25">
      <c r="A500" s="137" t="s">
        <v>312</v>
      </c>
      <c r="B500" s="95" t="s">
        <v>258</v>
      </c>
      <c r="C500" s="95" t="s">
        <v>14</v>
      </c>
      <c r="D500" s="95" t="s">
        <v>14</v>
      </c>
      <c r="E500" s="95" t="s">
        <v>252</v>
      </c>
      <c r="F500" s="94"/>
      <c r="G500" s="17"/>
      <c r="H500" s="72">
        <f aca="true" t="shared" si="41" ref="H500:L501">H501</f>
        <v>15</v>
      </c>
      <c r="I500" s="72">
        <f t="shared" si="41"/>
        <v>0</v>
      </c>
      <c r="J500" s="72">
        <f t="shared" si="41"/>
        <v>15</v>
      </c>
      <c r="K500" s="72">
        <f t="shared" si="41"/>
        <v>0</v>
      </c>
      <c r="L500" s="72">
        <f t="shared" si="41"/>
        <v>15</v>
      </c>
    </row>
    <row r="501" spans="1:12" ht="30" customHeight="1">
      <c r="A501" s="127" t="s">
        <v>325</v>
      </c>
      <c r="B501" s="95" t="s">
        <v>258</v>
      </c>
      <c r="C501" s="95" t="s">
        <v>14</v>
      </c>
      <c r="D501" s="95" t="s">
        <v>14</v>
      </c>
      <c r="E501" s="95" t="s">
        <v>326</v>
      </c>
      <c r="F501" s="95"/>
      <c r="G501" s="22"/>
      <c r="H501" s="72">
        <f t="shared" si="41"/>
        <v>15</v>
      </c>
      <c r="I501" s="72">
        <f t="shared" si="41"/>
        <v>0</v>
      </c>
      <c r="J501" s="72">
        <f t="shared" si="41"/>
        <v>15</v>
      </c>
      <c r="K501" s="72">
        <f t="shared" si="41"/>
        <v>0</v>
      </c>
      <c r="L501" s="72">
        <f t="shared" si="41"/>
        <v>15</v>
      </c>
    </row>
    <row r="502" spans="1:12" ht="20.25" customHeight="1">
      <c r="A502" s="126" t="s">
        <v>548</v>
      </c>
      <c r="B502" s="95" t="s">
        <v>258</v>
      </c>
      <c r="C502" s="95" t="s">
        <v>14</v>
      </c>
      <c r="D502" s="95" t="s">
        <v>14</v>
      </c>
      <c r="E502" s="95" t="s">
        <v>326</v>
      </c>
      <c r="F502" s="95" t="s">
        <v>147</v>
      </c>
      <c r="G502" s="22"/>
      <c r="H502" s="72">
        <v>15</v>
      </c>
      <c r="I502" s="69"/>
      <c r="J502" s="69">
        <f>H502+I502</f>
        <v>15</v>
      </c>
      <c r="K502" s="69"/>
      <c r="L502" s="69">
        <f>J502+K502</f>
        <v>15</v>
      </c>
    </row>
    <row r="503" spans="1:12" s="40" customFormat="1" ht="22.5" customHeight="1">
      <c r="A503" s="136" t="s">
        <v>421</v>
      </c>
      <c r="B503" s="94" t="s">
        <v>258</v>
      </c>
      <c r="C503" s="94" t="s">
        <v>34</v>
      </c>
      <c r="D503" s="94"/>
      <c r="E503" s="94"/>
      <c r="F503" s="94"/>
      <c r="G503" s="17" t="e">
        <f>#REF!+#REF!</f>
        <v>#REF!</v>
      </c>
      <c r="H503" s="71">
        <f>H504+H508</f>
        <v>2210.41</v>
      </c>
      <c r="I503" s="71">
        <f>I504+I508</f>
        <v>-2013.61</v>
      </c>
      <c r="J503" s="71">
        <f>J504+J508</f>
        <v>196.8</v>
      </c>
      <c r="K503" s="71">
        <f>K504+K508</f>
        <v>-116.8</v>
      </c>
      <c r="L503" s="71">
        <f>L504+L508</f>
        <v>80.00000000000001</v>
      </c>
    </row>
    <row r="504" spans="1:12" s="40" customFormat="1" ht="15" customHeight="1" hidden="1">
      <c r="A504" s="137" t="s">
        <v>50</v>
      </c>
      <c r="B504" s="94" t="s">
        <v>258</v>
      </c>
      <c r="C504" s="94" t="s">
        <v>34</v>
      </c>
      <c r="D504" s="94" t="s">
        <v>6</v>
      </c>
      <c r="E504" s="94"/>
      <c r="F504" s="94"/>
      <c r="G504" s="17"/>
      <c r="H504" s="71">
        <f>H505</f>
        <v>2060.41</v>
      </c>
      <c r="I504" s="71">
        <f>I505</f>
        <v>-2060.41</v>
      </c>
      <c r="J504" s="71">
        <f>J505</f>
        <v>0</v>
      </c>
      <c r="K504" s="71">
        <f>K505</f>
        <v>0</v>
      </c>
      <c r="L504" s="71">
        <f>L505</f>
        <v>0</v>
      </c>
    </row>
    <row r="505" spans="1:12" s="40" customFormat="1" ht="23.25" customHeight="1" hidden="1">
      <c r="A505" s="137" t="s">
        <v>293</v>
      </c>
      <c r="B505" s="95" t="s">
        <v>258</v>
      </c>
      <c r="C505" s="95" t="s">
        <v>34</v>
      </c>
      <c r="D505" s="95" t="s">
        <v>6</v>
      </c>
      <c r="E505" s="95" t="s">
        <v>309</v>
      </c>
      <c r="F505" s="95"/>
      <c r="G505" s="22"/>
      <c r="H505" s="72">
        <f>H507+H506</f>
        <v>2060.41</v>
      </c>
      <c r="I505" s="72">
        <f>I507+I506</f>
        <v>-2060.41</v>
      </c>
      <c r="J505" s="72">
        <f>J507+J506</f>
        <v>0</v>
      </c>
      <c r="K505" s="72">
        <f>K507+K506</f>
        <v>0</v>
      </c>
      <c r="L505" s="72">
        <f>L507+L506</f>
        <v>0</v>
      </c>
    </row>
    <row r="506" spans="1:12" s="40" customFormat="1" ht="23.25" customHeight="1" hidden="1">
      <c r="A506" s="126" t="s">
        <v>516</v>
      </c>
      <c r="B506" s="95" t="s">
        <v>258</v>
      </c>
      <c r="C506" s="95" t="s">
        <v>34</v>
      </c>
      <c r="D506" s="95" t="s">
        <v>6</v>
      </c>
      <c r="E506" s="95" t="s">
        <v>294</v>
      </c>
      <c r="F506" s="95" t="s">
        <v>515</v>
      </c>
      <c r="G506" s="22"/>
      <c r="H506" s="72"/>
      <c r="I506" s="72"/>
      <c r="J506" s="72">
        <f>H506+I506</f>
        <v>0</v>
      </c>
      <c r="K506" s="72"/>
      <c r="L506" s="72">
        <f>J506+K506</f>
        <v>0</v>
      </c>
    </row>
    <row r="507" spans="1:12" s="40" customFormat="1" ht="37.5" customHeight="1" hidden="1">
      <c r="A507" s="137" t="s">
        <v>310</v>
      </c>
      <c r="B507" s="95" t="s">
        <v>258</v>
      </c>
      <c r="C507" s="95" t="s">
        <v>34</v>
      </c>
      <c r="D507" s="95" t="s">
        <v>6</v>
      </c>
      <c r="E507" s="95" t="s">
        <v>294</v>
      </c>
      <c r="F507" s="95" t="s">
        <v>311</v>
      </c>
      <c r="G507" s="22"/>
      <c r="H507" s="72">
        <v>2060.41</v>
      </c>
      <c r="I507" s="69">
        <v>-2060.41</v>
      </c>
      <c r="J507" s="69">
        <f>H507+I507</f>
        <v>0</v>
      </c>
      <c r="K507" s="69"/>
      <c r="L507" s="69">
        <f>J507+K507</f>
        <v>0</v>
      </c>
    </row>
    <row r="508" spans="1:12" ht="31.5" customHeight="1">
      <c r="A508" s="136" t="s">
        <v>331</v>
      </c>
      <c r="B508" s="94" t="s">
        <v>258</v>
      </c>
      <c r="C508" s="94" t="s">
        <v>34</v>
      </c>
      <c r="D508" s="94" t="s">
        <v>9</v>
      </c>
      <c r="E508" s="94"/>
      <c r="F508" s="94"/>
      <c r="G508" s="17">
        <f aca="true" t="shared" si="42" ref="G508:L510">G509</f>
        <v>50</v>
      </c>
      <c r="H508" s="71">
        <f t="shared" si="42"/>
        <v>150</v>
      </c>
      <c r="I508" s="66">
        <f t="shared" si="42"/>
        <v>46.8</v>
      </c>
      <c r="J508" s="66">
        <f t="shared" si="42"/>
        <v>196.8</v>
      </c>
      <c r="K508" s="66">
        <f t="shared" si="42"/>
        <v>-116.8</v>
      </c>
      <c r="L508" s="66">
        <f t="shared" si="42"/>
        <v>80.00000000000001</v>
      </c>
    </row>
    <row r="509" spans="1:12" ht="30.75" customHeight="1">
      <c r="A509" s="137" t="s">
        <v>332</v>
      </c>
      <c r="B509" s="95" t="s">
        <v>258</v>
      </c>
      <c r="C509" s="95" t="s">
        <v>34</v>
      </c>
      <c r="D509" s="95" t="s">
        <v>9</v>
      </c>
      <c r="E509" s="95" t="s">
        <v>104</v>
      </c>
      <c r="F509" s="95"/>
      <c r="G509" s="22">
        <f t="shared" si="42"/>
        <v>50</v>
      </c>
      <c r="H509" s="72">
        <f t="shared" si="42"/>
        <v>150</v>
      </c>
      <c r="I509" s="69">
        <f t="shared" si="42"/>
        <v>46.8</v>
      </c>
      <c r="J509" s="69">
        <f t="shared" si="42"/>
        <v>196.8</v>
      </c>
      <c r="K509" s="69">
        <f t="shared" si="42"/>
        <v>-116.8</v>
      </c>
      <c r="L509" s="69">
        <f t="shared" si="42"/>
        <v>80.00000000000001</v>
      </c>
    </row>
    <row r="510" spans="1:12" ht="23.25">
      <c r="A510" s="137" t="s">
        <v>98</v>
      </c>
      <c r="B510" s="95" t="s">
        <v>258</v>
      </c>
      <c r="C510" s="95" t="s">
        <v>34</v>
      </c>
      <c r="D510" s="95" t="s">
        <v>9</v>
      </c>
      <c r="E510" s="95" t="s">
        <v>105</v>
      </c>
      <c r="F510" s="95"/>
      <c r="G510" s="22">
        <f t="shared" si="42"/>
        <v>50</v>
      </c>
      <c r="H510" s="69">
        <f>H511+H512</f>
        <v>150</v>
      </c>
      <c r="I510" s="69">
        <f>I511+I512</f>
        <v>46.8</v>
      </c>
      <c r="J510" s="69">
        <f>J511+J512</f>
        <v>196.8</v>
      </c>
      <c r="K510" s="69">
        <f>K511+K512</f>
        <v>-116.8</v>
      </c>
      <c r="L510" s="69">
        <f>L511+L512</f>
        <v>80.00000000000001</v>
      </c>
    </row>
    <row r="511" spans="1:12" ht="34.5" hidden="1">
      <c r="A511" s="149" t="s">
        <v>156</v>
      </c>
      <c r="B511" s="95" t="s">
        <v>258</v>
      </c>
      <c r="C511" s="95" t="s">
        <v>34</v>
      </c>
      <c r="D511" s="95" t="s">
        <v>9</v>
      </c>
      <c r="E511" s="95" t="s">
        <v>105</v>
      </c>
      <c r="F511" s="95" t="s">
        <v>157</v>
      </c>
      <c r="G511" s="22">
        <v>50</v>
      </c>
      <c r="H511" s="72">
        <v>50</v>
      </c>
      <c r="I511" s="69">
        <v>-50</v>
      </c>
      <c r="J511" s="69">
        <f>H511+I511</f>
        <v>0</v>
      </c>
      <c r="K511" s="69"/>
      <c r="L511" s="69">
        <f>J511+K511</f>
        <v>0</v>
      </c>
    </row>
    <row r="512" spans="1:12" ht="22.5" customHeight="1">
      <c r="A512" s="126" t="s">
        <v>548</v>
      </c>
      <c r="B512" s="95" t="s">
        <v>258</v>
      </c>
      <c r="C512" s="95" t="s">
        <v>34</v>
      </c>
      <c r="D512" s="95" t="s">
        <v>9</v>
      </c>
      <c r="E512" s="95" t="s">
        <v>105</v>
      </c>
      <c r="F512" s="95" t="s">
        <v>147</v>
      </c>
      <c r="G512" s="22"/>
      <c r="H512" s="72">
        <v>100</v>
      </c>
      <c r="I512" s="69">
        <v>96.8</v>
      </c>
      <c r="J512" s="69">
        <f>H512+I512</f>
        <v>196.8</v>
      </c>
      <c r="K512" s="69">
        <v>-116.8</v>
      </c>
      <c r="L512" s="69">
        <f>J512+K512</f>
        <v>80.00000000000001</v>
      </c>
    </row>
    <row r="513" spans="1:12" ht="17.25" customHeight="1">
      <c r="A513" s="140" t="s">
        <v>95</v>
      </c>
      <c r="B513" s="94" t="s">
        <v>258</v>
      </c>
      <c r="C513" s="94" t="s">
        <v>28</v>
      </c>
      <c r="D513" s="94"/>
      <c r="E513" s="94"/>
      <c r="F513" s="94"/>
      <c r="G513" s="17"/>
      <c r="H513" s="71">
        <f>H518+H514</f>
        <v>0</v>
      </c>
      <c r="I513" s="71">
        <f>I518+I514</f>
        <v>500</v>
      </c>
      <c r="J513" s="71">
        <f>J518+J514</f>
        <v>500</v>
      </c>
      <c r="K513" s="71">
        <f>K518+K514</f>
        <v>0</v>
      </c>
      <c r="L513" s="71">
        <f>L518+L514</f>
        <v>500</v>
      </c>
    </row>
    <row r="514" spans="1:12" ht="17.25" customHeight="1" hidden="1">
      <c r="A514" s="126" t="s">
        <v>56</v>
      </c>
      <c r="B514" s="95" t="s">
        <v>258</v>
      </c>
      <c r="C514" s="95" t="s">
        <v>28</v>
      </c>
      <c r="D514" s="95" t="s">
        <v>7</v>
      </c>
      <c r="E514" s="95"/>
      <c r="F514" s="95"/>
      <c r="G514" s="22"/>
      <c r="H514" s="72">
        <f>H515</f>
        <v>0</v>
      </c>
      <c r="I514" s="72">
        <f>I515</f>
        <v>0</v>
      </c>
      <c r="J514" s="72">
        <f>J515</f>
        <v>0</v>
      </c>
      <c r="K514" s="72">
        <f>K515</f>
        <v>0</v>
      </c>
      <c r="L514" s="72">
        <f>L515</f>
        <v>0</v>
      </c>
    </row>
    <row r="515" spans="1:12" ht="21.75" customHeight="1" hidden="1">
      <c r="A515" s="137" t="s">
        <v>293</v>
      </c>
      <c r="B515" s="95" t="s">
        <v>258</v>
      </c>
      <c r="C515" s="95" t="s">
        <v>28</v>
      </c>
      <c r="D515" s="95" t="s">
        <v>7</v>
      </c>
      <c r="E515" s="95" t="s">
        <v>294</v>
      </c>
      <c r="F515" s="95"/>
      <c r="G515" s="22"/>
      <c r="H515" s="72">
        <f>H517+H516</f>
        <v>0</v>
      </c>
      <c r="I515" s="72">
        <f>I517+I516</f>
        <v>0</v>
      </c>
      <c r="J515" s="72">
        <f>J517+J516</f>
        <v>0</v>
      </c>
      <c r="K515" s="72">
        <f>K517+K516</f>
        <v>0</v>
      </c>
      <c r="L515" s="72">
        <f>L517+L516</f>
        <v>0</v>
      </c>
    </row>
    <row r="516" spans="1:12" ht="21.75" customHeight="1" hidden="1">
      <c r="A516" s="126" t="s">
        <v>516</v>
      </c>
      <c r="B516" s="95" t="s">
        <v>258</v>
      </c>
      <c r="C516" s="95" t="s">
        <v>28</v>
      </c>
      <c r="D516" s="95" t="s">
        <v>7</v>
      </c>
      <c r="E516" s="95" t="s">
        <v>294</v>
      </c>
      <c r="F516" s="95" t="s">
        <v>515</v>
      </c>
      <c r="G516" s="22"/>
      <c r="H516" s="72"/>
      <c r="I516" s="72"/>
      <c r="J516" s="72">
        <f>H516+I516</f>
        <v>0</v>
      </c>
      <c r="K516" s="72"/>
      <c r="L516" s="72">
        <f>J516+K516</f>
        <v>0</v>
      </c>
    </row>
    <row r="517" spans="1:12" ht="17.25" customHeight="1" hidden="1">
      <c r="A517" s="137" t="s">
        <v>310</v>
      </c>
      <c r="B517" s="95" t="s">
        <v>258</v>
      </c>
      <c r="C517" s="95" t="s">
        <v>28</v>
      </c>
      <c r="D517" s="95" t="s">
        <v>7</v>
      </c>
      <c r="E517" s="95" t="s">
        <v>294</v>
      </c>
      <c r="F517" s="95" t="s">
        <v>311</v>
      </c>
      <c r="G517" s="22"/>
      <c r="H517" s="72"/>
      <c r="I517" s="72"/>
      <c r="J517" s="72">
        <f>H517+I517</f>
        <v>0</v>
      </c>
      <c r="K517" s="72"/>
      <c r="L517" s="72">
        <f>J517+K517</f>
        <v>0</v>
      </c>
    </row>
    <row r="518" spans="1:12" ht="17.25" customHeight="1">
      <c r="A518" s="123" t="s">
        <v>59</v>
      </c>
      <c r="B518" s="95" t="s">
        <v>258</v>
      </c>
      <c r="C518" s="95" t="s">
        <v>28</v>
      </c>
      <c r="D518" s="95" t="s">
        <v>28</v>
      </c>
      <c r="E518" s="95"/>
      <c r="F518" s="95"/>
      <c r="G518" s="22"/>
      <c r="H518" s="72">
        <f aca="true" t="shared" si="43" ref="H518:L519">H519</f>
        <v>0</v>
      </c>
      <c r="I518" s="72">
        <f t="shared" si="43"/>
        <v>500</v>
      </c>
      <c r="J518" s="72">
        <f t="shared" si="43"/>
        <v>500</v>
      </c>
      <c r="K518" s="72">
        <f t="shared" si="43"/>
        <v>0</v>
      </c>
      <c r="L518" s="72">
        <f t="shared" si="43"/>
        <v>500</v>
      </c>
    </row>
    <row r="519" spans="1:12" ht="17.25" customHeight="1">
      <c r="A519" s="137" t="s">
        <v>312</v>
      </c>
      <c r="B519" s="95" t="s">
        <v>258</v>
      </c>
      <c r="C519" s="95" t="s">
        <v>28</v>
      </c>
      <c r="D519" s="95" t="s">
        <v>28</v>
      </c>
      <c r="E519" s="95" t="s">
        <v>252</v>
      </c>
      <c r="F519" s="95"/>
      <c r="G519" s="22"/>
      <c r="H519" s="72">
        <f t="shared" si="43"/>
        <v>0</v>
      </c>
      <c r="I519" s="72">
        <f t="shared" si="43"/>
        <v>500</v>
      </c>
      <c r="J519" s="72">
        <f t="shared" si="43"/>
        <v>500</v>
      </c>
      <c r="K519" s="72">
        <f t="shared" si="43"/>
        <v>0</v>
      </c>
      <c r="L519" s="72">
        <f t="shared" si="43"/>
        <v>500</v>
      </c>
    </row>
    <row r="520" spans="1:12" ht="42" customHeight="1">
      <c r="A520" s="126" t="s">
        <v>426</v>
      </c>
      <c r="B520" s="95" t="s">
        <v>258</v>
      </c>
      <c r="C520" s="95" t="s">
        <v>28</v>
      </c>
      <c r="D520" s="95" t="s">
        <v>28</v>
      </c>
      <c r="E520" s="95" t="s">
        <v>427</v>
      </c>
      <c r="F520" s="95"/>
      <c r="G520" s="22"/>
      <c r="H520" s="72">
        <f>H521+H522</f>
        <v>0</v>
      </c>
      <c r="I520" s="72">
        <f>I521+I522</f>
        <v>500</v>
      </c>
      <c r="J520" s="72">
        <f>J521+J522</f>
        <v>500</v>
      </c>
      <c r="K520" s="72">
        <f>K521+K522</f>
        <v>0</v>
      </c>
      <c r="L520" s="72">
        <f>L521+L522</f>
        <v>500</v>
      </c>
    </row>
    <row r="521" spans="1:12" ht="23.25" customHeight="1">
      <c r="A521" s="126" t="s">
        <v>548</v>
      </c>
      <c r="B521" s="95" t="s">
        <v>258</v>
      </c>
      <c r="C521" s="95" t="s">
        <v>28</v>
      </c>
      <c r="D521" s="95" t="s">
        <v>28</v>
      </c>
      <c r="E521" s="95" t="s">
        <v>427</v>
      </c>
      <c r="F521" s="95" t="s">
        <v>147</v>
      </c>
      <c r="G521" s="22"/>
      <c r="H521" s="72"/>
      <c r="I521" s="69">
        <v>500</v>
      </c>
      <c r="J521" s="69">
        <f>H521+I521</f>
        <v>500</v>
      </c>
      <c r="K521" s="69"/>
      <c r="L521" s="69">
        <f>J521+K521</f>
        <v>500</v>
      </c>
    </row>
    <row r="522" spans="1:12" ht="38.25" customHeight="1" hidden="1">
      <c r="A522" s="126" t="s">
        <v>459</v>
      </c>
      <c r="B522" s="95" t="s">
        <v>258</v>
      </c>
      <c r="C522" s="95" t="s">
        <v>28</v>
      </c>
      <c r="D522" s="95" t="s">
        <v>28</v>
      </c>
      <c r="E522" s="95" t="s">
        <v>427</v>
      </c>
      <c r="F522" s="95" t="s">
        <v>458</v>
      </c>
      <c r="G522" s="22"/>
      <c r="H522" s="72"/>
      <c r="I522" s="69"/>
      <c r="J522" s="69">
        <f>H522+I522</f>
        <v>0</v>
      </c>
      <c r="K522" s="69"/>
      <c r="L522" s="69">
        <f>J522+K522</f>
        <v>0</v>
      </c>
    </row>
    <row r="523" spans="1:12" s="41" customFormat="1" ht="17.25" customHeight="1">
      <c r="A523" s="139" t="s">
        <v>62</v>
      </c>
      <c r="B523" s="94" t="s">
        <v>258</v>
      </c>
      <c r="C523" s="94" t="s">
        <v>61</v>
      </c>
      <c r="D523" s="94" t="s">
        <v>206</v>
      </c>
      <c r="E523" s="94"/>
      <c r="F523" s="94"/>
      <c r="G523" s="17"/>
      <c r="H523" s="66">
        <f>H527+H563+H533+H524</f>
        <v>1668.17</v>
      </c>
      <c r="I523" s="66">
        <f>I527+I563+I533+I524</f>
        <v>1787.33</v>
      </c>
      <c r="J523" s="66">
        <f>J527+J563+J533+J524+J550</f>
        <v>12373.617</v>
      </c>
      <c r="K523" s="66">
        <f>K527+K563+K533+K524+K550</f>
        <v>-6841.79</v>
      </c>
      <c r="L523" s="66">
        <f>L527+L563+L533+L524+L550</f>
        <v>5531.827</v>
      </c>
    </row>
    <row r="524" spans="1:12" s="41" customFormat="1" ht="17.25" customHeight="1">
      <c r="A524" s="137" t="s">
        <v>64</v>
      </c>
      <c r="B524" s="94" t="s">
        <v>258</v>
      </c>
      <c r="C524" s="94" t="s">
        <v>61</v>
      </c>
      <c r="D524" s="94" t="s">
        <v>6</v>
      </c>
      <c r="E524" s="94"/>
      <c r="F524" s="94"/>
      <c r="G524" s="17"/>
      <c r="H524" s="66">
        <f aca="true" t="shared" si="44" ref="H524:L525">H525</f>
        <v>45</v>
      </c>
      <c r="I524" s="66">
        <f t="shared" si="44"/>
        <v>78</v>
      </c>
      <c r="J524" s="66">
        <f t="shared" si="44"/>
        <v>123</v>
      </c>
      <c r="K524" s="66">
        <f t="shared" si="44"/>
        <v>0</v>
      </c>
      <c r="L524" s="66">
        <f t="shared" si="44"/>
        <v>123</v>
      </c>
    </row>
    <row r="525" spans="1:12" s="41" customFormat="1" ht="26.25" customHeight="1">
      <c r="A525" s="137" t="s">
        <v>242</v>
      </c>
      <c r="B525" s="95" t="s">
        <v>258</v>
      </c>
      <c r="C525" s="95" t="s">
        <v>61</v>
      </c>
      <c r="D525" s="95" t="s">
        <v>6</v>
      </c>
      <c r="E525" s="95" t="s">
        <v>243</v>
      </c>
      <c r="F525" s="95"/>
      <c r="G525" s="17"/>
      <c r="H525" s="69">
        <f t="shared" si="44"/>
        <v>45</v>
      </c>
      <c r="I525" s="69">
        <f t="shared" si="44"/>
        <v>78</v>
      </c>
      <c r="J525" s="69">
        <f t="shared" si="44"/>
        <v>123</v>
      </c>
      <c r="K525" s="69">
        <f t="shared" si="44"/>
        <v>0</v>
      </c>
      <c r="L525" s="69">
        <f t="shared" si="44"/>
        <v>123</v>
      </c>
    </row>
    <row r="526" spans="1:12" s="41" customFormat="1" ht="24" customHeight="1">
      <c r="A526" s="126" t="s">
        <v>334</v>
      </c>
      <c r="B526" s="95" t="s">
        <v>258</v>
      </c>
      <c r="C526" s="95" t="s">
        <v>61</v>
      </c>
      <c r="D526" s="95" t="s">
        <v>6</v>
      </c>
      <c r="E526" s="95" t="s">
        <v>243</v>
      </c>
      <c r="F526" s="95" t="s">
        <v>335</v>
      </c>
      <c r="G526" s="17"/>
      <c r="H526" s="69">
        <v>45</v>
      </c>
      <c r="I526" s="69">
        <v>78</v>
      </c>
      <c r="J526" s="69">
        <f>H526+I526</f>
        <v>123</v>
      </c>
      <c r="K526" s="69"/>
      <c r="L526" s="69">
        <f>J526+K526</f>
        <v>123</v>
      </c>
    </row>
    <row r="527" spans="1:12" ht="18" customHeight="1" hidden="1">
      <c r="A527" s="150" t="s">
        <v>65</v>
      </c>
      <c r="B527" s="94" t="s">
        <v>258</v>
      </c>
      <c r="C527" s="94" t="s">
        <v>61</v>
      </c>
      <c r="D527" s="94" t="s">
        <v>7</v>
      </c>
      <c r="E527" s="94"/>
      <c r="F527" s="94"/>
      <c r="G527" s="17"/>
      <c r="H527" s="66">
        <f>H528</f>
        <v>363.57</v>
      </c>
      <c r="I527" s="66">
        <f>I528</f>
        <v>-363.57</v>
      </c>
      <c r="J527" s="66">
        <f>J528</f>
        <v>0</v>
      </c>
      <c r="K527" s="66">
        <f>K528</f>
        <v>0</v>
      </c>
      <c r="L527" s="66">
        <f>L528</f>
        <v>0</v>
      </c>
    </row>
    <row r="528" spans="1:12" ht="17.25" customHeight="1" hidden="1">
      <c r="A528" s="138" t="s">
        <v>98</v>
      </c>
      <c r="B528" s="95" t="s">
        <v>258</v>
      </c>
      <c r="C528" s="95" t="s">
        <v>61</v>
      </c>
      <c r="D528" s="95" t="s">
        <v>7</v>
      </c>
      <c r="E528" s="95" t="s">
        <v>244</v>
      </c>
      <c r="F528" s="95"/>
      <c r="G528" s="22"/>
      <c r="H528" s="69">
        <f>H529+H530+H531+H532</f>
        <v>363.57</v>
      </c>
      <c r="I528" s="69">
        <f>I529+I530+I531+I532</f>
        <v>-363.57</v>
      </c>
      <c r="J528" s="69">
        <f>J529+J530+J531+J532</f>
        <v>0</v>
      </c>
      <c r="K528" s="69">
        <f>K529+K530+K531+K532</f>
        <v>0</v>
      </c>
      <c r="L528" s="69">
        <f>L529+L530+L531+L532</f>
        <v>0</v>
      </c>
    </row>
    <row r="529" spans="1:12" ht="17.25" customHeight="1" hidden="1">
      <c r="A529" s="138" t="s">
        <v>96</v>
      </c>
      <c r="B529" s="95" t="s">
        <v>258</v>
      </c>
      <c r="C529" s="95" t="s">
        <v>61</v>
      </c>
      <c r="D529" s="95" t="s">
        <v>7</v>
      </c>
      <c r="E529" s="95" t="s">
        <v>244</v>
      </c>
      <c r="F529" s="95" t="s">
        <v>151</v>
      </c>
      <c r="G529" s="22"/>
      <c r="H529" s="72">
        <v>155.16</v>
      </c>
      <c r="I529" s="69">
        <v>-155.16</v>
      </c>
      <c r="J529" s="69">
        <f>H529+I529</f>
        <v>0</v>
      </c>
      <c r="K529" s="69"/>
      <c r="L529" s="69">
        <f>J529+K529</f>
        <v>0</v>
      </c>
    </row>
    <row r="530" spans="1:12" ht="17.25" customHeight="1" hidden="1">
      <c r="A530" s="126" t="s">
        <v>153</v>
      </c>
      <c r="B530" s="95" t="s">
        <v>258</v>
      </c>
      <c r="C530" s="95" t="s">
        <v>61</v>
      </c>
      <c r="D530" s="95" t="s">
        <v>7</v>
      </c>
      <c r="E530" s="95" t="s">
        <v>244</v>
      </c>
      <c r="F530" s="95" t="s">
        <v>154</v>
      </c>
      <c r="G530" s="22"/>
      <c r="H530" s="72">
        <v>1</v>
      </c>
      <c r="I530" s="69">
        <v>-1</v>
      </c>
      <c r="J530" s="69">
        <f>H530+I530</f>
        <v>0</v>
      </c>
      <c r="K530" s="69"/>
      <c r="L530" s="69">
        <f>J530+K530</f>
        <v>0</v>
      </c>
    </row>
    <row r="531" spans="1:12" ht="17.25" customHeight="1" hidden="1">
      <c r="A531" s="126" t="s">
        <v>145</v>
      </c>
      <c r="B531" s="95" t="s">
        <v>258</v>
      </c>
      <c r="C531" s="95" t="s">
        <v>61</v>
      </c>
      <c r="D531" s="95" t="s">
        <v>7</v>
      </c>
      <c r="E531" s="95" t="s">
        <v>244</v>
      </c>
      <c r="F531" s="95" t="s">
        <v>147</v>
      </c>
      <c r="G531" s="22"/>
      <c r="H531" s="72">
        <v>207.41</v>
      </c>
      <c r="I531" s="69">
        <v>-207.41</v>
      </c>
      <c r="J531" s="69">
        <f>H531+I531</f>
        <v>0</v>
      </c>
      <c r="K531" s="69"/>
      <c r="L531" s="69">
        <f>J531+K531</f>
        <v>0</v>
      </c>
    </row>
    <row r="532" spans="1:12" ht="24" customHeight="1" hidden="1">
      <c r="A532" s="129" t="s">
        <v>160</v>
      </c>
      <c r="B532" s="95" t="s">
        <v>258</v>
      </c>
      <c r="C532" s="95" t="s">
        <v>61</v>
      </c>
      <c r="D532" s="95" t="s">
        <v>7</v>
      </c>
      <c r="E532" s="95" t="s">
        <v>244</v>
      </c>
      <c r="F532" s="95" t="s">
        <v>161</v>
      </c>
      <c r="G532" s="22"/>
      <c r="H532" s="72"/>
      <c r="I532" s="69"/>
      <c r="J532" s="69">
        <f>H532+I532</f>
        <v>0</v>
      </c>
      <c r="K532" s="69"/>
      <c r="L532" s="69">
        <f>J532+K532</f>
        <v>0</v>
      </c>
    </row>
    <row r="533" spans="1:12" ht="17.25" customHeight="1">
      <c r="A533" s="139" t="s">
        <v>164</v>
      </c>
      <c r="B533" s="94" t="s">
        <v>258</v>
      </c>
      <c r="C533" s="94" t="s">
        <v>61</v>
      </c>
      <c r="D533" s="94" t="s">
        <v>8</v>
      </c>
      <c r="E533" s="94"/>
      <c r="F533" s="95"/>
      <c r="G533" s="22"/>
      <c r="H533" s="69">
        <f>H534+H546+H542+H544+H548</f>
        <v>1066</v>
      </c>
      <c r="I533" s="69">
        <f>I534+I546+I542+I544+I548</f>
        <v>2246.5</v>
      </c>
      <c r="J533" s="69">
        <f>J534+J546+J542+J544+J548</f>
        <v>4336.617</v>
      </c>
      <c r="K533" s="69">
        <f>K534+K546+K542+K544+K548</f>
        <v>194.144</v>
      </c>
      <c r="L533" s="69">
        <f>L534+L546+L542+L544+L548</f>
        <v>4530.761</v>
      </c>
    </row>
    <row r="534" spans="1:12" ht="17.25" customHeight="1">
      <c r="A534" s="138" t="s">
        <v>245</v>
      </c>
      <c r="B534" s="95" t="s">
        <v>258</v>
      </c>
      <c r="C534" s="95" t="s">
        <v>61</v>
      </c>
      <c r="D534" s="95" t="s">
        <v>8</v>
      </c>
      <c r="E534" s="95" t="s">
        <v>246</v>
      </c>
      <c r="F534" s="95"/>
      <c r="G534" s="22"/>
      <c r="H534" s="69">
        <f>H539+H535+H537</f>
        <v>966</v>
      </c>
      <c r="I534" s="69">
        <f>I539+I535+I537</f>
        <v>2046.5</v>
      </c>
      <c r="J534" s="69">
        <f>J539+J535+J537</f>
        <v>4022.0370000000003</v>
      </c>
      <c r="K534" s="69">
        <f>K539+K535+K537</f>
        <v>0</v>
      </c>
      <c r="L534" s="69">
        <f>L539+L535+L537</f>
        <v>4022.0370000000003</v>
      </c>
    </row>
    <row r="535" spans="1:12" ht="63.75" customHeight="1">
      <c r="A535" s="151" t="s">
        <v>415</v>
      </c>
      <c r="B535" s="95" t="s">
        <v>258</v>
      </c>
      <c r="C535" s="95" t="s">
        <v>61</v>
      </c>
      <c r="D535" s="95" t="s">
        <v>8</v>
      </c>
      <c r="E535" s="95" t="s">
        <v>416</v>
      </c>
      <c r="F535" s="95"/>
      <c r="G535" s="22"/>
      <c r="H535" s="69">
        <f>H536</f>
        <v>0</v>
      </c>
      <c r="I535" s="69">
        <f>I536</f>
        <v>1125</v>
      </c>
      <c r="J535" s="69">
        <f>J536</f>
        <v>1177.2</v>
      </c>
      <c r="K535" s="69">
        <f>K536</f>
        <v>0</v>
      </c>
      <c r="L535" s="69">
        <f>L536</f>
        <v>1177.2</v>
      </c>
    </row>
    <row r="536" spans="1:12" s="39" customFormat="1" ht="38.25" customHeight="1">
      <c r="A536" s="152" t="s">
        <v>172</v>
      </c>
      <c r="B536" s="104" t="s">
        <v>258</v>
      </c>
      <c r="C536" s="104" t="s">
        <v>61</v>
      </c>
      <c r="D536" s="104" t="s">
        <v>8</v>
      </c>
      <c r="E536" s="104" t="s">
        <v>416</v>
      </c>
      <c r="F536" s="104" t="s">
        <v>173</v>
      </c>
      <c r="G536" s="37"/>
      <c r="H536" s="69"/>
      <c r="I536" s="69">
        <v>1125</v>
      </c>
      <c r="J536" s="69">
        <v>1177.2</v>
      </c>
      <c r="K536" s="69"/>
      <c r="L536" s="69">
        <f>J536+K536</f>
        <v>1177.2</v>
      </c>
    </row>
    <row r="537" spans="1:12" ht="64.5" customHeight="1">
      <c r="A537" s="151" t="s">
        <v>417</v>
      </c>
      <c r="B537" s="95" t="s">
        <v>258</v>
      </c>
      <c r="C537" s="95" t="s">
        <v>61</v>
      </c>
      <c r="D537" s="95" t="s">
        <v>8</v>
      </c>
      <c r="E537" s="95" t="s">
        <v>247</v>
      </c>
      <c r="F537" s="95"/>
      <c r="G537" s="22"/>
      <c r="H537" s="69">
        <f>H538</f>
        <v>558</v>
      </c>
      <c r="I537" s="69">
        <f>I538</f>
        <v>1129.5</v>
      </c>
      <c r="J537" s="69">
        <f>J538</f>
        <v>1765.8</v>
      </c>
      <c r="K537" s="69">
        <f>K538</f>
        <v>0</v>
      </c>
      <c r="L537" s="69">
        <f>L538</f>
        <v>1765.8</v>
      </c>
    </row>
    <row r="538" spans="1:12" ht="25.5" customHeight="1">
      <c r="A538" s="138" t="s">
        <v>172</v>
      </c>
      <c r="B538" s="95" t="s">
        <v>258</v>
      </c>
      <c r="C538" s="95" t="s">
        <v>61</v>
      </c>
      <c r="D538" s="95" t="s">
        <v>8</v>
      </c>
      <c r="E538" s="95" t="s">
        <v>247</v>
      </c>
      <c r="F538" s="95" t="s">
        <v>173</v>
      </c>
      <c r="G538" s="22"/>
      <c r="H538" s="69">
        <v>558</v>
      </c>
      <c r="I538" s="69">
        <v>1129.5</v>
      </c>
      <c r="J538" s="69">
        <v>1765.8</v>
      </c>
      <c r="K538" s="69"/>
      <c r="L538" s="69">
        <f>J538+K538</f>
        <v>1765.8</v>
      </c>
    </row>
    <row r="539" spans="1:12" ht="17.25" customHeight="1">
      <c r="A539" s="137" t="s">
        <v>248</v>
      </c>
      <c r="B539" s="95" t="s">
        <v>258</v>
      </c>
      <c r="C539" s="95" t="s">
        <v>61</v>
      </c>
      <c r="D539" s="95" t="s">
        <v>8</v>
      </c>
      <c r="E539" s="95" t="s">
        <v>249</v>
      </c>
      <c r="F539" s="95"/>
      <c r="G539" s="22"/>
      <c r="H539" s="69">
        <f>H540+H541</f>
        <v>408</v>
      </c>
      <c r="I539" s="69">
        <f>I540+I541</f>
        <v>-208</v>
      </c>
      <c r="J539" s="69">
        <f>J540+J541</f>
        <v>1079.037</v>
      </c>
      <c r="K539" s="69">
        <f>K540+K541</f>
        <v>0</v>
      </c>
      <c r="L539" s="69">
        <f>L540+L541</f>
        <v>1079.037</v>
      </c>
    </row>
    <row r="540" spans="1:12" ht="24" customHeight="1">
      <c r="A540" s="126" t="s">
        <v>532</v>
      </c>
      <c r="B540" s="95" t="s">
        <v>258</v>
      </c>
      <c r="C540" s="95" t="s">
        <v>61</v>
      </c>
      <c r="D540" s="95" t="s">
        <v>8</v>
      </c>
      <c r="E540" s="95" t="s">
        <v>249</v>
      </c>
      <c r="F540" s="95" t="s">
        <v>179</v>
      </c>
      <c r="G540" s="22"/>
      <c r="H540" s="72">
        <v>408</v>
      </c>
      <c r="I540" s="69">
        <v>-208</v>
      </c>
      <c r="J540" s="69">
        <v>643</v>
      </c>
      <c r="K540" s="69"/>
      <c r="L540" s="69">
        <f>J540+K540</f>
        <v>643</v>
      </c>
    </row>
    <row r="541" spans="1:12" ht="17.25" customHeight="1">
      <c r="A541" s="137" t="s">
        <v>337</v>
      </c>
      <c r="B541" s="95" t="s">
        <v>258</v>
      </c>
      <c r="C541" s="95" t="s">
        <v>61</v>
      </c>
      <c r="D541" s="95" t="s">
        <v>8</v>
      </c>
      <c r="E541" s="95" t="s">
        <v>432</v>
      </c>
      <c r="F541" s="95" t="s">
        <v>338</v>
      </c>
      <c r="G541" s="22"/>
      <c r="H541" s="72"/>
      <c r="I541" s="69"/>
      <c r="J541" s="69">
        <v>436.037</v>
      </c>
      <c r="K541" s="69"/>
      <c r="L541" s="69">
        <f>J541+K541</f>
        <v>436.037</v>
      </c>
    </row>
    <row r="542" spans="1:12" ht="41.25" customHeight="1" hidden="1">
      <c r="A542" s="126" t="s">
        <v>484</v>
      </c>
      <c r="B542" s="95" t="s">
        <v>258</v>
      </c>
      <c r="C542" s="95" t="s">
        <v>61</v>
      </c>
      <c r="D542" s="95" t="s">
        <v>8</v>
      </c>
      <c r="E542" s="95" t="s">
        <v>475</v>
      </c>
      <c r="F542" s="95"/>
      <c r="G542" s="22"/>
      <c r="H542" s="72">
        <f>H543</f>
        <v>0</v>
      </c>
      <c r="I542" s="72">
        <f>I543</f>
        <v>0</v>
      </c>
      <c r="J542" s="72">
        <f>J543</f>
        <v>0</v>
      </c>
      <c r="K542" s="72">
        <f>K543</f>
        <v>0</v>
      </c>
      <c r="L542" s="72">
        <f>L543</f>
        <v>0</v>
      </c>
    </row>
    <row r="543" spans="1:12" ht="21" customHeight="1" hidden="1">
      <c r="A543" s="137" t="s">
        <v>337</v>
      </c>
      <c r="B543" s="95" t="s">
        <v>258</v>
      </c>
      <c r="C543" s="95" t="s">
        <v>61</v>
      </c>
      <c r="D543" s="95" t="s">
        <v>8</v>
      </c>
      <c r="E543" s="95" t="s">
        <v>475</v>
      </c>
      <c r="F543" s="95" t="s">
        <v>338</v>
      </c>
      <c r="G543" s="22"/>
      <c r="H543" s="72"/>
      <c r="I543" s="69"/>
      <c r="J543" s="69"/>
      <c r="K543" s="69"/>
      <c r="L543" s="69">
        <f>J543+K543</f>
        <v>0</v>
      </c>
    </row>
    <row r="544" spans="1:12" ht="41.25" customHeight="1">
      <c r="A544" s="126" t="s">
        <v>483</v>
      </c>
      <c r="B544" s="95" t="s">
        <v>258</v>
      </c>
      <c r="C544" s="95" t="s">
        <v>61</v>
      </c>
      <c r="D544" s="95" t="s">
        <v>8</v>
      </c>
      <c r="E544" s="95" t="s">
        <v>476</v>
      </c>
      <c r="F544" s="95"/>
      <c r="G544" s="22"/>
      <c r="H544" s="72">
        <f>H545</f>
        <v>0</v>
      </c>
      <c r="I544" s="72">
        <f>I545</f>
        <v>0</v>
      </c>
      <c r="J544" s="72">
        <f>J545</f>
        <v>14.58</v>
      </c>
      <c r="K544" s="72">
        <f>K545</f>
        <v>194.144</v>
      </c>
      <c r="L544" s="72">
        <f>L545</f>
        <v>208.72400000000002</v>
      </c>
    </row>
    <row r="545" spans="1:12" ht="17.25" customHeight="1">
      <c r="A545" s="137" t="s">
        <v>337</v>
      </c>
      <c r="B545" s="95" t="s">
        <v>258</v>
      </c>
      <c r="C545" s="95" t="s">
        <v>61</v>
      </c>
      <c r="D545" s="95" t="s">
        <v>8</v>
      </c>
      <c r="E545" s="95" t="s">
        <v>476</v>
      </c>
      <c r="F545" s="95" t="s">
        <v>338</v>
      </c>
      <c r="G545" s="22"/>
      <c r="H545" s="72"/>
      <c r="I545" s="69"/>
      <c r="J545" s="69">
        <v>14.58</v>
      </c>
      <c r="K545" s="69">
        <v>194.144</v>
      </c>
      <c r="L545" s="69">
        <f>J545+K545</f>
        <v>208.72400000000002</v>
      </c>
    </row>
    <row r="546" spans="1:12" ht="34.5">
      <c r="A546" s="137" t="s">
        <v>420</v>
      </c>
      <c r="B546" s="95" t="s">
        <v>258</v>
      </c>
      <c r="C546" s="95" t="s">
        <v>61</v>
      </c>
      <c r="D546" s="95" t="s">
        <v>8</v>
      </c>
      <c r="E546" s="95" t="s">
        <v>336</v>
      </c>
      <c r="F546" s="95"/>
      <c r="G546" s="22"/>
      <c r="H546" s="69">
        <f>H547</f>
        <v>100</v>
      </c>
      <c r="I546" s="69">
        <f>I547</f>
        <v>200</v>
      </c>
      <c r="J546" s="69">
        <f>J547</f>
        <v>300</v>
      </c>
      <c r="K546" s="69">
        <f>K547</f>
        <v>0</v>
      </c>
      <c r="L546" s="69">
        <f>L547</f>
        <v>300</v>
      </c>
    </row>
    <row r="547" spans="1:12" ht="18" customHeight="1">
      <c r="A547" s="137" t="s">
        <v>337</v>
      </c>
      <c r="B547" s="95" t="s">
        <v>258</v>
      </c>
      <c r="C547" s="95" t="s">
        <v>61</v>
      </c>
      <c r="D547" s="95" t="s">
        <v>8</v>
      </c>
      <c r="E547" s="95" t="s">
        <v>336</v>
      </c>
      <c r="F547" s="95" t="s">
        <v>338</v>
      </c>
      <c r="G547" s="22"/>
      <c r="H547" s="72">
        <v>100</v>
      </c>
      <c r="I547" s="69">
        <v>200</v>
      </c>
      <c r="J547" s="69">
        <f>H547+I547</f>
        <v>300</v>
      </c>
      <c r="K547" s="69"/>
      <c r="L547" s="69">
        <f>J547+K547</f>
        <v>300</v>
      </c>
    </row>
    <row r="548" spans="1:12" ht="29.25" customHeight="1" hidden="1">
      <c r="A548" s="126" t="s">
        <v>426</v>
      </c>
      <c r="B548" s="95" t="s">
        <v>258</v>
      </c>
      <c r="C548" s="95" t="s">
        <v>61</v>
      </c>
      <c r="D548" s="95" t="s">
        <v>8</v>
      </c>
      <c r="E548" s="95" t="s">
        <v>427</v>
      </c>
      <c r="F548" s="95"/>
      <c r="G548" s="22"/>
      <c r="H548" s="72">
        <f>H549</f>
        <v>0</v>
      </c>
      <c r="I548" s="72">
        <f>I549</f>
        <v>0</v>
      </c>
      <c r="J548" s="72">
        <f>J549</f>
        <v>0</v>
      </c>
      <c r="K548" s="72">
        <f>K549</f>
        <v>0</v>
      </c>
      <c r="L548" s="72">
        <f>L549</f>
        <v>0</v>
      </c>
    </row>
    <row r="549" spans="1:12" ht="29.25" customHeight="1" hidden="1">
      <c r="A549" s="137" t="s">
        <v>337</v>
      </c>
      <c r="B549" s="95" t="s">
        <v>258</v>
      </c>
      <c r="C549" s="95" t="s">
        <v>61</v>
      </c>
      <c r="D549" s="95" t="s">
        <v>8</v>
      </c>
      <c r="E549" s="95" t="s">
        <v>427</v>
      </c>
      <c r="F549" s="95" t="s">
        <v>338</v>
      </c>
      <c r="G549" s="22"/>
      <c r="H549" s="72"/>
      <c r="I549" s="69"/>
      <c r="J549" s="69">
        <f>H549+I549</f>
        <v>0</v>
      </c>
      <c r="K549" s="69"/>
      <c r="L549" s="69">
        <f>J549+K549</f>
        <v>0</v>
      </c>
    </row>
    <row r="550" spans="1:12" ht="15">
      <c r="A550" s="123" t="s">
        <v>170</v>
      </c>
      <c r="B550" s="94" t="s">
        <v>258</v>
      </c>
      <c r="C550" s="94" t="s">
        <v>61</v>
      </c>
      <c r="D550" s="94" t="s">
        <v>9</v>
      </c>
      <c r="E550" s="94"/>
      <c r="F550" s="94"/>
      <c r="G550" s="18" t="e">
        <f>#REF!+#REF!+#REF!+#REF!</f>
        <v>#REF!</v>
      </c>
      <c r="H550" s="66" t="e">
        <f>H551+#REF!</f>
        <v>#REF!</v>
      </c>
      <c r="I550" s="66" t="e">
        <f>I551+#REF!</f>
        <v>#REF!</v>
      </c>
      <c r="J550" s="66">
        <f>J551</f>
        <v>7894</v>
      </c>
      <c r="K550" s="66">
        <f>K551</f>
        <v>-7035.934</v>
      </c>
      <c r="L550" s="66">
        <f>L551</f>
        <v>858.066</v>
      </c>
    </row>
    <row r="551" spans="1:12" ht="15">
      <c r="A551" s="105" t="s">
        <v>245</v>
      </c>
      <c r="B551" s="95" t="s">
        <v>258</v>
      </c>
      <c r="C551" s="95" t="s">
        <v>61</v>
      </c>
      <c r="D551" s="95" t="s">
        <v>9</v>
      </c>
      <c r="E551" s="95" t="s">
        <v>246</v>
      </c>
      <c r="F551" s="95"/>
      <c r="G551" s="21"/>
      <c r="H551" s="69">
        <f>H552+H559</f>
        <v>3432</v>
      </c>
      <c r="I551" s="69">
        <f>I552+I559</f>
        <v>4462</v>
      </c>
      <c r="J551" s="69">
        <f>J552+J559+J556+J554+J561</f>
        <v>7894</v>
      </c>
      <c r="K551" s="69">
        <f>K552+K559+K556+K554+K561</f>
        <v>-7035.934</v>
      </c>
      <c r="L551" s="69">
        <f>L552+L559+L556+L554+L561</f>
        <v>858.066</v>
      </c>
    </row>
    <row r="552" spans="1:12" ht="46.5" customHeight="1">
      <c r="A552" s="124" t="s">
        <v>165</v>
      </c>
      <c r="B552" s="95" t="s">
        <v>258</v>
      </c>
      <c r="C552" s="95" t="s">
        <v>61</v>
      </c>
      <c r="D552" s="95" t="s">
        <v>9</v>
      </c>
      <c r="E552" s="95" t="s">
        <v>171</v>
      </c>
      <c r="F552" s="95"/>
      <c r="G552" s="22"/>
      <c r="H552" s="69">
        <f>H553</f>
        <v>3432</v>
      </c>
      <c r="I552" s="69">
        <f>I553</f>
        <v>4337</v>
      </c>
      <c r="J552" s="69">
        <f>J553</f>
        <v>0</v>
      </c>
      <c r="K552" s="69">
        <f>K553</f>
        <v>0</v>
      </c>
      <c r="L552" s="69">
        <f>L553</f>
        <v>0</v>
      </c>
    </row>
    <row r="553" spans="1:12" ht="25.5" customHeight="1">
      <c r="A553" s="124" t="s">
        <v>172</v>
      </c>
      <c r="B553" s="95" t="s">
        <v>258</v>
      </c>
      <c r="C553" s="95" t="s">
        <v>61</v>
      </c>
      <c r="D553" s="95" t="s">
        <v>9</v>
      </c>
      <c r="E553" s="95" t="s">
        <v>171</v>
      </c>
      <c r="F553" s="95" t="s">
        <v>173</v>
      </c>
      <c r="G553" s="22"/>
      <c r="H553" s="69">
        <v>3432</v>
      </c>
      <c r="I553" s="69">
        <v>4337</v>
      </c>
      <c r="J553" s="69">
        <v>0</v>
      </c>
      <c r="K553" s="69"/>
      <c r="L553" s="69">
        <f>J553+K553</f>
        <v>0</v>
      </c>
    </row>
    <row r="554" spans="1:12" ht="57.75" customHeight="1">
      <c r="A554" s="124" t="s">
        <v>541</v>
      </c>
      <c r="B554" s="95" t="s">
        <v>258</v>
      </c>
      <c r="C554" s="95" t="s">
        <v>61</v>
      </c>
      <c r="D554" s="95" t="s">
        <v>9</v>
      </c>
      <c r="E554" s="95" t="s">
        <v>538</v>
      </c>
      <c r="F554" s="95"/>
      <c r="G554" s="22"/>
      <c r="H554" s="69"/>
      <c r="I554" s="69"/>
      <c r="J554" s="69">
        <f>J555</f>
        <v>4290.3</v>
      </c>
      <c r="K554" s="69">
        <f>K555</f>
        <v>-4290.3</v>
      </c>
      <c r="L554" s="69">
        <f>L555</f>
        <v>0</v>
      </c>
    </row>
    <row r="555" spans="1:12" ht="34.5">
      <c r="A555" s="124" t="s">
        <v>542</v>
      </c>
      <c r="B555" s="95" t="s">
        <v>258</v>
      </c>
      <c r="C555" s="95" t="s">
        <v>61</v>
      </c>
      <c r="D555" s="95" t="s">
        <v>9</v>
      </c>
      <c r="E555" s="95" t="s">
        <v>538</v>
      </c>
      <c r="F555" s="95" t="s">
        <v>539</v>
      </c>
      <c r="G555" s="22"/>
      <c r="H555" s="69"/>
      <c r="I555" s="69"/>
      <c r="J555" s="69">
        <v>4290.3</v>
      </c>
      <c r="K555" s="69">
        <v>-4290.3</v>
      </c>
      <c r="L555" s="69">
        <f>J555+K555</f>
        <v>0</v>
      </c>
    </row>
    <row r="556" spans="1:12" ht="25.5" customHeight="1">
      <c r="A556" s="124" t="s">
        <v>165</v>
      </c>
      <c r="B556" s="95" t="s">
        <v>258</v>
      </c>
      <c r="C556" s="95" t="s">
        <v>61</v>
      </c>
      <c r="D556" s="95" t="s">
        <v>9</v>
      </c>
      <c r="E556" s="95" t="s">
        <v>169</v>
      </c>
      <c r="F556" s="95"/>
      <c r="G556" s="22"/>
      <c r="H556" s="69"/>
      <c r="I556" s="69"/>
      <c r="J556" s="69">
        <f>J557+J558</f>
        <v>858.066</v>
      </c>
      <c r="K556" s="69">
        <f>K557+K558</f>
        <v>0</v>
      </c>
      <c r="L556" s="69">
        <f>L557+L558</f>
        <v>858.066</v>
      </c>
    </row>
    <row r="557" spans="1:12" ht="25.5" customHeight="1">
      <c r="A557" s="124" t="s">
        <v>172</v>
      </c>
      <c r="B557" s="95" t="s">
        <v>258</v>
      </c>
      <c r="C557" s="95" t="s">
        <v>61</v>
      </c>
      <c r="D557" s="95" t="s">
        <v>9</v>
      </c>
      <c r="E557" s="95" t="s">
        <v>169</v>
      </c>
      <c r="F557" s="95" t="s">
        <v>173</v>
      </c>
      <c r="G557" s="22"/>
      <c r="H557" s="69"/>
      <c r="I557" s="69"/>
      <c r="J557" s="69">
        <v>858.066</v>
      </c>
      <c r="K557" s="69">
        <v>-858.066</v>
      </c>
      <c r="L557" s="69">
        <f>J557+K557</f>
        <v>0</v>
      </c>
    </row>
    <row r="558" spans="1:12" ht="25.5" customHeight="1">
      <c r="A558" s="143" t="s">
        <v>570</v>
      </c>
      <c r="B558" s="95" t="s">
        <v>258</v>
      </c>
      <c r="C558" s="95" t="s">
        <v>61</v>
      </c>
      <c r="D558" s="95" t="s">
        <v>9</v>
      </c>
      <c r="E558" s="95" t="s">
        <v>169</v>
      </c>
      <c r="F558" s="95" t="s">
        <v>539</v>
      </c>
      <c r="G558" s="22"/>
      <c r="H558" s="69"/>
      <c r="I558" s="69"/>
      <c r="J558" s="69"/>
      <c r="K558" s="69">
        <v>858.066</v>
      </c>
      <c r="L558" s="69">
        <f>J558+K558</f>
        <v>858.066</v>
      </c>
    </row>
    <row r="559" spans="1:12" ht="43.5" customHeight="1">
      <c r="A559" s="126" t="s">
        <v>174</v>
      </c>
      <c r="B559" s="101" t="s">
        <v>258</v>
      </c>
      <c r="C559" s="101" t="s">
        <v>61</v>
      </c>
      <c r="D559" s="101" t="s">
        <v>9</v>
      </c>
      <c r="E559" s="101" t="s">
        <v>175</v>
      </c>
      <c r="F559" s="95"/>
      <c r="G559" s="22"/>
      <c r="H559" s="69">
        <f>H560</f>
        <v>0</v>
      </c>
      <c r="I559" s="69">
        <f>I560</f>
        <v>125</v>
      </c>
      <c r="J559" s="69">
        <f>J560</f>
        <v>125</v>
      </c>
      <c r="K559" s="69">
        <f>K560</f>
        <v>-125</v>
      </c>
      <c r="L559" s="69">
        <f>L560</f>
        <v>0</v>
      </c>
    </row>
    <row r="560" spans="1:12" ht="25.5" customHeight="1">
      <c r="A560" s="124" t="s">
        <v>172</v>
      </c>
      <c r="B560" s="101" t="s">
        <v>258</v>
      </c>
      <c r="C560" s="101" t="s">
        <v>61</v>
      </c>
      <c r="D560" s="101" t="s">
        <v>9</v>
      </c>
      <c r="E560" s="101" t="s">
        <v>175</v>
      </c>
      <c r="F560" s="95" t="s">
        <v>173</v>
      </c>
      <c r="G560" s="22"/>
      <c r="H560" s="69"/>
      <c r="I560" s="69">
        <v>125</v>
      </c>
      <c r="J560" s="69">
        <v>125</v>
      </c>
      <c r="K560" s="69">
        <v>-125</v>
      </c>
      <c r="L560" s="69">
        <f>J560+K560</f>
        <v>0</v>
      </c>
    </row>
    <row r="561" spans="1:12" ht="49.5" customHeight="1">
      <c r="A561" s="124" t="s">
        <v>543</v>
      </c>
      <c r="B561" s="101" t="s">
        <v>258</v>
      </c>
      <c r="C561" s="101" t="s">
        <v>61</v>
      </c>
      <c r="D561" s="101" t="s">
        <v>9</v>
      </c>
      <c r="E561" s="101" t="s">
        <v>540</v>
      </c>
      <c r="F561" s="95"/>
      <c r="G561" s="22"/>
      <c r="H561" s="69"/>
      <c r="I561" s="69"/>
      <c r="J561" s="69">
        <f>J562</f>
        <v>2620.634</v>
      </c>
      <c r="K561" s="69">
        <f>K562</f>
        <v>-2620.634</v>
      </c>
      <c r="L561" s="69">
        <f>L562</f>
        <v>0</v>
      </c>
    </row>
    <row r="562" spans="1:12" ht="33.75" customHeight="1">
      <c r="A562" s="144" t="s">
        <v>542</v>
      </c>
      <c r="B562" s="101" t="s">
        <v>258</v>
      </c>
      <c r="C562" s="101" t="s">
        <v>61</v>
      </c>
      <c r="D562" s="101" t="s">
        <v>9</v>
      </c>
      <c r="E562" s="101" t="s">
        <v>540</v>
      </c>
      <c r="F562" s="95" t="s">
        <v>539</v>
      </c>
      <c r="G562" s="22"/>
      <c r="H562" s="69"/>
      <c r="I562" s="69"/>
      <c r="J562" s="69">
        <v>2620.634</v>
      </c>
      <c r="K562" s="69">
        <v>-2620.634</v>
      </c>
      <c r="L562" s="69">
        <f>J562+K562</f>
        <v>0</v>
      </c>
    </row>
    <row r="563" spans="1:12" ht="20.25" customHeight="1">
      <c r="A563" s="153" t="s">
        <v>68</v>
      </c>
      <c r="B563" s="94" t="s">
        <v>258</v>
      </c>
      <c r="C563" s="94" t="s">
        <v>61</v>
      </c>
      <c r="D563" s="94" t="s">
        <v>12</v>
      </c>
      <c r="E563" s="94"/>
      <c r="F563" s="94"/>
      <c r="G563" s="22"/>
      <c r="H563" s="69">
        <f>H564+H569+H567</f>
        <v>193.6</v>
      </c>
      <c r="I563" s="69">
        <f>I564+I569+I567</f>
        <v>-173.6</v>
      </c>
      <c r="J563" s="69">
        <f>J564+J569+J567</f>
        <v>20</v>
      </c>
      <c r="K563" s="69">
        <f>K564+K569+K567</f>
        <v>0</v>
      </c>
      <c r="L563" s="69">
        <f>L564+L569+L567</f>
        <v>20</v>
      </c>
    </row>
    <row r="564" spans="1:12" ht="21" customHeight="1" hidden="1">
      <c r="A564" s="137" t="s">
        <v>250</v>
      </c>
      <c r="B564" s="95" t="s">
        <v>258</v>
      </c>
      <c r="C564" s="95" t="s">
        <v>61</v>
      </c>
      <c r="D564" s="95" t="s">
        <v>12</v>
      </c>
      <c r="E564" s="95" t="s">
        <v>115</v>
      </c>
      <c r="F564" s="95"/>
      <c r="G564" s="22"/>
      <c r="H564" s="69">
        <f aca="true" t="shared" si="45" ref="H564:L565">H565</f>
        <v>173.6</v>
      </c>
      <c r="I564" s="69">
        <f t="shared" si="45"/>
        <v>-173.6</v>
      </c>
      <c r="J564" s="69">
        <f t="shared" si="45"/>
        <v>0</v>
      </c>
      <c r="K564" s="69">
        <f t="shared" si="45"/>
        <v>0</v>
      </c>
      <c r="L564" s="69">
        <f t="shared" si="45"/>
        <v>0</v>
      </c>
    </row>
    <row r="565" spans="1:12" ht="17.25" customHeight="1" hidden="1">
      <c r="A565" s="137" t="s">
        <v>116</v>
      </c>
      <c r="B565" s="95" t="s">
        <v>258</v>
      </c>
      <c r="C565" s="95" t="s">
        <v>61</v>
      </c>
      <c r="D565" s="95" t="s">
        <v>12</v>
      </c>
      <c r="E565" s="95" t="s">
        <v>117</v>
      </c>
      <c r="F565" s="95"/>
      <c r="G565" s="22"/>
      <c r="H565" s="69">
        <f t="shared" si="45"/>
        <v>173.6</v>
      </c>
      <c r="I565" s="69">
        <f t="shared" si="45"/>
        <v>-173.6</v>
      </c>
      <c r="J565" s="69">
        <f t="shared" si="45"/>
        <v>0</v>
      </c>
      <c r="K565" s="69">
        <f t="shared" si="45"/>
        <v>0</v>
      </c>
      <c r="L565" s="69">
        <f t="shared" si="45"/>
        <v>0</v>
      </c>
    </row>
    <row r="566" spans="1:12" ht="17.25" customHeight="1" hidden="1">
      <c r="A566" s="137" t="s">
        <v>96</v>
      </c>
      <c r="B566" s="95" t="s">
        <v>258</v>
      </c>
      <c r="C566" s="95" t="s">
        <v>61</v>
      </c>
      <c r="D566" s="95" t="s">
        <v>12</v>
      </c>
      <c r="E566" s="95" t="s">
        <v>117</v>
      </c>
      <c r="F566" s="95" t="s">
        <v>151</v>
      </c>
      <c r="G566" s="22"/>
      <c r="H566" s="72">
        <v>173.6</v>
      </c>
      <c r="I566" s="69">
        <v>-173.6</v>
      </c>
      <c r="J566" s="69">
        <f>SUM(H566:I566)</f>
        <v>0</v>
      </c>
      <c r="K566" s="69"/>
      <c r="L566" s="69">
        <f>SUM(J566:K566)</f>
        <v>0</v>
      </c>
    </row>
    <row r="567" spans="1:12" ht="27" customHeight="1" hidden="1">
      <c r="A567" s="137" t="s">
        <v>489</v>
      </c>
      <c r="B567" s="95" t="s">
        <v>258</v>
      </c>
      <c r="C567" s="95" t="s">
        <v>61</v>
      </c>
      <c r="D567" s="95" t="s">
        <v>12</v>
      </c>
      <c r="E567" s="95" t="s">
        <v>254</v>
      </c>
      <c r="F567" s="95"/>
      <c r="G567" s="22"/>
      <c r="H567" s="72">
        <f>H568</f>
        <v>10</v>
      </c>
      <c r="I567" s="72">
        <f>I568</f>
        <v>-10</v>
      </c>
      <c r="J567" s="72">
        <f>J568</f>
        <v>0</v>
      </c>
      <c r="K567" s="72">
        <f>K568</f>
        <v>0</v>
      </c>
      <c r="L567" s="72">
        <f>L568</f>
        <v>0</v>
      </c>
    </row>
    <row r="568" spans="1:12" ht="17.25" customHeight="1" hidden="1">
      <c r="A568" s="126" t="s">
        <v>145</v>
      </c>
      <c r="B568" s="95" t="s">
        <v>258</v>
      </c>
      <c r="C568" s="95" t="s">
        <v>61</v>
      </c>
      <c r="D568" s="95" t="s">
        <v>12</v>
      </c>
      <c r="E568" s="95" t="s">
        <v>254</v>
      </c>
      <c r="F568" s="95" t="s">
        <v>147</v>
      </c>
      <c r="G568" s="22"/>
      <c r="H568" s="72">
        <v>10</v>
      </c>
      <c r="I568" s="69">
        <v>-10</v>
      </c>
      <c r="J568" s="69">
        <f>H568+I568</f>
        <v>0</v>
      </c>
      <c r="K568" s="69"/>
      <c r="L568" s="69">
        <f>J568+K568</f>
        <v>0</v>
      </c>
    </row>
    <row r="569" spans="1:12" ht="33" customHeight="1">
      <c r="A569" s="137" t="s">
        <v>255</v>
      </c>
      <c r="B569" s="95" t="s">
        <v>258</v>
      </c>
      <c r="C569" s="95" t="s">
        <v>61</v>
      </c>
      <c r="D569" s="95" t="s">
        <v>12</v>
      </c>
      <c r="E569" s="95" t="s">
        <v>256</v>
      </c>
      <c r="F569" s="95"/>
      <c r="G569" s="22"/>
      <c r="H569" s="72">
        <f>H570</f>
        <v>10</v>
      </c>
      <c r="I569" s="72">
        <f>I570</f>
        <v>10</v>
      </c>
      <c r="J569" s="72">
        <f>J570</f>
        <v>20</v>
      </c>
      <c r="K569" s="72">
        <f>K570</f>
        <v>0</v>
      </c>
      <c r="L569" s="72">
        <f>L570</f>
        <v>20</v>
      </c>
    </row>
    <row r="570" spans="1:12" ht="22.5" customHeight="1">
      <c r="A570" s="126" t="s">
        <v>548</v>
      </c>
      <c r="B570" s="95" t="s">
        <v>258</v>
      </c>
      <c r="C570" s="95" t="s">
        <v>61</v>
      </c>
      <c r="D570" s="95" t="s">
        <v>12</v>
      </c>
      <c r="E570" s="95" t="s">
        <v>256</v>
      </c>
      <c r="F570" s="95" t="s">
        <v>147</v>
      </c>
      <c r="G570" s="22"/>
      <c r="H570" s="72">
        <v>10</v>
      </c>
      <c r="I570" s="69">
        <v>10</v>
      </c>
      <c r="J570" s="69">
        <f>H570+I570</f>
        <v>20</v>
      </c>
      <c r="K570" s="69"/>
      <c r="L570" s="69">
        <f>J570+K570</f>
        <v>20</v>
      </c>
    </row>
    <row r="571" spans="1:12" ht="15.75" customHeight="1">
      <c r="A571" s="136" t="s">
        <v>71</v>
      </c>
      <c r="B571" s="94" t="s">
        <v>258</v>
      </c>
      <c r="C571" s="94" t="s">
        <v>17</v>
      </c>
      <c r="D571" s="94"/>
      <c r="E571" s="94"/>
      <c r="F571" s="94"/>
      <c r="G571" s="17"/>
      <c r="H571" s="71">
        <f>H572</f>
        <v>903.6</v>
      </c>
      <c r="I571" s="66">
        <f>I572</f>
        <v>230.42</v>
      </c>
      <c r="J571" s="66">
        <f>J572</f>
        <v>1202.02</v>
      </c>
      <c r="K571" s="66">
        <f>K572</f>
        <v>0</v>
      </c>
      <c r="L571" s="66">
        <f>L572</f>
        <v>1202.02</v>
      </c>
    </row>
    <row r="572" spans="1:12" ht="15">
      <c r="A572" s="136" t="s">
        <v>51</v>
      </c>
      <c r="B572" s="94" t="s">
        <v>258</v>
      </c>
      <c r="C572" s="94" t="s">
        <v>17</v>
      </c>
      <c r="D572" s="94" t="s">
        <v>7</v>
      </c>
      <c r="E572" s="94"/>
      <c r="F572" s="94"/>
      <c r="G572" s="17">
        <f>G573</f>
        <v>0</v>
      </c>
      <c r="H572" s="71">
        <f>H573+H578</f>
        <v>903.6</v>
      </c>
      <c r="I572" s="71">
        <f>I573+I578</f>
        <v>230.42</v>
      </c>
      <c r="J572" s="71">
        <f>J573+J578</f>
        <v>1202.02</v>
      </c>
      <c r="K572" s="71">
        <f>K573+K578</f>
        <v>0</v>
      </c>
      <c r="L572" s="71">
        <f>L573+L578</f>
        <v>1202.02</v>
      </c>
    </row>
    <row r="573" spans="1:12" ht="22.5" customHeight="1">
      <c r="A573" s="137" t="s">
        <v>327</v>
      </c>
      <c r="B573" s="95" t="s">
        <v>258</v>
      </c>
      <c r="C573" s="95" t="s">
        <v>17</v>
      </c>
      <c r="D573" s="95" t="s">
        <v>7</v>
      </c>
      <c r="E573" s="95" t="s">
        <v>328</v>
      </c>
      <c r="F573" s="95"/>
      <c r="G573" s="22">
        <f>G574</f>
        <v>0</v>
      </c>
      <c r="H573" s="69">
        <f>H574</f>
        <v>903.6</v>
      </c>
      <c r="I573" s="69">
        <f>I574</f>
        <v>230.42</v>
      </c>
      <c r="J573" s="69">
        <f>J574</f>
        <v>1202.02</v>
      </c>
      <c r="K573" s="69">
        <f>K574</f>
        <v>0</v>
      </c>
      <c r="L573" s="69">
        <f>L574</f>
        <v>1202.02</v>
      </c>
    </row>
    <row r="574" spans="1:12" ht="24.75" customHeight="1">
      <c r="A574" s="137" t="s">
        <v>329</v>
      </c>
      <c r="B574" s="95" t="s">
        <v>258</v>
      </c>
      <c r="C574" s="95" t="s">
        <v>17</v>
      </c>
      <c r="D574" s="95" t="s">
        <v>7</v>
      </c>
      <c r="E574" s="95" t="s">
        <v>330</v>
      </c>
      <c r="F574" s="95"/>
      <c r="G574" s="22">
        <f>G575</f>
        <v>0</v>
      </c>
      <c r="H574" s="69">
        <f>H575+H576</f>
        <v>903.6</v>
      </c>
      <c r="I574" s="69">
        <f>I575+I576</f>
        <v>230.42</v>
      </c>
      <c r="J574" s="69">
        <f>J576+J577</f>
        <v>1202.02</v>
      </c>
      <c r="K574" s="69">
        <f>K576+K577</f>
        <v>0</v>
      </c>
      <c r="L574" s="69">
        <f>L576+L577</f>
        <v>1202.02</v>
      </c>
    </row>
    <row r="575" spans="1:12" ht="16.5" customHeight="1" hidden="1">
      <c r="A575" s="137" t="s">
        <v>217</v>
      </c>
      <c r="B575" s="95" t="s">
        <v>258</v>
      </c>
      <c r="C575" s="95" t="s">
        <v>17</v>
      </c>
      <c r="D575" s="95" t="s">
        <v>7</v>
      </c>
      <c r="E575" s="95" t="s">
        <v>330</v>
      </c>
      <c r="F575" s="95" t="s">
        <v>218</v>
      </c>
      <c r="G575" s="22"/>
      <c r="H575" s="72"/>
      <c r="I575" s="69"/>
      <c r="J575" s="69">
        <f>H575+I575</f>
        <v>0</v>
      </c>
      <c r="K575" s="69"/>
      <c r="L575" s="69">
        <f>J575+K575</f>
        <v>0</v>
      </c>
    </row>
    <row r="576" spans="1:12" ht="16.5" customHeight="1" hidden="1">
      <c r="A576" s="137" t="s">
        <v>323</v>
      </c>
      <c r="B576" s="95" t="s">
        <v>258</v>
      </c>
      <c r="C576" s="95" t="s">
        <v>17</v>
      </c>
      <c r="D576" s="95" t="s">
        <v>7</v>
      </c>
      <c r="E576" s="95" t="s">
        <v>330</v>
      </c>
      <c r="F576" s="95" t="s">
        <v>324</v>
      </c>
      <c r="G576" s="22"/>
      <c r="H576" s="72">
        <v>903.6</v>
      </c>
      <c r="I576" s="69">
        <v>230.42</v>
      </c>
      <c r="J576" s="69">
        <v>0</v>
      </c>
      <c r="K576" s="69"/>
      <c r="L576" s="69">
        <f>J576+K576</f>
        <v>0</v>
      </c>
    </row>
    <row r="577" spans="1:12" ht="16.5" customHeight="1">
      <c r="A577" s="137" t="s">
        <v>323</v>
      </c>
      <c r="B577" s="95" t="s">
        <v>258</v>
      </c>
      <c r="C577" s="95" t="s">
        <v>17</v>
      </c>
      <c r="D577" s="95" t="s">
        <v>7</v>
      </c>
      <c r="E577" s="95" t="s">
        <v>330</v>
      </c>
      <c r="F577" s="95" t="s">
        <v>506</v>
      </c>
      <c r="G577" s="22"/>
      <c r="H577" s="72"/>
      <c r="I577" s="69"/>
      <c r="J577" s="69">
        <v>1202.02</v>
      </c>
      <c r="K577" s="69"/>
      <c r="L577" s="69">
        <f>J577+K577</f>
        <v>1202.02</v>
      </c>
    </row>
    <row r="578" spans="1:12" ht="27" customHeight="1" hidden="1">
      <c r="A578" s="137" t="s">
        <v>481</v>
      </c>
      <c r="B578" s="95" t="s">
        <v>258</v>
      </c>
      <c r="C578" s="95" t="s">
        <v>17</v>
      </c>
      <c r="D578" s="95" t="s">
        <v>7</v>
      </c>
      <c r="E578" s="95" t="s">
        <v>473</v>
      </c>
      <c r="F578" s="95"/>
      <c r="G578" s="22"/>
      <c r="H578" s="72">
        <f>H579</f>
        <v>0</v>
      </c>
      <c r="I578" s="72">
        <f>I579</f>
        <v>0</v>
      </c>
      <c r="J578" s="72">
        <f>J579</f>
        <v>0</v>
      </c>
      <c r="K578" s="72">
        <f>K579</f>
        <v>0</v>
      </c>
      <c r="L578" s="72">
        <f>L579</f>
        <v>0</v>
      </c>
    </row>
    <row r="579" spans="1:12" ht="24.75" customHeight="1" hidden="1">
      <c r="A579" s="137" t="s">
        <v>485</v>
      </c>
      <c r="B579" s="95" t="s">
        <v>258</v>
      </c>
      <c r="C579" s="95" t="s">
        <v>17</v>
      </c>
      <c r="D579" s="95" t="s">
        <v>7</v>
      </c>
      <c r="E579" s="95" t="s">
        <v>473</v>
      </c>
      <c r="F579" s="95" t="s">
        <v>474</v>
      </c>
      <c r="G579" s="22"/>
      <c r="H579" s="72"/>
      <c r="I579" s="69"/>
      <c r="J579" s="69">
        <f>H579+I579</f>
        <v>0</v>
      </c>
      <c r="K579" s="69"/>
      <c r="L579" s="69">
        <f>J579+K579</f>
        <v>0</v>
      </c>
    </row>
    <row r="580" spans="1:12" ht="15">
      <c r="A580" s="154" t="s">
        <v>339</v>
      </c>
      <c r="B580" s="99" t="s">
        <v>220</v>
      </c>
      <c r="C580" s="99"/>
      <c r="D580" s="99"/>
      <c r="E580" s="99"/>
      <c r="F580" s="99"/>
      <c r="G580" s="53" t="e">
        <f>G581+G595</f>
        <v>#REF!</v>
      </c>
      <c r="H580" s="68">
        <f>H581+H586+H595+H641+H634</f>
        <v>8602.869999999999</v>
      </c>
      <c r="I580" s="68">
        <f>I581+I586+I595+I641+I634</f>
        <v>2160.0034</v>
      </c>
      <c r="J580" s="68">
        <f>J581+J586+J595+J641+J634</f>
        <v>16455.64255</v>
      </c>
      <c r="K580" s="68">
        <f>K581+K586+K595+K641+K634</f>
        <v>2213</v>
      </c>
      <c r="L580" s="68">
        <f>L581+L586+L595+L641+L634</f>
        <v>18668.64255</v>
      </c>
    </row>
    <row r="581" spans="1:12" s="40" customFormat="1" ht="14.25">
      <c r="A581" s="136" t="s">
        <v>4</v>
      </c>
      <c r="B581" s="94" t="s">
        <v>220</v>
      </c>
      <c r="C581" s="94" t="s">
        <v>6</v>
      </c>
      <c r="D581" s="94"/>
      <c r="E581" s="94"/>
      <c r="F581" s="94"/>
      <c r="G581" s="17" t="e">
        <f aca="true" t="shared" si="46" ref="G581:L584">G582</f>
        <v>#REF!</v>
      </c>
      <c r="H581" s="66">
        <f t="shared" si="46"/>
        <v>805</v>
      </c>
      <c r="I581" s="66">
        <f t="shared" si="46"/>
        <v>148.48</v>
      </c>
      <c r="J581" s="66">
        <f t="shared" si="46"/>
        <v>953.48</v>
      </c>
      <c r="K581" s="66">
        <f t="shared" si="46"/>
        <v>0</v>
      </c>
      <c r="L581" s="66">
        <f t="shared" si="46"/>
        <v>953.48</v>
      </c>
    </row>
    <row r="582" spans="1:12" s="36" customFormat="1" ht="45">
      <c r="A582" s="137" t="s">
        <v>188</v>
      </c>
      <c r="B582" s="94" t="s">
        <v>220</v>
      </c>
      <c r="C582" s="94" t="s">
        <v>6</v>
      </c>
      <c r="D582" s="94" t="s">
        <v>9</v>
      </c>
      <c r="E582" s="94"/>
      <c r="F582" s="94"/>
      <c r="G582" s="17" t="e">
        <f t="shared" si="46"/>
        <v>#REF!</v>
      </c>
      <c r="H582" s="66">
        <f t="shared" si="46"/>
        <v>805</v>
      </c>
      <c r="I582" s="66">
        <f t="shared" si="46"/>
        <v>148.48</v>
      </c>
      <c r="J582" s="66">
        <f t="shared" si="46"/>
        <v>953.48</v>
      </c>
      <c r="K582" s="66">
        <f t="shared" si="46"/>
        <v>0</v>
      </c>
      <c r="L582" s="66">
        <f t="shared" si="46"/>
        <v>953.48</v>
      </c>
    </row>
    <row r="583" spans="1:12" ht="23.25">
      <c r="A583" s="137" t="s">
        <v>250</v>
      </c>
      <c r="B583" s="95" t="s">
        <v>220</v>
      </c>
      <c r="C583" s="95" t="s">
        <v>6</v>
      </c>
      <c r="D583" s="95" t="s">
        <v>9</v>
      </c>
      <c r="E583" s="95" t="s">
        <v>115</v>
      </c>
      <c r="F583" s="95"/>
      <c r="G583" s="22" t="e">
        <f t="shared" si="46"/>
        <v>#REF!</v>
      </c>
      <c r="H583" s="69">
        <f t="shared" si="46"/>
        <v>805</v>
      </c>
      <c r="I583" s="69">
        <f t="shared" si="46"/>
        <v>148.48</v>
      </c>
      <c r="J583" s="69">
        <f t="shared" si="46"/>
        <v>953.48</v>
      </c>
      <c r="K583" s="69">
        <f t="shared" si="46"/>
        <v>0</v>
      </c>
      <c r="L583" s="69">
        <f t="shared" si="46"/>
        <v>953.48</v>
      </c>
    </row>
    <row r="584" spans="1:12" ht="15">
      <c r="A584" s="137" t="s">
        <v>116</v>
      </c>
      <c r="B584" s="95" t="s">
        <v>220</v>
      </c>
      <c r="C584" s="95" t="s">
        <v>6</v>
      </c>
      <c r="D584" s="95" t="s">
        <v>9</v>
      </c>
      <c r="E584" s="95" t="s">
        <v>117</v>
      </c>
      <c r="F584" s="95"/>
      <c r="G584" s="22" t="e">
        <f>#REF!</f>
        <v>#REF!</v>
      </c>
      <c r="H584" s="69">
        <f>H585</f>
        <v>805</v>
      </c>
      <c r="I584" s="69">
        <f t="shared" si="46"/>
        <v>148.48</v>
      </c>
      <c r="J584" s="69">
        <f t="shared" si="46"/>
        <v>953.48</v>
      </c>
      <c r="K584" s="69">
        <f t="shared" si="46"/>
        <v>0</v>
      </c>
      <c r="L584" s="69">
        <f t="shared" si="46"/>
        <v>953.48</v>
      </c>
    </row>
    <row r="585" spans="1:12" ht="15">
      <c r="A585" s="129" t="s">
        <v>340</v>
      </c>
      <c r="B585" s="95" t="s">
        <v>220</v>
      </c>
      <c r="C585" s="95" t="s">
        <v>6</v>
      </c>
      <c r="D585" s="95" t="s">
        <v>9</v>
      </c>
      <c r="E585" s="95" t="s">
        <v>117</v>
      </c>
      <c r="F585" s="95" t="s">
        <v>151</v>
      </c>
      <c r="G585" s="22"/>
      <c r="H585" s="69">
        <v>805</v>
      </c>
      <c r="I585" s="69">
        <v>148.48</v>
      </c>
      <c r="J585" s="69">
        <f>H585+I585</f>
        <v>953.48</v>
      </c>
      <c r="K585" s="69"/>
      <c r="L585" s="69">
        <f>J585+K585</f>
        <v>953.48</v>
      </c>
    </row>
    <row r="586" spans="1:12" s="40" customFormat="1" ht="14.25">
      <c r="A586" s="148" t="s">
        <v>41</v>
      </c>
      <c r="B586" s="94" t="s">
        <v>220</v>
      </c>
      <c r="C586" s="94" t="s">
        <v>14</v>
      </c>
      <c r="D586" s="94"/>
      <c r="E586" s="94"/>
      <c r="F586" s="94"/>
      <c r="G586" s="17" t="e">
        <f>#REF!+#REF!+#REF!</f>
        <v>#REF!</v>
      </c>
      <c r="H586" s="66">
        <f>H587</f>
        <v>203.6</v>
      </c>
      <c r="I586" s="66">
        <f>I587</f>
        <v>135.67000000000002</v>
      </c>
      <c r="J586" s="66">
        <f>J587</f>
        <v>339.27</v>
      </c>
      <c r="K586" s="66">
        <f>K587</f>
        <v>0</v>
      </c>
      <c r="L586" s="66">
        <f>L587</f>
        <v>339.27</v>
      </c>
    </row>
    <row r="587" spans="1:12" s="36" customFormat="1" ht="14.25">
      <c r="A587" s="137" t="s">
        <v>46</v>
      </c>
      <c r="B587" s="94" t="s">
        <v>220</v>
      </c>
      <c r="C587" s="94" t="s">
        <v>14</v>
      </c>
      <c r="D587" s="94" t="s">
        <v>14</v>
      </c>
      <c r="E587" s="94"/>
      <c r="F587" s="94"/>
      <c r="G587" s="17" t="e">
        <f>#REF!</f>
        <v>#REF!</v>
      </c>
      <c r="H587" s="66">
        <f>H588+H591</f>
        <v>203.6</v>
      </c>
      <c r="I587" s="66">
        <f>I588+I591</f>
        <v>135.67000000000002</v>
      </c>
      <c r="J587" s="66">
        <f>J588+J591</f>
        <v>339.27</v>
      </c>
      <c r="K587" s="66">
        <f>K588+K591</f>
        <v>0</v>
      </c>
      <c r="L587" s="66">
        <f>L588+L591</f>
        <v>339.27</v>
      </c>
    </row>
    <row r="588" spans="1:12" ht="23.25">
      <c r="A588" s="137" t="s">
        <v>98</v>
      </c>
      <c r="B588" s="95" t="s">
        <v>220</v>
      </c>
      <c r="C588" s="95" t="s">
        <v>14</v>
      </c>
      <c r="D588" s="95" t="s">
        <v>14</v>
      </c>
      <c r="E588" s="95" t="s">
        <v>341</v>
      </c>
      <c r="F588" s="95"/>
      <c r="G588" s="22"/>
      <c r="H588" s="69">
        <f>H589</f>
        <v>137.6</v>
      </c>
      <c r="I588" s="69">
        <f>I589</f>
        <v>34.97</v>
      </c>
      <c r="J588" s="69">
        <f>J589</f>
        <v>172.57</v>
      </c>
      <c r="K588" s="69">
        <f>K589</f>
        <v>0</v>
      </c>
      <c r="L588" s="69">
        <f>L589</f>
        <v>172.57</v>
      </c>
    </row>
    <row r="589" spans="1:12" ht="15">
      <c r="A589" s="129" t="s">
        <v>340</v>
      </c>
      <c r="B589" s="95" t="s">
        <v>220</v>
      </c>
      <c r="C589" s="95" t="s">
        <v>14</v>
      </c>
      <c r="D589" s="95" t="s">
        <v>14</v>
      </c>
      <c r="E589" s="95" t="s">
        <v>341</v>
      </c>
      <c r="F589" s="95" t="s">
        <v>151</v>
      </c>
      <c r="G589" s="22"/>
      <c r="H589" s="69">
        <v>137.6</v>
      </c>
      <c r="I589" s="69">
        <v>34.97</v>
      </c>
      <c r="J589" s="69">
        <f>H589+I589</f>
        <v>172.57</v>
      </c>
      <c r="K589" s="69"/>
      <c r="L589" s="69">
        <f>J589+K589</f>
        <v>172.57</v>
      </c>
    </row>
    <row r="590" spans="1:12" ht="33.75" hidden="1">
      <c r="A590" s="126" t="s">
        <v>145</v>
      </c>
      <c r="B590" s="95" t="s">
        <v>220</v>
      </c>
      <c r="C590" s="95" t="s">
        <v>14</v>
      </c>
      <c r="D590" s="95" t="s">
        <v>14</v>
      </c>
      <c r="E590" s="95" t="s">
        <v>341</v>
      </c>
      <c r="F590" s="95" t="s">
        <v>147</v>
      </c>
      <c r="G590" s="22"/>
      <c r="H590" s="69"/>
      <c r="I590" s="69"/>
      <c r="J590" s="69"/>
      <c r="K590" s="69"/>
      <c r="L590" s="69"/>
    </row>
    <row r="591" spans="1:12" ht="15">
      <c r="A591" s="137" t="s">
        <v>251</v>
      </c>
      <c r="B591" s="95" t="s">
        <v>220</v>
      </c>
      <c r="C591" s="95" t="s">
        <v>14</v>
      </c>
      <c r="D591" s="95" t="s">
        <v>14</v>
      </c>
      <c r="E591" s="95" t="s">
        <v>252</v>
      </c>
      <c r="F591" s="95"/>
      <c r="G591" s="22"/>
      <c r="H591" s="69">
        <f>H592</f>
        <v>66</v>
      </c>
      <c r="I591" s="69">
        <f>I592</f>
        <v>100.7</v>
      </c>
      <c r="J591" s="69">
        <f>J592</f>
        <v>166.7</v>
      </c>
      <c r="K591" s="69">
        <f>K592</f>
        <v>0</v>
      </c>
      <c r="L591" s="69">
        <f>L592</f>
        <v>166.7</v>
      </c>
    </row>
    <row r="592" spans="1:12" ht="34.5">
      <c r="A592" s="137" t="s">
        <v>420</v>
      </c>
      <c r="B592" s="95" t="s">
        <v>220</v>
      </c>
      <c r="C592" s="95" t="s">
        <v>14</v>
      </c>
      <c r="D592" s="95" t="s">
        <v>14</v>
      </c>
      <c r="E592" s="95" t="s">
        <v>336</v>
      </c>
      <c r="F592" s="95"/>
      <c r="G592" s="22"/>
      <c r="H592" s="69">
        <f>H593+H594</f>
        <v>66</v>
      </c>
      <c r="I592" s="69">
        <f>I593+I594</f>
        <v>100.7</v>
      </c>
      <c r="J592" s="69">
        <f>J593+J594</f>
        <v>166.7</v>
      </c>
      <c r="K592" s="69">
        <f>K593+K594</f>
        <v>0</v>
      </c>
      <c r="L592" s="69">
        <f>L593+L594</f>
        <v>166.7</v>
      </c>
    </row>
    <row r="593" spans="1:12" ht="24" customHeight="1">
      <c r="A593" s="126" t="s">
        <v>153</v>
      </c>
      <c r="B593" s="95" t="s">
        <v>220</v>
      </c>
      <c r="C593" s="95" t="s">
        <v>14</v>
      </c>
      <c r="D593" s="95" t="s">
        <v>14</v>
      </c>
      <c r="E593" s="95" t="s">
        <v>336</v>
      </c>
      <c r="F593" s="95" t="s">
        <v>154</v>
      </c>
      <c r="G593" s="22"/>
      <c r="H593" s="69"/>
      <c r="I593" s="69">
        <v>19.7</v>
      </c>
      <c r="J593" s="69">
        <f>H593+I593</f>
        <v>19.7</v>
      </c>
      <c r="K593" s="69"/>
      <c r="L593" s="69">
        <f>J593+K593</f>
        <v>19.7</v>
      </c>
    </row>
    <row r="594" spans="1:12" ht="21.75" customHeight="1">
      <c r="A594" s="126" t="s">
        <v>548</v>
      </c>
      <c r="B594" s="95" t="s">
        <v>220</v>
      </c>
      <c r="C594" s="95" t="s">
        <v>14</v>
      </c>
      <c r="D594" s="95" t="s">
        <v>14</v>
      </c>
      <c r="E594" s="95" t="s">
        <v>336</v>
      </c>
      <c r="F594" s="95" t="s">
        <v>147</v>
      </c>
      <c r="G594" s="22"/>
      <c r="H594" s="69">
        <v>66</v>
      </c>
      <c r="I594" s="69">
        <v>81</v>
      </c>
      <c r="J594" s="69">
        <f>H594+I594</f>
        <v>147</v>
      </c>
      <c r="K594" s="69"/>
      <c r="L594" s="69">
        <f>J594+K594</f>
        <v>147</v>
      </c>
    </row>
    <row r="595" spans="1:12" s="40" customFormat="1" ht="14.25">
      <c r="A595" s="136" t="s">
        <v>421</v>
      </c>
      <c r="B595" s="94" t="s">
        <v>220</v>
      </c>
      <c r="C595" s="94" t="s">
        <v>34</v>
      </c>
      <c r="D595" s="94"/>
      <c r="E595" s="94"/>
      <c r="F595" s="94"/>
      <c r="G595" s="17" t="e">
        <f>G596+#REF!</f>
        <v>#REF!</v>
      </c>
      <c r="H595" s="66">
        <f>H596+H626</f>
        <v>6306.69</v>
      </c>
      <c r="I595" s="66">
        <f>I596+I626</f>
        <v>1663.4334</v>
      </c>
      <c r="J595" s="66">
        <f>J596+J626</f>
        <v>13522.89255</v>
      </c>
      <c r="K595" s="66">
        <f>K596+K626</f>
        <v>1953.7399999999998</v>
      </c>
      <c r="L595" s="66">
        <f>L596+L626</f>
        <v>15476.63255</v>
      </c>
    </row>
    <row r="596" spans="1:12" s="36" customFormat="1" ht="14.25">
      <c r="A596" s="137" t="s">
        <v>50</v>
      </c>
      <c r="B596" s="94" t="s">
        <v>220</v>
      </c>
      <c r="C596" s="94" t="s">
        <v>34</v>
      </c>
      <c r="D596" s="94" t="s">
        <v>6</v>
      </c>
      <c r="E596" s="94"/>
      <c r="F596" s="94"/>
      <c r="G596" s="17" t="e">
        <f>G605+G612</f>
        <v>#REF!</v>
      </c>
      <c r="H596" s="66">
        <f>H605+H612+H623+H597</f>
        <v>4007.2</v>
      </c>
      <c r="I596" s="66">
        <f>I605+I612+I623+I597</f>
        <v>929.0300000000001</v>
      </c>
      <c r="J596" s="66">
        <f>J605+J612+J623+J597+J602+J599</f>
        <v>10488.99915</v>
      </c>
      <c r="K596" s="66">
        <f>K605+K612+K623+K597+K602+K599</f>
        <v>1997.2633199999998</v>
      </c>
      <c r="L596" s="66">
        <f>L605+L612+L623+L597+L602+L599</f>
        <v>12486.26247</v>
      </c>
    </row>
    <row r="597" spans="1:12" s="36" customFormat="1" ht="21" customHeight="1" hidden="1">
      <c r="A597" s="137" t="s">
        <v>486</v>
      </c>
      <c r="B597" s="95" t="s">
        <v>220</v>
      </c>
      <c r="C597" s="95" t="s">
        <v>34</v>
      </c>
      <c r="D597" s="95" t="s">
        <v>6</v>
      </c>
      <c r="E597" s="95" t="s">
        <v>478</v>
      </c>
      <c r="F597" s="95"/>
      <c r="G597" s="17"/>
      <c r="H597" s="69">
        <f>H598</f>
        <v>0</v>
      </c>
      <c r="I597" s="69">
        <f>I598</f>
        <v>0</v>
      </c>
      <c r="J597" s="69">
        <f>J598</f>
        <v>0</v>
      </c>
      <c r="K597" s="69">
        <f>K598</f>
        <v>0</v>
      </c>
      <c r="L597" s="69">
        <f>L598</f>
        <v>0</v>
      </c>
    </row>
    <row r="598" spans="1:12" s="36" customFormat="1" ht="31.5" customHeight="1" hidden="1">
      <c r="A598" s="126" t="s">
        <v>548</v>
      </c>
      <c r="B598" s="95" t="s">
        <v>220</v>
      </c>
      <c r="C598" s="95" t="s">
        <v>34</v>
      </c>
      <c r="D598" s="95" t="s">
        <v>6</v>
      </c>
      <c r="E598" s="95" t="s">
        <v>478</v>
      </c>
      <c r="F598" s="95" t="s">
        <v>147</v>
      </c>
      <c r="G598" s="17"/>
      <c r="H598" s="69"/>
      <c r="I598" s="69"/>
      <c r="J598" s="69">
        <f>H598+I598</f>
        <v>0</v>
      </c>
      <c r="K598" s="69"/>
      <c r="L598" s="69">
        <f>J598+K598</f>
        <v>0</v>
      </c>
    </row>
    <row r="599" spans="1:12" s="36" customFormat="1" ht="23.25" customHeight="1">
      <c r="A599" s="126" t="s">
        <v>561</v>
      </c>
      <c r="B599" s="95" t="s">
        <v>220</v>
      </c>
      <c r="C599" s="95" t="s">
        <v>34</v>
      </c>
      <c r="D599" s="95" t="s">
        <v>6</v>
      </c>
      <c r="E599" s="95" t="s">
        <v>277</v>
      </c>
      <c r="F599" s="95"/>
      <c r="G599" s="17"/>
      <c r="H599" s="69"/>
      <c r="I599" s="69"/>
      <c r="J599" s="69">
        <f>J600+J601</f>
        <v>2950.66923</v>
      </c>
      <c r="K599" s="69">
        <f>K600+K601</f>
        <v>55.235</v>
      </c>
      <c r="L599" s="69">
        <f>L600+L601</f>
        <v>3005.90423</v>
      </c>
    </row>
    <row r="600" spans="1:12" s="36" customFormat="1" ht="14.25">
      <c r="A600" s="129" t="s">
        <v>340</v>
      </c>
      <c r="B600" s="95" t="s">
        <v>220</v>
      </c>
      <c r="C600" s="95" t="s">
        <v>34</v>
      </c>
      <c r="D600" s="95" t="s">
        <v>6</v>
      </c>
      <c r="E600" s="95" t="s">
        <v>277</v>
      </c>
      <c r="F600" s="95" t="s">
        <v>151</v>
      </c>
      <c r="G600" s="17"/>
      <c r="H600" s="69"/>
      <c r="I600" s="69"/>
      <c r="J600" s="69">
        <v>399.29</v>
      </c>
      <c r="K600" s="69"/>
      <c r="L600" s="69">
        <f>J600+K600</f>
        <v>399.29</v>
      </c>
    </row>
    <row r="601" spans="1:12" s="36" customFormat="1" ht="45">
      <c r="A601" s="126" t="s">
        <v>551</v>
      </c>
      <c r="B601" s="95" t="s">
        <v>220</v>
      </c>
      <c r="C601" s="95" t="s">
        <v>34</v>
      </c>
      <c r="D601" s="95" t="s">
        <v>6</v>
      </c>
      <c r="E601" s="95" t="s">
        <v>277</v>
      </c>
      <c r="F601" s="95" t="s">
        <v>126</v>
      </c>
      <c r="G601" s="17"/>
      <c r="H601" s="69"/>
      <c r="I601" s="69"/>
      <c r="J601" s="69">
        <v>2551.37923</v>
      </c>
      <c r="K601" s="69">
        <f>0.235+55</f>
        <v>55.235</v>
      </c>
      <c r="L601" s="69">
        <f>J601+K601</f>
        <v>2606.61423</v>
      </c>
    </row>
    <row r="602" spans="1:12" s="36" customFormat="1" ht="14.25">
      <c r="A602" s="126" t="s">
        <v>553</v>
      </c>
      <c r="B602" s="95" t="s">
        <v>220</v>
      </c>
      <c r="C602" s="95" t="s">
        <v>34</v>
      </c>
      <c r="D602" s="95" t="s">
        <v>6</v>
      </c>
      <c r="E602" s="95" t="s">
        <v>554</v>
      </c>
      <c r="F602" s="95"/>
      <c r="G602" s="17"/>
      <c r="H602" s="69"/>
      <c r="I602" s="69"/>
      <c r="J602" s="69">
        <f>J604++J603</f>
        <v>245.76566</v>
      </c>
      <c r="K602" s="69">
        <f>K604++K603</f>
        <v>154.765</v>
      </c>
      <c r="L602" s="69">
        <f>L604++L603</f>
        <v>400.53066</v>
      </c>
    </row>
    <row r="603" spans="1:12" s="36" customFormat="1" ht="14.25">
      <c r="A603" s="129" t="s">
        <v>340</v>
      </c>
      <c r="B603" s="95" t="s">
        <v>220</v>
      </c>
      <c r="C603" s="95" t="s">
        <v>34</v>
      </c>
      <c r="D603" s="95" t="s">
        <v>6</v>
      </c>
      <c r="E603" s="95" t="s">
        <v>554</v>
      </c>
      <c r="F603" s="95" t="s">
        <v>151</v>
      </c>
      <c r="G603" s="17"/>
      <c r="H603" s="69"/>
      <c r="I603" s="69"/>
      <c r="J603" s="69">
        <v>3.648</v>
      </c>
      <c r="K603" s="69">
        <f>-0.235</f>
        <v>-0.235</v>
      </c>
      <c r="L603" s="69">
        <f>J603+K603</f>
        <v>3.4130000000000003</v>
      </c>
    </row>
    <row r="604" spans="1:12" s="36" customFormat="1" ht="45">
      <c r="A604" s="126" t="s">
        <v>551</v>
      </c>
      <c r="B604" s="95" t="s">
        <v>220</v>
      </c>
      <c r="C604" s="95" t="s">
        <v>34</v>
      </c>
      <c r="D604" s="95" t="s">
        <v>6</v>
      </c>
      <c r="E604" s="95" t="s">
        <v>554</v>
      </c>
      <c r="F604" s="95" t="s">
        <v>126</v>
      </c>
      <c r="G604" s="17"/>
      <c r="H604" s="69"/>
      <c r="I604" s="69"/>
      <c r="J604" s="69">
        <v>242.11766</v>
      </c>
      <c r="K604" s="69">
        <v>155</v>
      </c>
      <c r="L604" s="69">
        <f>J604+K604</f>
        <v>397.11766</v>
      </c>
    </row>
    <row r="605" spans="1:12" ht="15">
      <c r="A605" s="137" t="s">
        <v>342</v>
      </c>
      <c r="B605" s="95" t="s">
        <v>220</v>
      </c>
      <c r="C605" s="95" t="s">
        <v>34</v>
      </c>
      <c r="D605" s="95" t="s">
        <v>6</v>
      </c>
      <c r="E605" s="95" t="s">
        <v>343</v>
      </c>
      <c r="F605" s="95"/>
      <c r="G605" s="22" t="e">
        <f aca="true" t="shared" si="47" ref="G605:L605">G606</f>
        <v>#REF!</v>
      </c>
      <c r="H605" s="69">
        <f t="shared" si="47"/>
        <v>953.8300000000002</v>
      </c>
      <c r="I605" s="69">
        <f t="shared" si="47"/>
        <v>51.739999999999995</v>
      </c>
      <c r="J605" s="69">
        <f>J606</f>
        <v>3257.1942599999998</v>
      </c>
      <c r="K605" s="69">
        <f t="shared" si="47"/>
        <v>0</v>
      </c>
      <c r="L605" s="69">
        <f t="shared" si="47"/>
        <v>3257.1942599999998</v>
      </c>
    </row>
    <row r="606" spans="1:12" ht="23.25">
      <c r="A606" s="137" t="s">
        <v>98</v>
      </c>
      <c r="B606" s="95" t="s">
        <v>220</v>
      </c>
      <c r="C606" s="95" t="s">
        <v>34</v>
      </c>
      <c r="D606" s="95" t="s">
        <v>6</v>
      </c>
      <c r="E606" s="95" t="s">
        <v>344</v>
      </c>
      <c r="F606" s="95"/>
      <c r="G606" s="22" t="e">
        <f>#REF!</f>
        <v>#REF!</v>
      </c>
      <c r="H606" s="69">
        <f>H607+H608+H609+H610</f>
        <v>953.8300000000002</v>
      </c>
      <c r="I606" s="69">
        <f>I607+I608+I609+I610</f>
        <v>51.739999999999995</v>
      </c>
      <c r="J606" s="69">
        <f>J607+J608+J609+J610+J611</f>
        <v>3257.1942599999998</v>
      </c>
      <c r="K606" s="69">
        <f>K607+K608+K609+K610+K611</f>
        <v>0</v>
      </c>
      <c r="L606" s="69">
        <f>L607+L608+L609+L610+L611</f>
        <v>3257.1942599999998</v>
      </c>
    </row>
    <row r="607" spans="1:12" ht="15.75" customHeight="1">
      <c r="A607" s="126" t="s">
        <v>150</v>
      </c>
      <c r="B607" s="95" t="s">
        <v>220</v>
      </c>
      <c r="C607" s="95" t="s">
        <v>34</v>
      </c>
      <c r="D607" s="95" t="s">
        <v>6</v>
      </c>
      <c r="E607" s="95" t="s">
        <v>344</v>
      </c>
      <c r="F607" s="95" t="s">
        <v>151</v>
      </c>
      <c r="G607" s="22"/>
      <c r="H607" s="69">
        <v>702.7</v>
      </c>
      <c r="I607" s="69">
        <v>59.62</v>
      </c>
      <c r="J607" s="69">
        <v>650.17975</v>
      </c>
      <c r="K607" s="69"/>
      <c r="L607" s="69">
        <f>J607+K607</f>
        <v>650.17975</v>
      </c>
    </row>
    <row r="608" spans="1:12" ht="24.75" customHeight="1" hidden="1">
      <c r="A608" s="126" t="s">
        <v>153</v>
      </c>
      <c r="B608" s="95" t="s">
        <v>220</v>
      </c>
      <c r="C608" s="95" t="s">
        <v>34</v>
      </c>
      <c r="D608" s="95" t="s">
        <v>6</v>
      </c>
      <c r="E608" s="95" t="s">
        <v>344</v>
      </c>
      <c r="F608" s="95" t="s">
        <v>154</v>
      </c>
      <c r="G608" s="22"/>
      <c r="H608" s="69">
        <v>1.7</v>
      </c>
      <c r="I608" s="69">
        <v>-1.7</v>
      </c>
      <c r="J608" s="69">
        <f>H608+I608</f>
        <v>0</v>
      </c>
      <c r="K608" s="69"/>
      <c r="L608" s="69">
        <f>J608+K608</f>
        <v>0</v>
      </c>
    </row>
    <row r="609" spans="1:12" ht="30" customHeight="1" hidden="1">
      <c r="A609" s="126" t="s">
        <v>156</v>
      </c>
      <c r="B609" s="95" t="s">
        <v>220</v>
      </c>
      <c r="C609" s="95" t="s">
        <v>34</v>
      </c>
      <c r="D609" s="95" t="s">
        <v>6</v>
      </c>
      <c r="E609" s="95" t="s">
        <v>344</v>
      </c>
      <c r="F609" s="95" t="s">
        <v>157</v>
      </c>
      <c r="G609" s="22"/>
      <c r="H609" s="69"/>
      <c r="I609" s="69"/>
      <c r="J609" s="69">
        <f>H609+I609</f>
        <v>0</v>
      </c>
      <c r="K609" s="69"/>
      <c r="L609" s="69">
        <f>J609+K609</f>
        <v>0</v>
      </c>
    </row>
    <row r="610" spans="1:12" ht="30" customHeight="1">
      <c r="A610" s="126" t="s">
        <v>548</v>
      </c>
      <c r="B610" s="95" t="s">
        <v>220</v>
      </c>
      <c r="C610" s="95" t="s">
        <v>34</v>
      </c>
      <c r="D610" s="95" t="s">
        <v>6</v>
      </c>
      <c r="E610" s="95" t="s">
        <v>344</v>
      </c>
      <c r="F610" s="95" t="s">
        <v>147</v>
      </c>
      <c r="G610" s="22"/>
      <c r="H610" s="69">
        <v>249.43</v>
      </c>
      <c r="I610" s="69">
        <v>-6.18</v>
      </c>
      <c r="J610" s="69">
        <v>122.76913</v>
      </c>
      <c r="K610" s="69"/>
      <c r="L610" s="69">
        <f>J610+K610</f>
        <v>122.76913</v>
      </c>
    </row>
    <row r="611" spans="1:12" ht="47.25" customHeight="1">
      <c r="A611" s="126" t="s">
        <v>551</v>
      </c>
      <c r="B611" s="95" t="s">
        <v>220</v>
      </c>
      <c r="C611" s="95" t="s">
        <v>34</v>
      </c>
      <c r="D611" s="95" t="s">
        <v>6</v>
      </c>
      <c r="E611" s="95" t="s">
        <v>344</v>
      </c>
      <c r="F611" s="95" t="s">
        <v>126</v>
      </c>
      <c r="G611" s="22"/>
      <c r="H611" s="69"/>
      <c r="I611" s="69"/>
      <c r="J611" s="69">
        <v>2484.24538</v>
      </c>
      <c r="K611" s="69"/>
      <c r="L611" s="69">
        <f>J611+K611</f>
        <v>2484.24538</v>
      </c>
    </row>
    <row r="612" spans="1:12" ht="23.25">
      <c r="A612" s="137" t="s">
        <v>345</v>
      </c>
      <c r="B612" s="95" t="s">
        <v>220</v>
      </c>
      <c r="C612" s="95" t="s">
        <v>34</v>
      </c>
      <c r="D612" s="95" t="s">
        <v>6</v>
      </c>
      <c r="E612" s="95" t="s">
        <v>346</v>
      </c>
      <c r="F612" s="95"/>
      <c r="G612" s="22" t="e">
        <f aca="true" t="shared" si="48" ref="G612:L612">G613+G621</f>
        <v>#REF!</v>
      </c>
      <c r="H612" s="69">
        <f t="shared" si="48"/>
        <v>3016.5699999999997</v>
      </c>
      <c r="I612" s="69">
        <f t="shared" si="48"/>
        <v>877.19</v>
      </c>
      <c r="J612" s="69">
        <f t="shared" si="48"/>
        <v>3998.4700000000003</v>
      </c>
      <c r="K612" s="69">
        <f t="shared" si="48"/>
        <v>13.763319999999993</v>
      </c>
      <c r="L612" s="69">
        <f t="shared" si="48"/>
        <v>4012.2333200000003</v>
      </c>
    </row>
    <row r="613" spans="1:12" ht="23.25">
      <c r="A613" s="137" t="s">
        <v>98</v>
      </c>
      <c r="B613" s="95" t="s">
        <v>220</v>
      </c>
      <c r="C613" s="95" t="s">
        <v>34</v>
      </c>
      <c r="D613" s="95" t="s">
        <v>6</v>
      </c>
      <c r="E613" s="95" t="s">
        <v>347</v>
      </c>
      <c r="F613" s="95"/>
      <c r="G613" s="22" t="e">
        <f>#REF!</f>
        <v>#REF!</v>
      </c>
      <c r="H613" s="69">
        <f>H615+H617+H614+H616+H619+H620</f>
        <v>2978.5699999999997</v>
      </c>
      <c r="I613" s="69">
        <f>I615+I617+I614+I616+I619+I620</f>
        <v>880.19</v>
      </c>
      <c r="J613" s="69">
        <f>J615+J617+J614+J616+J619+J620+J618</f>
        <v>3998.4700000000003</v>
      </c>
      <c r="K613" s="69">
        <f>K615+K617+K614+K616+K619+K620+K618</f>
        <v>13.763319999999993</v>
      </c>
      <c r="L613" s="69">
        <f>L615+L617+L614+L616+L619+L620+L618</f>
        <v>4012.2333200000003</v>
      </c>
    </row>
    <row r="614" spans="1:12" ht="15">
      <c r="A614" s="126" t="s">
        <v>340</v>
      </c>
      <c r="B614" s="95" t="s">
        <v>220</v>
      </c>
      <c r="C614" s="95" t="s">
        <v>34</v>
      </c>
      <c r="D614" s="95" t="s">
        <v>6</v>
      </c>
      <c r="E614" s="95" t="s">
        <v>347</v>
      </c>
      <c r="F614" s="95" t="s">
        <v>151</v>
      </c>
      <c r="G614" s="22"/>
      <c r="H614" s="69">
        <v>2350.1</v>
      </c>
      <c r="I614" s="69">
        <v>194.66</v>
      </c>
      <c r="J614" s="69">
        <v>1387.46856</v>
      </c>
      <c r="K614" s="69">
        <v>-276.649</v>
      </c>
      <c r="L614" s="69">
        <f aca="true" t="shared" si="49" ref="L614:L620">J614+K614</f>
        <v>1110.81956</v>
      </c>
    </row>
    <row r="615" spans="1:12" ht="22.5">
      <c r="A615" s="126" t="s">
        <v>224</v>
      </c>
      <c r="B615" s="95" t="s">
        <v>220</v>
      </c>
      <c r="C615" s="95" t="s">
        <v>34</v>
      </c>
      <c r="D615" s="95" t="s">
        <v>6</v>
      </c>
      <c r="E615" s="95" t="s">
        <v>347</v>
      </c>
      <c r="F615" s="95" t="s">
        <v>154</v>
      </c>
      <c r="G615" s="22"/>
      <c r="H615" s="69">
        <v>89.6</v>
      </c>
      <c r="I615" s="69">
        <v>-9.6</v>
      </c>
      <c r="J615" s="69">
        <v>13.6</v>
      </c>
      <c r="K615" s="69"/>
      <c r="L615" s="69">
        <f t="shared" si="49"/>
        <v>13.6</v>
      </c>
    </row>
    <row r="616" spans="1:12" ht="25.5" customHeight="1" hidden="1">
      <c r="A616" s="126" t="s">
        <v>156</v>
      </c>
      <c r="B616" s="95" t="s">
        <v>220</v>
      </c>
      <c r="C616" s="95" t="s">
        <v>34</v>
      </c>
      <c r="D616" s="95" t="s">
        <v>6</v>
      </c>
      <c r="E616" s="95" t="s">
        <v>347</v>
      </c>
      <c r="F616" s="95" t="s">
        <v>157</v>
      </c>
      <c r="G616" s="22"/>
      <c r="H616" s="69">
        <v>200</v>
      </c>
      <c r="I616" s="69">
        <v>-200</v>
      </c>
      <c r="J616" s="69">
        <f>H616+I616</f>
        <v>0</v>
      </c>
      <c r="K616" s="69"/>
      <c r="L616" s="69">
        <f t="shared" si="49"/>
        <v>0</v>
      </c>
    </row>
    <row r="617" spans="1:12" ht="33.75">
      <c r="A617" s="126" t="s">
        <v>548</v>
      </c>
      <c r="B617" s="95" t="s">
        <v>220</v>
      </c>
      <c r="C617" s="95" t="s">
        <v>34</v>
      </c>
      <c r="D617" s="95" t="s">
        <v>6</v>
      </c>
      <c r="E617" s="95" t="s">
        <v>347</v>
      </c>
      <c r="F617" s="95" t="s">
        <v>147</v>
      </c>
      <c r="G617" s="22"/>
      <c r="H617" s="69">
        <v>338.87</v>
      </c>
      <c r="I617" s="69">
        <v>845.13</v>
      </c>
      <c r="J617" s="69">
        <v>780.57768</v>
      </c>
      <c r="K617" s="69">
        <f>215.91232</f>
        <v>215.91232</v>
      </c>
      <c r="L617" s="69">
        <f t="shared" si="49"/>
        <v>996.49</v>
      </c>
    </row>
    <row r="618" spans="1:12" ht="45">
      <c r="A618" s="126" t="s">
        <v>551</v>
      </c>
      <c r="B618" s="95" t="s">
        <v>220</v>
      </c>
      <c r="C618" s="95" t="s">
        <v>34</v>
      </c>
      <c r="D618" s="95" t="s">
        <v>6</v>
      </c>
      <c r="E618" s="95" t="s">
        <v>347</v>
      </c>
      <c r="F618" s="95" t="s">
        <v>126</v>
      </c>
      <c r="G618" s="22"/>
      <c r="H618" s="69"/>
      <c r="I618" s="69"/>
      <c r="J618" s="69">
        <v>1766.82376</v>
      </c>
      <c r="K618" s="69">
        <f>109.5-35</f>
        <v>74.5</v>
      </c>
      <c r="L618" s="69">
        <f t="shared" si="49"/>
        <v>1841.32376</v>
      </c>
    </row>
    <row r="619" spans="1:12" ht="21.75" customHeight="1">
      <c r="A619" s="126" t="s">
        <v>265</v>
      </c>
      <c r="B619" s="95" t="s">
        <v>220</v>
      </c>
      <c r="C619" s="95" t="s">
        <v>34</v>
      </c>
      <c r="D619" s="95" t="s">
        <v>6</v>
      </c>
      <c r="E619" s="95" t="s">
        <v>347</v>
      </c>
      <c r="F619" s="95" t="s">
        <v>159</v>
      </c>
      <c r="G619" s="22"/>
      <c r="H619" s="69"/>
      <c r="I619" s="69">
        <v>20.82</v>
      </c>
      <c r="J619" s="69">
        <f>H619+I619</f>
        <v>20.82</v>
      </c>
      <c r="K619" s="69"/>
      <c r="L619" s="69">
        <f t="shared" si="49"/>
        <v>20.82</v>
      </c>
    </row>
    <row r="620" spans="1:12" ht="15" customHeight="1">
      <c r="A620" s="129" t="s">
        <v>160</v>
      </c>
      <c r="B620" s="95" t="s">
        <v>220</v>
      </c>
      <c r="C620" s="95" t="s">
        <v>34</v>
      </c>
      <c r="D620" s="95" t="s">
        <v>6</v>
      </c>
      <c r="E620" s="95" t="s">
        <v>347</v>
      </c>
      <c r="F620" s="95" t="s">
        <v>161</v>
      </c>
      <c r="G620" s="22"/>
      <c r="H620" s="69"/>
      <c r="I620" s="69">
        <v>29.18</v>
      </c>
      <c r="J620" s="69">
        <f>H620+I620</f>
        <v>29.18</v>
      </c>
      <c r="K620" s="69"/>
      <c r="L620" s="69">
        <f t="shared" si="49"/>
        <v>29.18</v>
      </c>
    </row>
    <row r="621" spans="1:12" ht="23.25">
      <c r="A621" s="137" t="s">
        <v>98</v>
      </c>
      <c r="B621" s="95" t="s">
        <v>220</v>
      </c>
      <c r="C621" s="95" t="s">
        <v>34</v>
      </c>
      <c r="D621" s="95" t="s">
        <v>6</v>
      </c>
      <c r="E621" s="95" t="s">
        <v>348</v>
      </c>
      <c r="F621" s="95"/>
      <c r="G621" s="22" t="e">
        <f>#REF!</f>
        <v>#REF!</v>
      </c>
      <c r="H621" s="73">
        <f>H622</f>
        <v>38</v>
      </c>
      <c r="I621" s="73">
        <f>I622</f>
        <v>-3</v>
      </c>
      <c r="J621" s="73">
        <f>J622</f>
        <v>0</v>
      </c>
      <c r="K621" s="73">
        <f>K622</f>
        <v>0</v>
      </c>
      <c r="L621" s="73">
        <f>L622</f>
        <v>0</v>
      </c>
    </row>
    <row r="622" spans="1:12" ht="22.5">
      <c r="A622" s="126" t="s">
        <v>225</v>
      </c>
      <c r="B622" s="95" t="s">
        <v>220</v>
      </c>
      <c r="C622" s="95" t="s">
        <v>34</v>
      </c>
      <c r="D622" s="95" t="s">
        <v>6</v>
      </c>
      <c r="E622" s="95" t="s">
        <v>348</v>
      </c>
      <c r="F622" s="95" t="s">
        <v>147</v>
      </c>
      <c r="G622" s="22"/>
      <c r="H622" s="69">
        <v>38</v>
      </c>
      <c r="I622" s="69">
        <v>-3</v>
      </c>
      <c r="J622" s="69">
        <v>0</v>
      </c>
      <c r="K622" s="69"/>
      <c r="L622" s="69">
        <f>J622+K622</f>
        <v>0</v>
      </c>
    </row>
    <row r="623" spans="1:12" ht="23.25">
      <c r="A623" s="137" t="s">
        <v>418</v>
      </c>
      <c r="B623" s="95" t="s">
        <v>220</v>
      </c>
      <c r="C623" s="95" t="s">
        <v>34</v>
      </c>
      <c r="D623" s="95" t="s">
        <v>6</v>
      </c>
      <c r="E623" s="95" t="s">
        <v>419</v>
      </c>
      <c r="F623" s="95"/>
      <c r="G623" s="21">
        <f>G624</f>
        <v>0</v>
      </c>
      <c r="H623" s="69">
        <f>H624</f>
        <v>36.8</v>
      </c>
      <c r="I623" s="69">
        <f>I624</f>
        <v>0.1</v>
      </c>
      <c r="J623" s="69">
        <f>J624+J625</f>
        <v>36.9</v>
      </c>
      <c r="K623" s="69">
        <f>K624+K625</f>
        <v>1773.5</v>
      </c>
      <c r="L623" s="69">
        <f>L624+L625</f>
        <v>1810.4</v>
      </c>
    </row>
    <row r="624" spans="1:12" ht="24.75" customHeight="1">
      <c r="A624" s="126" t="s">
        <v>548</v>
      </c>
      <c r="B624" s="95" t="s">
        <v>220</v>
      </c>
      <c r="C624" s="95" t="s">
        <v>34</v>
      </c>
      <c r="D624" s="95" t="s">
        <v>6</v>
      </c>
      <c r="E624" s="95" t="s">
        <v>419</v>
      </c>
      <c r="F624" s="95" t="s">
        <v>147</v>
      </c>
      <c r="G624" s="22"/>
      <c r="H624" s="69">
        <v>36.8</v>
      </c>
      <c r="I624" s="69">
        <v>0.1</v>
      </c>
      <c r="J624" s="69">
        <v>0</v>
      </c>
      <c r="K624" s="69">
        <v>0</v>
      </c>
      <c r="L624" s="69">
        <f>J624+K624</f>
        <v>0</v>
      </c>
    </row>
    <row r="625" spans="1:12" ht="24.75" customHeight="1">
      <c r="A625" s="126" t="s">
        <v>551</v>
      </c>
      <c r="B625" s="95" t="s">
        <v>220</v>
      </c>
      <c r="C625" s="95" t="s">
        <v>34</v>
      </c>
      <c r="D625" s="95" t="s">
        <v>6</v>
      </c>
      <c r="E625" s="95" t="s">
        <v>419</v>
      </c>
      <c r="F625" s="95" t="s">
        <v>126</v>
      </c>
      <c r="G625" s="22"/>
      <c r="H625" s="69"/>
      <c r="I625" s="69"/>
      <c r="J625" s="69">
        <v>36.9</v>
      </c>
      <c r="K625" s="69">
        <v>1773.5</v>
      </c>
      <c r="L625" s="69">
        <f>J625+K625</f>
        <v>1810.4</v>
      </c>
    </row>
    <row r="626" spans="1:12" ht="22.5">
      <c r="A626" s="136" t="s">
        <v>349</v>
      </c>
      <c r="B626" s="94" t="s">
        <v>220</v>
      </c>
      <c r="C626" s="94" t="s">
        <v>34</v>
      </c>
      <c r="D626" s="94" t="s">
        <v>9</v>
      </c>
      <c r="E626" s="94"/>
      <c r="F626" s="94"/>
      <c r="G626" s="17" t="e">
        <f aca="true" t="shared" si="50" ref="G626:L627">G627</f>
        <v>#REF!</v>
      </c>
      <c r="H626" s="66">
        <f t="shared" si="50"/>
        <v>2299.49</v>
      </c>
      <c r="I626" s="66">
        <f t="shared" si="50"/>
        <v>734.4033999999999</v>
      </c>
      <c r="J626" s="66">
        <f t="shared" si="50"/>
        <v>3033.8934</v>
      </c>
      <c r="K626" s="66">
        <f t="shared" si="50"/>
        <v>-43.523319999999956</v>
      </c>
      <c r="L626" s="66">
        <f t="shared" si="50"/>
        <v>2990.37008</v>
      </c>
    </row>
    <row r="627" spans="1:12" ht="23.25">
      <c r="A627" s="137" t="s">
        <v>332</v>
      </c>
      <c r="B627" s="95" t="s">
        <v>220</v>
      </c>
      <c r="C627" s="95" t="s">
        <v>34</v>
      </c>
      <c r="D627" s="95" t="s">
        <v>9</v>
      </c>
      <c r="E627" s="95" t="s">
        <v>104</v>
      </c>
      <c r="F627" s="95"/>
      <c r="G627" s="22" t="e">
        <f t="shared" si="50"/>
        <v>#REF!</v>
      </c>
      <c r="H627" s="69">
        <f t="shared" si="50"/>
        <v>2299.49</v>
      </c>
      <c r="I627" s="69">
        <f t="shared" si="50"/>
        <v>734.4033999999999</v>
      </c>
      <c r="J627" s="69">
        <f t="shared" si="50"/>
        <v>3033.8934</v>
      </c>
      <c r="K627" s="69">
        <f t="shared" si="50"/>
        <v>-43.523319999999956</v>
      </c>
      <c r="L627" s="69">
        <f t="shared" si="50"/>
        <v>2990.37008</v>
      </c>
    </row>
    <row r="628" spans="1:12" ht="23.25">
      <c r="A628" s="137" t="s">
        <v>98</v>
      </c>
      <c r="B628" s="95" t="s">
        <v>220</v>
      </c>
      <c r="C628" s="95" t="s">
        <v>34</v>
      </c>
      <c r="D628" s="95" t="s">
        <v>9</v>
      </c>
      <c r="E628" s="95" t="s">
        <v>105</v>
      </c>
      <c r="F628" s="95"/>
      <c r="G628" s="22" t="e">
        <f>#REF!</f>
        <v>#REF!</v>
      </c>
      <c r="H628" s="69">
        <f>H629+H630+H632+H631+H633</f>
        <v>2299.49</v>
      </c>
      <c r="I628" s="69">
        <f>I629+I630+I632+I631+I633</f>
        <v>734.4033999999999</v>
      </c>
      <c r="J628" s="69">
        <f>J629+J630+J632+J631+J633</f>
        <v>3033.8934</v>
      </c>
      <c r="K628" s="69">
        <f>K629+K630+K632+K631+K633</f>
        <v>-43.523319999999956</v>
      </c>
      <c r="L628" s="69">
        <f>L629+L630+L632+L631+L633</f>
        <v>2990.37008</v>
      </c>
    </row>
    <row r="629" spans="1:12" ht="15">
      <c r="A629" s="126" t="s">
        <v>340</v>
      </c>
      <c r="B629" s="95" t="s">
        <v>220</v>
      </c>
      <c r="C629" s="95" t="s">
        <v>34</v>
      </c>
      <c r="D629" s="95" t="s">
        <v>9</v>
      </c>
      <c r="E629" s="95" t="s">
        <v>105</v>
      </c>
      <c r="F629" s="95" t="s">
        <v>151</v>
      </c>
      <c r="G629" s="22"/>
      <c r="H629" s="69">
        <v>1934.8</v>
      </c>
      <c r="I629" s="69">
        <v>377.75</v>
      </c>
      <c r="J629" s="69">
        <v>2139.55</v>
      </c>
      <c r="K629" s="69">
        <v>-545.146</v>
      </c>
      <c r="L629" s="69">
        <f>J629+K629</f>
        <v>1594.4040000000002</v>
      </c>
    </row>
    <row r="630" spans="1:12" ht="21" customHeight="1" hidden="1">
      <c r="A630" s="126" t="s">
        <v>224</v>
      </c>
      <c r="B630" s="95" t="s">
        <v>220</v>
      </c>
      <c r="C630" s="95" t="s">
        <v>34</v>
      </c>
      <c r="D630" s="95" t="s">
        <v>9</v>
      </c>
      <c r="E630" s="95" t="s">
        <v>105</v>
      </c>
      <c r="F630" s="95" t="s">
        <v>154</v>
      </c>
      <c r="G630" s="22"/>
      <c r="H630" s="69"/>
      <c r="I630" s="69"/>
      <c r="J630" s="69">
        <f>H630+I630</f>
        <v>0</v>
      </c>
      <c r="K630" s="69"/>
      <c r="L630" s="69">
        <f>J630+K630</f>
        <v>0</v>
      </c>
    </row>
    <row r="631" spans="1:12" ht="27.75" customHeight="1">
      <c r="A631" s="126" t="s">
        <v>156</v>
      </c>
      <c r="B631" s="95" t="s">
        <v>220</v>
      </c>
      <c r="C631" s="95" t="s">
        <v>34</v>
      </c>
      <c r="D631" s="95" t="s">
        <v>9</v>
      </c>
      <c r="E631" s="95" t="s">
        <v>105</v>
      </c>
      <c r="F631" s="95" t="s">
        <v>157</v>
      </c>
      <c r="G631" s="22"/>
      <c r="H631" s="69">
        <v>5</v>
      </c>
      <c r="I631" s="69">
        <v>70</v>
      </c>
      <c r="J631" s="69">
        <f>H631+I631</f>
        <v>75</v>
      </c>
      <c r="K631" s="69"/>
      <c r="L631" s="69">
        <f>J631+K631</f>
        <v>75</v>
      </c>
    </row>
    <row r="632" spans="1:12" ht="25.5" customHeight="1">
      <c r="A632" s="126" t="s">
        <v>548</v>
      </c>
      <c r="B632" s="95" t="s">
        <v>220</v>
      </c>
      <c r="C632" s="95" t="s">
        <v>34</v>
      </c>
      <c r="D632" s="95" t="s">
        <v>9</v>
      </c>
      <c r="E632" s="95" t="s">
        <v>105</v>
      </c>
      <c r="F632" s="95" t="s">
        <v>147</v>
      </c>
      <c r="G632" s="22"/>
      <c r="H632" s="69">
        <v>359.69</v>
      </c>
      <c r="I632" s="69">
        <f>286.6534</f>
        <v>286.6534</v>
      </c>
      <c r="J632" s="69">
        <v>819.3434</v>
      </c>
      <c r="K632" s="69"/>
      <c r="L632" s="69">
        <f>J632+K632</f>
        <v>819.3434</v>
      </c>
    </row>
    <row r="633" spans="1:12" ht="38.25" customHeight="1">
      <c r="A633" s="126" t="s">
        <v>551</v>
      </c>
      <c r="B633" s="95" t="s">
        <v>220</v>
      </c>
      <c r="C633" s="95" t="s">
        <v>34</v>
      </c>
      <c r="D633" s="95" t="s">
        <v>9</v>
      </c>
      <c r="E633" s="95" t="s">
        <v>105</v>
      </c>
      <c r="F633" s="95" t="s">
        <v>126</v>
      </c>
      <c r="G633" s="22"/>
      <c r="H633" s="69"/>
      <c r="I633" s="69"/>
      <c r="J633" s="69">
        <f>H633+I633</f>
        <v>0</v>
      </c>
      <c r="K633" s="69">
        <v>501.62268</v>
      </c>
      <c r="L633" s="69">
        <f>J633+K633</f>
        <v>501.62268</v>
      </c>
    </row>
    <row r="634" spans="1:12" s="36" customFormat="1" ht="14.25">
      <c r="A634" s="139" t="s">
        <v>62</v>
      </c>
      <c r="B634" s="94" t="s">
        <v>220</v>
      </c>
      <c r="C634" s="94" t="s">
        <v>61</v>
      </c>
      <c r="D634" s="94" t="s">
        <v>206</v>
      </c>
      <c r="E634" s="94"/>
      <c r="F634" s="94"/>
      <c r="G634" s="17"/>
      <c r="H634" s="66">
        <f aca="true" t="shared" si="51" ref="H634:L635">H635</f>
        <v>0</v>
      </c>
      <c r="I634" s="66">
        <f t="shared" si="51"/>
        <v>200</v>
      </c>
      <c r="J634" s="66">
        <f t="shared" si="51"/>
        <v>200</v>
      </c>
      <c r="K634" s="66">
        <f t="shared" si="51"/>
        <v>30</v>
      </c>
      <c r="L634" s="66">
        <f t="shared" si="51"/>
        <v>230</v>
      </c>
    </row>
    <row r="635" spans="1:12" s="36" customFormat="1" ht="16.5" customHeight="1">
      <c r="A635" s="153" t="s">
        <v>68</v>
      </c>
      <c r="B635" s="94" t="s">
        <v>220</v>
      </c>
      <c r="C635" s="94" t="s">
        <v>61</v>
      </c>
      <c r="D635" s="94" t="s">
        <v>12</v>
      </c>
      <c r="E635" s="94"/>
      <c r="F635" s="94"/>
      <c r="G635" s="17"/>
      <c r="H635" s="66">
        <f t="shared" si="51"/>
        <v>0</v>
      </c>
      <c r="I635" s="66">
        <f t="shared" si="51"/>
        <v>200</v>
      </c>
      <c r="J635" s="66">
        <f t="shared" si="51"/>
        <v>200</v>
      </c>
      <c r="K635" s="66">
        <f t="shared" si="51"/>
        <v>30</v>
      </c>
      <c r="L635" s="66">
        <f t="shared" si="51"/>
        <v>230</v>
      </c>
    </row>
    <row r="636" spans="1:12" ht="15">
      <c r="A636" s="137" t="s">
        <v>312</v>
      </c>
      <c r="B636" s="95" t="s">
        <v>220</v>
      </c>
      <c r="C636" s="95" t="s">
        <v>61</v>
      </c>
      <c r="D636" s="95" t="s">
        <v>12</v>
      </c>
      <c r="E636" s="95" t="s">
        <v>252</v>
      </c>
      <c r="F636" s="95"/>
      <c r="G636" s="22">
        <f aca="true" t="shared" si="52" ref="G636:L636">G637+G639</f>
        <v>75</v>
      </c>
      <c r="H636" s="69">
        <f t="shared" si="52"/>
        <v>0</v>
      </c>
      <c r="I636" s="69">
        <f t="shared" si="52"/>
        <v>200</v>
      </c>
      <c r="J636" s="69">
        <f t="shared" si="52"/>
        <v>200</v>
      </c>
      <c r="K636" s="69">
        <f t="shared" si="52"/>
        <v>30</v>
      </c>
      <c r="L636" s="69">
        <f t="shared" si="52"/>
        <v>230</v>
      </c>
    </row>
    <row r="637" spans="1:12" ht="23.25">
      <c r="A637" s="124" t="s">
        <v>253</v>
      </c>
      <c r="B637" s="95" t="s">
        <v>220</v>
      </c>
      <c r="C637" s="95" t="s">
        <v>61</v>
      </c>
      <c r="D637" s="95" t="s">
        <v>12</v>
      </c>
      <c r="E637" s="95" t="s">
        <v>254</v>
      </c>
      <c r="F637" s="95"/>
      <c r="G637" s="22">
        <f aca="true" t="shared" si="53" ref="G637:L637">G638</f>
        <v>35</v>
      </c>
      <c r="H637" s="69">
        <f t="shared" si="53"/>
        <v>0</v>
      </c>
      <c r="I637" s="69">
        <f t="shared" si="53"/>
        <v>200</v>
      </c>
      <c r="J637" s="69">
        <f t="shared" si="53"/>
        <v>200</v>
      </c>
      <c r="K637" s="69">
        <f t="shared" si="53"/>
        <v>30</v>
      </c>
      <c r="L637" s="69">
        <f t="shared" si="53"/>
        <v>230</v>
      </c>
    </row>
    <row r="638" spans="1:12" ht="27" customHeight="1">
      <c r="A638" s="126" t="s">
        <v>548</v>
      </c>
      <c r="B638" s="95" t="s">
        <v>220</v>
      </c>
      <c r="C638" s="95" t="s">
        <v>61</v>
      </c>
      <c r="D638" s="95" t="s">
        <v>12</v>
      </c>
      <c r="E638" s="95" t="s">
        <v>254</v>
      </c>
      <c r="F638" s="95" t="s">
        <v>147</v>
      </c>
      <c r="G638" s="22">
        <f>15.4+19.6</f>
        <v>35</v>
      </c>
      <c r="H638" s="69"/>
      <c r="I638" s="69">
        <v>200</v>
      </c>
      <c r="J638" s="69">
        <f>H638+I638</f>
        <v>200</v>
      </c>
      <c r="K638" s="69">
        <v>30</v>
      </c>
      <c r="L638" s="69">
        <f>J638+K638</f>
        <v>230</v>
      </c>
    </row>
    <row r="639" spans="1:12" ht="30" customHeight="1" hidden="1">
      <c r="A639" s="137" t="s">
        <v>255</v>
      </c>
      <c r="B639" s="95" t="s">
        <v>220</v>
      </c>
      <c r="C639" s="95" t="s">
        <v>61</v>
      </c>
      <c r="D639" s="95" t="s">
        <v>12</v>
      </c>
      <c r="E639" s="95" t="s">
        <v>256</v>
      </c>
      <c r="F639" s="95"/>
      <c r="G639" s="22">
        <f aca="true" t="shared" si="54" ref="G639:L639">G640</f>
        <v>40</v>
      </c>
      <c r="H639" s="69">
        <f t="shared" si="54"/>
        <v>0</v>
      </c>
      <c r="I639" s="69">
        <f t="shared" si="54"/>
        <v>0</v>
      </c>
      <c r="J639" s="69">
        <f t="shared" si="54"/>
        <v>0</v>
      </c>
      <c r="K639" s="69">
        <f t="shared" si="54"/>
        <v>0</v>
      </c>
      <c r="L639" s="69">
        <f t="shared" si="54"/>
        <v>0</v>
      </c>
    </row>
    <row r="640" spans="1:12" ht="31.5" customHeight="1" hidden="1">
      <c r="A640" s="126" t="s">
        <v>145</v>
      </c>
      <c r="B640" s="95" t="s">
        <v>258</v>
      </c>
      <c r="C640" s="95" t="s">
        <v>61</v>
      </c>
      <c r="D640" s="95" t="s">
        <v>12</v>
      </c>
      <c r="E640" s="95" t="s">
        <v>256</v>
      </c>
      <c r="F640" s="95" t="s">
        <v>147</v>
      </c>
      <c r="G640" s="22">
        <v>40</v>
      </c>
      <c r="H640" s="69"/>
      <c r="I640" s="69"/>
      <c r="J640" s="69">
        <f>H640+I640</f>
        <v>0</v>
      </c>
      <c r="K640" s="69"/>
      <c r="L640" s="69">
        <f>J640+K640</f>
        <v>0</v>
      </c>
    </row>
    <row r="641" spans="1:12" ht="15">
      <c r="A641" s="123" t="s">
        <v>58</v>
      </c>
      <c r="B641" s="94" t="s">
        <v>220</v>
      </c>
      <c r="C641" s="94" t="s">
        <v>16</v>
      </c>
      <c r="D641" s="95"/>
      <c r="E641" s="95"/>
      <c r="F641" s="95"/>
      <c r="G641" s="22"/>
      <c r="H641" s="66">
        <f>H642</f>
        <v>1287.58</v>
      </c>
      <c r="I641" s="66">
        <f>I642</f>
        <v>12.42</v>
      </c>
      <c r="J641" s="66">
        <f>J642</f>
        <v>1440</v>
      </c>
      <c r="K641" s="66">
        <f>K642</f>
        <v>229.26</v>
      </c>
      <c r="L641" s="66">
        <f>L642</f>
        <v>1669.26</v>
      </c>
    </row>
    <row r="642" spans="1:12" ht="15">
      <c r="A642" s="136" t="s">
        <v>352</v>
      </c>
      <c r="B642" s="94" t="s">
        <v>220</v>
      </c>
      <c r="C642" s="94" t="s">
        <v>16</v>
      </c>
      <c r="D642" s="94" t="s">
        <v>6</v>
      </c>
      <c r="E642" s="94"/>
      <c r="F642" s="94"/>
      <c r="G642" s="17" t="e">
        <f aca="true" t="shared" si="55" ref="G642:K643">G643</f>
        <v>#REF!</v>
      </c>
      <c r="H642" s="66">
        <f t="shared" si="55"/>
        <v>1287.58</v>
      </c>
      <c r="I642" s="66">
        <f t="shared" si="55"/>
        <v>12.42</v>
      </c>
      <c r="J642" s="66">
        <f>J643</f>
        <v>1440</v>
      </c>
      <c r="K642" s="66">
        <f t="shared" si="55"/>
        <v>229.26</v>
      </c>
      <c r="L642" s="66">
        <f>L643</f>
        <v>1669.26</v>
      </c>
    </row>
    <row r="643" spans="1:12" ht="23.25">
      <c r="A643" s="137" t="s">
        <v>333</v>
      </c>
      <c r="B643" s="95" t="s">
        <v>220</v>
      </c>
      <c r="C643" s="95" t="s">
        <v>16</v>
      </c>
      <c r="D643" s="95" t="s">
        <v>6</v>
      </c>
      <c r="E643" s="95" t="s">
        <v>350</v>
      </c>
      <c r="F643" s="95"/>
      <c r="G643" s="22" t="e">
        <f t="shared" si="55"/>
        <v>#REF!</v>
      </c>
      <c r="H643" s="69">
        <f t="shared" si="55"/>
        <v>1287.58</v>
      </c>
      <c r="I643" s="69">
        <f t="shared" si="55"/>
        <v>12.42</v>
      </c>
      <c r="J643" s="69">
        <f>J644</f>
        <v>1440</v>
      </c>
      <c r="K643" s="69">
        <f t="shared" si="55"/>
        <v>229.26</v>
      </c>
      <c r="L643" s="69">
        <f>L644</f>
        <v>1669.26</v>
      </c>
    </row>
    <row r="644" spans="1:12" ht="21.75" customHeight="1">
      <c r="A644" s="137" t="s">
        <v>353</v>
      </c>
      <c r="B644" s="95" t="s">
        <v>220</v>
      </c>
      <c r="C644" s="95" t="s">
        <v>16</v>
      </c>
      <c r="D644" s="95" t="s">
        <v>6</v>
      </c>
      <c r="E644" s="95" t="s">
        <v>351</v>
      </c>
      <c r="F644" s="95"/>
      <c r="G644" s="22" t="e">
        <f>#REF!</f>
        <v>#REF!</v>
      </c>
      <c r="H644" s="69">
        <f>H645+H646</f>
        <v>1287.58</v>
      </c>
      <c r="I644" s="69">
        <f>I645+I646</f>
        <v>12.42</v>
      </c>
      <c r="J644" s="69">
        <f>J645+J646</f>
        <v>1440</v>
      </c>
      <c r="K644" s="69">
        <f>K645+K646</f>
        <v>229.26</v>
      </c>
      <c r="L644" s="69">
        <f>L645+L646</f>
        <v>1669.26</v>
      </c>
    </row>
    <row r="645" spans="1:12" ht="22.5">
      <c r="A645" s="126" t="s">
        <v>224</v>
      </c>
      <c r="B645" s="95" t="s">
        <v>220</v>
      </c>
      <c r="C645" s="95" t="s">
        <v>16</v>
      </c>
      <c r="D645" s="95" t="s">
        <v>6</v>
      </c>
      <c r="E645" s="95" t="s">
        <v>351</v>
      </c>
      <c r="F645" s="95" t="s">
        <v>154</v>
      </c>
      <c r="G645" s="22"/>
      <c r="H645" s="69">
        <v>122.5</v>
      </c>
      <c r="I645" s="69">
        <v>27.5</v>
      </c>
      <c r="J645" s="69">
        <v>153</v>
      </c>
      <c r="K645" s="69">
        <f>20-20</f>
        <v>0</v>
      </c>
      <c r="L645" s="69">
        <f>J645+K645</f>
        <v>153</v>
      </c>
    </row>
    <row r="646" spans="1:12" ht="27" customHeight="1">
      <c r="A646" s="126" t="s">
        <v>548</v>
      </c>
      <c r="B646" s="95" t="s">
        <v>220</v>
      </c>
      <c r="C646" s="95" t="s">
        <v>16</v>
      </c>
      <c r="D646" s="95" t="s">
        <v>6</v>
      </c>
      <c r="E646" s="95" t="s">
        <v>351</v>
      </c>
      <c r="F646" s="95" t="s">
        <v>147</v>
      </c>
      <c r="G646" s="22"/>
      <c r="H646" s="69">
        <v>1165.08</v>
      </c>
      <c r="I646" s="69">
        <v>-15.08</v>
      </c>
      <c r="J646" s="69">
        <v>1287</v>
      </c>
      <c r="K646" s="69">
        <f>84.26+20+125</f>
        <v>229.26</v>
      </c>
      <c r="L646" s="69">
        <f>J646+K646</f>
        <v>1516.26</v>
      </c>
    </row>
    <row r="647" spans="1:12" ht="15" hidden="1">
      <c r="A647" s="126" t="s">
        <v>495</v>
      </c>
      <c r="B647" s="95" t="s">
        <v>492</v>
      </c>
      <c r="C647" s="95" t="s">
        <v>493</v>
      </c>
      <c r="D647" s="95" t="s">
        <v>493</v>
      </c>
      <c r="E647" s="95" t="s">
        <v>494</v>
      </c>
      <c r="F647" s="95" t="s">
        <v>492</v>
      </c>
      <c r="G647" s="22"/>
      <c r="H647" s="69">
        <v>7294.84</v>
      </c>
      <c r="I647" s="69">
        <v>-7294.84</v>
      </c>
      <c r="J647" s="69">
        <f>H647+I647</f>
        <v>0</v>
      </c>
      <c r="K647" s="69"/>
      <c r="L647" s="69">
        <f>J647+K647</f>
        <v>0</v>
      </c>
    </row>
    <row r="648" spans="1:14" s="61" customFormat="1" ht="13.5" customHeight="1">
      <c r="A648" s="229" t="s">
        <v>354</v>
      </c>
      <c r="B648" s="108"/>
      <c r="C648" s="108"/>
      <c r="D648" s="108"/>
      <c r="E648" s="108"/>
      <c r="F648" s="108"/>
      <c r="G648" s="230" t="e">
        <f>#REF!+G23+G165+#REF!+#REF!+G285+G580</f>
        <v>#REF!</v>
      </c>
      <c r="H648" s="198" t="e">
        <f>H23+H165+H285+H580+H647</f>
        <v>#REF!</v>
      </c>
      <c r="I648" s="198" t="e">
        <f>I23+I165+I285+I580+I647</f>
        <v>#REF!</v>
      </c>
      <c r="J648" s="198">
        <f>J23+J165+J285+J580+J647</f>
        <v>370400.18455</v>
      </c>
      <c r="K648" s="198">
        <f>K23+K165+K285+K580+K647</f>
        <v>40248.617000000006</v>
      </c>
      <c r="L648" s="198">
        <f>L23+L165+L285+L580+L647</f>
        <v>410648.80155</v>
      </c>
      <c r="N648" s="61">
        <v>403956.91</v>
      </c>
    </row>
    <row r="649" spans="1:14" s="61" customFormat="1" ht="13.5" customHeight="1">
      <c r="A649" s="58"/>
      <c r="B649" s="59"/>
      <c r="C649" s="59"/>
      <c r="D649" s="59"/>
      <c r="E649" s="59"/>
      <c r="F649" s="59"/>
      <c r="G649" s="60"/>
      <c r="H649" s="74">
        <v>291793.6</v>
      </c>
      <c r="I649" s="74"/>
      <c r="J649" s="173">
        <v>370400.18455</v>
      </c>
      <c r="K649" s="173">
        <v>0</v>
      </c>
      <c r="L649" s="173">
        <f>J649+K649</f>
        <v>370400.18455</v>
      </c>
      <c r="M649" s="178">
        <f>J648-J649</f>
        <v>0</v>
      </c>
      <c r="N649" s="194">
        <f>L648-N648</f>
        <v>6691.89155</v>
      </c>
    </row>
    <row r="650" spans="1:12" ht="15">
      <c r="A650" s="155"/>
      <c r="B650" s="105"/>
      <c r="C650" s="105"/>
      <c r="D650" s="105"/>
      <c r="E650" s="105">
        <v>7950000</v>
      </c>
      <c r="F650" s="105"/>
      <c r="G650" s="28"/>
      <c r="H650" s="75" t="e">
        <f>H648-H649</f>
        <v>#REF!</v>
      </c>
      <c r="I650" s="75" t="e">
        <f>I648-I649</f>
        <v>#REF!</v>
      </c>
      <c r="J650" s="174">
        <f>J36+J91++J142++J227+J239+J249+J355+J357+J371+J385++J403++J434++J443++J449++J489+J500++J519++J546++J569++J591+J636+J380+J218</f>
        <v>23283.440000000002</v>
      </c>
      <c r="K650" s="174">
        <f>K36+K91++K142++K227+K239+K249+K355+K357+K371+K385++K403++K434++K443++K449++K489+K500++K519++K546++K569++K591+K636+K380+K218</f>
        <v>45.90000000000002</v>
      </c>
      <c r="L650" s="174">
        <f>L36+L91++L142++L227+L239+L249+L355+L357+L371+L385++L403++L434++L443++L449++L489+L500++L519++L546++L569++L591+L636+L380+L218</f>
        <v>23329.34</v>
      </c>
    </row>
    <row r="651" spans="1:12" ht="25.5" customHeight="1">
      <c r="A651" s="156"/>
      <c r="B651" s="105"/>
      <c r="C651" s="105"/>
      <c r="D651" s="105"/>
      <c r="E651" s="105">
        <v>1020102</v>
      </c>
      <c r="F651" s="105"/>
      <c r="G651" s="28"/>
      <c r="H651" s="75"/>
      <c r="I651" s="75"/>
      <c r="J651" s="175">
        <f>J427++J455++J461</f>
        <v>3045.1444</v>
      </c>
      <c r="K651" s="175">
        <f>K427++K455++K461</f>
        <v>1089</v>
      </c>
      <c r="L651" s="175">
        <f>L427++L455++L461</f>
        <v>4134.1444</v>
      </c>
    </row>
    <row r="652" spans="1:12" ht="15.75" customHeight="1">
      <c r="A652" s="156"/>
      <c r="B652" s="105"/>
      <c r="C652" s="105"/>
      <c r="D652" s="105"/>
      <c r="E652" s="105"/>
      <c r="F652" s="105"/>
      <c r="G652" s="28"/>
      <c r="H652" s="75"/>
      <c r="I652" s="75"/>
      <c r="J652" s="174"/>
      <c r="K652" s="174">
        <f>K648-K649</f>
        <v>40248.617000000006</v>
      </c>
      <c r="L652" s="174"/>
    </row>
    <row r="653" spans="1:12" ht="15">
      <c r="A653" s="157"/>
      <c r="B653" s="105"/>
      <c r="C653" s="105"/>
      <c r="D653" s="105"/>
      <c r="E653" s="105"/>
      <c r="F653" s="105">
        <v>540</v>
      </c>
      <c r="G653" s="28"/>
      <c r="H653" s="75"/>
      <c r="I653" s="75"/>
      <c r="J653" s="174">
        <f>J199+J215++J222++J234++J241+J243+J245++J248+J250+J260++J264+J282++J284+J279+J276+J219</f>
        <v>45525.98</v>
      </c>
      <c r="K653" s="174">
        <f>K199+K215++K222++K234++K241+K243+K245++K248+K250+K260++K264+K282++K284+K279+K276+K219</f>
        <v>702.6880000000001</v>
      </c>
      <c r="L653" s="174">
        <f>L199+L215++L222++L234++L241+L243+L245++L248+L250+L260++L264+L282++L284+L279+L276+L219</f>
        <v>46228.668000000005</v>
      </c>
    </row>
    <row r="654" ht="15.75" thickBot="1">
      <c r="A654" s="158"/>
    </row>
    <row r="655" spans="1:12" ht="15.75" thickBot="1">
      <c r="A655" s="158"/>
      <c r="E655" s="48">
        <f>SUM(H656:H666)</f>
        <v>24669.690000000002</v>
      </c>
      <c r="F655" s="106" t="s">
        <v>6</v>
      </c>
      <c r="G655" s="29" t="e">
        <f>#REF!+G166+G286+G581</f>
        <v>#REF!</v>
      </c>
      <c r="H655" s="77">
        <f>H656+H657+H658+H659+H660+H661+H662+H663+H664+H665+H666</f>
        <v>24669.690000000002</v>
      </c>
      <c r="I655" s="77">
        <f>I656+I657+I658+I659+I660+I661+I662+I663+I664+I665+I666</f>
        <v>2631.1355999999987</v>
      </c>
      <c r="J655" s="77">
        <f>J656+J657+J658+J659+J660+J661+J662+J663+J664+J665+J666</f>
        <v>28154.325600000004</v>
      </c>
      <c r="K655" s="77">
        <f>K656+K657+K658+K659+K660+K661+K662+K663+K664+K665+K666</f>
        <v>619.54</v>
      </c>
      <c r="L655" s="77">
        <f>L656+L657+L658+L659+L660+L661+L662+L663+L664+L665+L666</f>
        <v>28773.865600000005</v>
      </c>
    </row>
    <row r="656" spans="1:12" ht="15">
      <c r="A656" s="158"/>
      <c r="F656" s="107" t="s">
        <v>355</v>
      </c>
      <c r="G656" s="30" t="e">
        <f aca="true" t="shared" si="56" ref="G656:L656">G287</f>
        <v>#REF!</v>
      </c>
      <c r="H656" s="78">
        <f t="shared" si="56"/>
        <v>1047.9</v>
      </c>
      <c r="I656" s="78">
        <f t="shared" si="56"/>
        <v>216.64</v>
      </c>
      <c r="J656" s="78">
        <f t="shared" si="56"/>
        <v>1264.54</v>
      </c>
      <c r="K656" s="78">
        <f t="shared" si="56"/>
        <v>0</v>
      </c>
      <c r="L656" s="78">
        <f t="shared" si="56"/>
        <v>1264.54</v>
      </c>
    </row>
    <row r="657" spans="1:12" ht="15">
      <c r="A657" s="158"/>
      <c r="F657" s="94" t="s">
        <v>356</v>
      </c>
      <c r="G657" s="31" t="e">
        <f>G293</f>
        <v>#REF!</v>
      </c>
      <c r="H657" s="56">
        <f>H292</f>
        <v>1779.4299999999998</v>
      </c>
      <c r="I657" s="56">
        <f>I292</f>
        <v>-227.99999999999997</v>
      </c>
      <c r="J657" s="56">
        <f>J292</f>
        <v>1703.9299999999998</v>
      </c>
      <c r="K657" s="56">
        <f>K292</f>
        <v>0</v>
      </c>
      <c r="L657" s="56">
        <f>L292</f>
        <v>1703.9299999999998</v>
      </c>
    </row>
    <row r="658" spans="6:12" ht="15">
      <c r="F658" s="94" t="s">
        <v>357</v>
      </c>
      <c r="G658" s="31" t="e">
        <f>G302+G582+#REF!+G167</f>
        <v>#REF!</v>
      </c>
      <c r="H658" s="56">
        <f>H302+H582+H167</f>
        <v>16883.75</v>
      </c>
      <c r="I658" s="56">
        <f>I302+I582+I167</f>
        <v>-4436.574400000001</v>
      </c>
      <c r="J658" s="56">
        <f>J302+J582+J167</f>
        <v>12447.175600000002</v>
      </c>
      <c r="K658" s="56">
        <f>K302+K582+K167</f>
        <v>-80</v>
      </c>
      <c r="L658" s="56">
        <f>L302+L582+L167</f>
        <v>12367.175600000002</v>
      </c>
    </row>
    <row r="659" spans="6:12" ht="15">
      <c r="F659" s="94" t="s">
        <v>358</v>
      </c>
      <c r="G659" s="31" t="e">
        <f>#REF!</f>
        <v>#REF!</v>
      </c>
      <c r="H659" s="56">
        <f>H323</f>
        <v>0</v>
      </c>
      <c r="I659" s="56">
        <f>I323</f>
        <v>0</v>
      </c>
      <c r="J659" s="56">
        <f>J323</f>
        <v>0</v>
      </c>
      <c r="K659" s="56">
        <f>K323</f>
        <v>0</v>
      </c>
      <c r="L659" s="56">
        <f>L323</f>
        <v>0</v>
      </c>
    </row>
    <row r="660" spans="6:12" ht="15">
      <c r="F660" s="94" t="s">
        <v>359</v>
      </c>
      <c r="G660" s="31" t="e">
        <f>G173</f>
        <v>#REF!</v>
      </c>
      <c r="H660" s="56">
        <f>H173+H327</f>
        <v>3549.2200000000003</v>
      </c>
      <c r="I660" s="56">
        <f>I173+I327</f>
        <v>1012.26</v>
      </c>
      <c r="J660" s="56">
        <f>J173+J327</f>
        <v>4561.9800000000005</v>
      </c>
      <c r="K660" s="56">
        <f>K173+K327</f>
        <v>218</v>
      </c>
      <c r="L660" s="56">
        <f>L173+L327</f>
        <v>4779.9800000000005</v>
      </c>
    </row>
    <row r="661" spans="6:12" ht="15">
      <c r="F661" s="94" t="s">
        <v>360</v>
      </c>
      <c r="G661" s="31" t="e">
        <f aca="true" t="shared" si="57" ref="G661:L661">G333</f>
        <v>#REF!</v>
      </c>
      <c r="H661" s="56">
        <f t="shared" si="57"/>
        <v>100</v>
      </c>
      <c r="I661" s="56">
        <f t="shared" si="57"/>
        <v>100</v>
      </c>
      <c r="J661" s="56">
        <f t="shared" si="57"/>
        <v>1014</v>
      </c>
      <c r="K661" s="56">
        <f t="shared" si="57"/>
        <v>0</v>
      </c>
      <c r="L661" s="56">
        <f t="shared" si="57"/>
        <v>1014</v>
      </c>
    </row>
    <row r="662" spans="6:12" ht="15" customHeight="1" hidden="1">
      <c r="F662" s="108" t="s">
        <v>361</v>
      </c>
      <c r="G662" s="42" t="e">
        <f>#REF!</f>
        <v>#REF!</v>
      </c>
      <c r="H662" s="79"/>
      <c r="I662" s="79"/>
      <c r="J662" s="79"/>
      <c r="K662" s="79"/>
      <c r="L662" s="79"/>
    </row>
    <row r="663" spans="6:12" ht="15">
      <c r="F663" s="108" t="s">
        <v>361</v>
      </c>
      <c r="G663" s="42"/>
      <c r="H663" s="79">
        <f>H184</f>
        <v>333</v>
      </c>
      <c r="I663" s="79">
        <f>I184</f>
        <v>-220</v>
      </c>
      <c r="J663" s="79">
        <f>J184</f>
        <v>0</v>
      </c>
      <c r="K663" s="79">
        <f>K184</f>
        <v>60</v>
      </c>
      <c r="L663" s="79">
        <f>L184</f>
        <v>60</v>
      </c>
    </row>
    <row r="664" spans="6:12" ht="15" customHeight="1" hidden="1">
      <c r="F664" s="94" t="s">
        <v>362</v>
      </c>
      <c r="G664" s="31" t="e">
        <f>#REF!</f>
        <v>#REF!</v>
      </c>
      <c r="H664" s="56"/>
      <c r="I664" s="56"/>
      <c r="J664" s="56"/>
      <c r="K664" s="56"/>
      <c r="L664" s="56"/>
    </row>
    <row r="665" spans="6:12" ht="15.75" thickBot="1">
      <c r="F665" s="94" t="s">
        <v>363</v>
      </c>
      <c r="G665" s="31"/>
      <c r="H665" s="56">
        <f>H339+H193+H191</f>
        <v>976.39</v>
      </c>
      <c r="I665" s="56">
        <f>I339+I193+I191</f>
        <v>6186.8099999999995</v>
      </c>
      <c r="J665" s="56">
        <f>J339+J193+J191</f>
        <v>7162.7</v>
      </c>
      <c r="K665" s="56">
        <f>K339+K193+K191</f>
        <v>421.54</v>
      </c>
      <c r="L665" s="56">
        <f>L339+L193+L191</f>
        <v>7584.24</v>
      </c>
    </row>
    <row r="666" spans="6:12" ht="15.75" customHeight="1" hidden="1" thickBot="1">
      <c r="F666" s="109" t="s">
        <v>364</v>
      </c>
      <c r="G666" s="33" t="e">
        <f>G195+#REF!</f>
        <v>#REF!</v>
      </c>
      <c r="H666" s="80"/>
      <c r="I666" s="80"/>
      <c r="J666" s="80"/>
      <c r="K666" s="80"/>
      <c r="L666" s="80"/>
    </row>
    <row r="667" spans="5:12" ht="15.75" thickBot="1">
      <c r="E667" s="48">
        <f>H668</f>
        <v>564.6</v>
      </c>
      <c r="F667" s="110" t="s">
        <v>7</v>
      </c>
      <c r="G667" s="43"/>
      <c r="H667" s="81">
        <f>H668</f>
        <v>564.6</v>
      </c>
      <c r="I667" s="81">
        <f>I668</f>
        <v>21.7</v>
      </c>
      <c r="J667" s="176">
        <f>J668</f>
        <v>531.9</v>
      </c>
      <c r="K667" s="81">
        <f>K668</f>
        <v>0</v>
      </c>
      <c r="L667" s="176">
        <f>L668</f>
        <v>531.9</v>
      </c>
    </row>
    <row r="668" spans="6:12" ht="15.75" thickBot="1">
      <c r="F668" s="111" t="s">
        <v>365</v>
      </c>
      <c r="G668" s="34"/>
      <c r="H668" s="82">
        <f>H196</f>
        <v>564.6</v>
      </c>
      <c r="I668" s="82">
        <f>I196</f>
        <v>21.7</v>
      </c>
      <c r="J668" s="82">
        <f>J196</f>
        <v>531.9</v>
      </c>
      <c r="K668" s="82">
        <f>K196</f>
        <v>0</v>
      </c>
      <c r="L668" s="82">
        <f>L196</f>
        <v>531.9</v>
      </c>
    </row>
    <row r="669" spans="5:12" ht="15.75" thickBot="1">
      <c r="E669" s="48">
        <f>SUM(H670:H672)</f>
        <v>100</v>
      </c>
      <c r="F669" s="106" t="s">
        <v>8</v>
      </c>
      <c r="G669" s="35" t="e">
        <f>G363+#REF!</f>
        <v>#REF!</v>
      </c>
      <c r="H669" s="81">
        <f>H670+H671+H672</f>
        <v>100</v>
      </c>
      <c r="I669" s="81">
        <f>I670+I671+I672</f>
        <v>502.851</v>
      </c>
      <c r="J669" s="81">
        <f>J670+J671+J672</f>
        <v>1103.1509999999998</v>
      </c>
      <c r="K669" s="81">
        <f>K670+K671+K672</f>
        <v>12.6</v>
      </c>
      <c r="L669" s="81">
        <f>L670+L671+L672</f>
        <v>1115.7509999999997</v>
      </c>
    </row>
    <row r="670" spans="6:12" ht="15">
      <c r="F670" s="107" t="s">
        <v>366</v>
      </c>
      <c r="G670" s="30" t="e">
        <f>#REF!</f>
        <v>#REF!</v>
      </c>
      <c r="H670" s="78">
        <f>H201</f>
        <v>0</v>
      </c>
      <c r="I670" s="78">
        <f>I201</f>
        <v>0</v>
      </c>
      <c r="J670" s="78">
        <f>J201</f>
        <v>0</v>
      </c>
      <c r="K670" s="78">
        <f>K201</f>
        <v>0</v>
      </c>
      <c r="L670" s="78">
        <f>L201</f>
        <v>0</v>
      </c>
    </row>
    <row r="671" spans="6:12" ht="15">
      <c r="F671" s="94" t="s">
        <v>367</v>
      </c>
      <c r="G671" s="31" t="e">
        <f>G364</f>
        <v>#REF!</v>
      </c>
      <c r="H671" s="56">
        <f>H364+H209</f>
        <v>75</v>
      </c>
      <c r="I671" s="56">
        <f>I364+I209</f>
        <v>482.851</v>
      </c>
      <c r="J671" s="56">
        <f>J364+J209</f>
        <v>1058.1509999999998</v>
      </c>
      <c r="K671" s="56">
        <f>K364+K209</f>
        <v>0</v>
      </c>
      <c r="L671" s="56">
        <f>L364+L209</f>
        <v>1058.1509999999998</v>
      </c>
    </row>
    <row r="672" spans="6:12" ht="15.75" thickBot="1">
      <c r="F672" s="112" t="s">
        <v>368</v>
      </c>
      <c r="G672" s="34"/>
      <c r="H672" s="82">
        <f>H368</f>
        <v>25</v>
      </c>
      <c r="I672" s="82">
        <f>I368</f>
        <v>20</v>
      </c>
      <c r="J672" s="82">
        <f>J368</f>
        <v>45</v>
      </c>
      <c r="K672" s="82">
        <f>K368</f>
        <v>12.6</v>
      </c>
      <c r="L672" s="82">
        <f>L368</f>
        <v>57.6</v>
      </c>
    </row>
    <row r="673" spans="5:12" ht="15.75" thickBot="1">
      <c r="E673" s="48">
        <f>SUM(H674:H677)</f>
        <v>1536.54</v>
      </c>
      <c r="F673" s="113" t="s">
        <v>9</v>
      </c>
      <c r="G673" s="35" t="e">
        <f>G212+G378</f>
        <v>#REF!</v>
      </c>
      <c r="H673" s="81">
        <f>H674+H675+H676+H677</f>
        <v>1536.54</v>
      </c>
      <c r="I673" s="81">
        <f>I674+I675+I676+I677</f>
        <v>1356.95</v>
      </c>
      <c r="J673" s="81">
        <f>J674+J675+J676+J677</f>
        <v>7144.874</v>
      </c>
      <c r="K673" s="81">
        <f>K674+K675+K676+K677</f>
        <v>3140.831</v>
      </c>
      <c r="L673" s="81">
        <f>L674+L675+L676+L677</f>
        <v>10285.705</v>
      </c>
    </row>
    <row r="674" spans="6:12" ht="15">
      <c r="F674" s="107" t="s">
        <v>369</v>
      </c>
      <c r="G674" s="30" t="e">
        <f>#REF!+G379</f>
        <v>#REF!</v>
      </c>
      <c r="H674" s="78">
        <f>H379</f>
        <v>160</v>
      </c>
      <c r="I674" s="78">
        <f>I379</f>
        <v>160</v>
      </c>
      <c r="J674" s="78">
        <f>J379</f>
        <v>420</v>
      </c>
      <c r="K674" s="78">
        <f>K379</f>
        <v>100</v>
      </c>
      <c r="L674" s="78">
        <f>L379</f>
        <v>520</v>
      </c>
    </row>
    <row r="675" spans="6:12" ht="15">
      <c r="F675" s="94" t="s">
        <v>370</v>
      </c>
      <c r="G675" s="34" t="e">
        <f>#REF!</f>
        <v>#REF!</v>
      </c>
      <c r="H675" s="56">
        <f>H213</f>
        <v>0</v>
      </c>
      <c r="I675" s="56">
        <f>I213</f>
        <v>0</v>
      </c>
      <c r="J675" s="56">
        <f>J213+J384</f>
        <v>530</v>
      </c>
      <c r="K675" s="56">
        <f>K213+K384</f>
        <v>4266.215</v>
      </c>
      <c r="L675" s="56">
        <f>L213+L384</f>
        <v>4796.215</v>
      </c>
    </row>
    <row r="676" spans="6:12" ht="15" customHeight="1">
      <c r="F676" s="111" t="s">
        <v>371</v>
      </c>
      <c r="G676" s="34"/>
      <c r="H676" s="82"/>
      <c r="I676" s="82"/>
      <c r="J676" s="82"/>
      <c r="K676" s="82"/>
      <c r="L676" s="82"/>
    </row>
    <row r="677" spans="6:12" ht="15.75" thickBot="1">
      <c r="F677" s="109" t="s">
        <v>372</v>
      </c>
      <c r="G677" s="33" t="e">
        <f aca="true" t="shared" si="58" ref="G677:L677">G388+G220</f>
        <v>#REF!</v>
      </c>
      <c r="H677" s="80">
        <f t="shared" si="58"/>
        <v>1376.54</v>
      </c>
      <c r="I677" s="80">
        <f t="shared" si="58"/>
        <v>1196.95</v>
      </c>
      <c r="J677" s="80">
        <f t="shared" si="58"/>
        <v>6194.874</v>
      </c>
      <c r="K677" s="80">
        <f t="shared" si="58"/>
        <v>-1225.384</v>
      </c>
      <c r="L677" s="80">
        <f t="shared" si="58"/>
        <v>4969.49</v>
      </c>
    </row>
    <row r="678" spans="5:12" ht="15.75" thickBot="1">
      <c r="E678" s="46" t="e">
        <f>SUM(H679:H682)</f>
        <v>#REF!</v>
      </c>
      <c r="F678" s="106" t="s">
        <v>11</v>
      </c>
      <c r="G678" s="35" t="e">
        <f>G408</f>
        <v>#REF!</v>
      </c>
      <c r="H678" s="81" t="e">
        <f>H679+H680+H681+H682</f>
        <v>#REF!</v>
      </c>
      <c r="I678" s="81" t="e">
        <f>I679+I680+I681+I682</f>
        <v>#REF!</v>
      </c>
      <c r="J678" s="81">
        <f>J679+J680+J681+J682</f>
        <v>8535.3344</v>
      </c>
      <c r="K678" s="81">
        <f>K679+K680+K681+K682</f>
        <v>4265.5599999999995</v>
      </c>
      <c r="L678" s="81">
        <f>L679+L680+L681+L682</f>
        <v>12800.8944</v>
      </c>
    </row>
    <row r="679" spans="6:12" ht="15">
      <c r="F679" s="107" t="s">
        <v>373</v>
      </c>
      <c r="G679" s="30">
        <f>G417</f>
        <v>-40</v>
      </c>
      <c r="H679" s="78">
        <f>H409</f>
        <v>0</v>
      </c>
      <c r="I679" s="78">
        <f>I409</f>
        <v>0</v>
      </c>
      <c r="J679" s="78">
        <f>J409</f>
        <v>0</v>
      </c>
      <c r="K679" s="78">
        <f>K409</f>
        <v>0</v>
      </c>
      <c r="L679" s="78">
        <f>L409</f>
        <v>0</v>
      </c>
    </row>
    <row r="680" spans="6:12" ht="15">
      <c r="F680" s="94" t="s">
        <v>374</v>
      </c>
      <c r="G680" s="31" t="e">
        <f>G421</f>
        <v>#REF!</v>
      </c>
      <c r="H680" s="56" t="e">
        <f>H421+H232</f>
        <v>#REF!</v>
      </c>
      <c r="I680" s="56" t="e">
        <f>I421+I232</f>
        <v>#REF!</v>
      </c>
      <c r="J680" s="56">
        <f>J421+J232</f>
        <v>7555.2744</v>
      </c>
      <c r="K680" s="56">
        <f>K421+K232</f>
        <v>4165.5599999999995</v>
      </c>
      <c r="L680" s="56">
        <f>L421+L232</f>
        <v>11720.8344</v>
      </c>
    </row>
    <row r="681" spans="6:12" ht="15">
      <c r="F681" s="94" t="s">
        <v>375</v>
      </c>
      <c r="G681" s="31" t="e">
        <f>G442</f>
        <v>#REF!</v>
      </c>
      <c r="H681" s="56">
        <f>H442+H246</f>
        <v>0</v>
      </c>
      <c r="I681" s="56">
        <f>I442+I246</f>
        <v>600</v>
      </c>
      <c r="J681" s="56">
        <f>J442+J246</f>
        <v>980.06</v>
      </c>
      <c r="K681" s="56">
        <f>K442+K246</f>
        <v>100</v>
      </c>
      <c r="L681" s="56">
        <f>L442+L246</f>
        <v>1080.06</v>
      </c>
    </row>
    <row r="682" spans="6:12" ht="15.75" customHeight="1" hidden="1">
      <c r="F682" s="109" t="s">
        <v>376</v>
      </c>
      <c r="G682" s="33" t="e">
        <f>#REF!</f>
        <v>#REF!</v>
      </c>
      <c r="H682" s="80"/>
      <c r="I682" s="80"/>
      <c r="J682" s="80"/>
      <c r="K682" s="80"/>
      <c r="L682" s="80"/>
    </row>
    <row r="683" spans="6:12" ht="15.75" customHeight="1">
      <c r="F683" s="167" t="s">
        <v>12</v>
      </c>
      <c r="G683" s="168"/>
      <c r="H683" s="169"/>
      <c r="I683" s="169"/>
      <c r="J683" s="169">
        <f>SUM(J684)</f>
        <v>100</v>
      </c>
      <c r="K683" s="169">
        <f>SUM(K684)</f>
        <v>-100</v>
      </c>
      <c r="L683" s="169">
        <f>SUM(L684)</f>
        <v>0</v>
      </c>
    </row>
    <row r="684" spans="6:12" ht="15.75" customHeight="1">
      <c r="F684" s="94" t="s">
        <v>560</v>
      </c>
      <c r="G684" s="31"/>
      <c r="H684" s="56"/>
      <c r="I684" s="56"/>
      <c r="J684" s="56">
        <f>J448</f>
        <v>100</v>
      </c>
      <c r="K684" s="56">
        <f>K448</f>
        <v>-100</v>
      </c>
      <c r="L684" s="56">
        <f>L448</f>
        <v>0</v>
      </c>
    </row>
    <row r="685" spans="5:12" ht="15.75" thickBot="1">
      <c r="E685" s="46" t="e">
        <f>SUM(H686:H690)</f>
        <v>#REF!</v>
      </c>
      <c r="F685" s="165" t="s">
        <v>14</v>
      </c>
      <c r="G685" s="45" t="e">
        <f>#REF!+G24+#REF!+#REF!+G451</f>
        <v>#REF!</v>
      </c>
      <c r="H685" s="166" t="e">
        <f>H686+H687+H688+H689+H690</f>
        <v>#REF!</v>
      </c>
      <c r="I685" s="166" t="e">
        <f>I686+I687+I688+I689+I690</f>
        <v>#REF!</v>
      </c>
      <c r="J685" s="166">
        <f>J686+J687+J688+J689+J690</f>
        <v>241859.19</v>
      </c>
      <c r="K685" s="166">
        <f>K686+K687+K688+K689+K690</f>
        <v>42762.39000000001</v>
      </c>
      <c r="L685" s="166">
        <f>L686+L687+L688+L689+L690</f>
        <v>284621.57999999996</v>
      </c>
    </row>
    <row r="686" spans="6:12" ht="15">
      <c r="F686" s="107" t="s">
        <v>377</v>
      </c>
      <c r="G686" s="30">
        <f>G25</f>
        <v>-926.36</v>
      </c>
      <c r="H686" s="78">
        <f>H25+H452</f>
        <v>2564.73</v>
      </c>
      <c r="I686" s="78">
        <f>I25+I452</f>
        <v>-2564.73</v>
      </c>
      <c r="J686" s="78">
        <f>J25+J452</f>
        <v>3271.804</v>
      </c>
      <c r="K686" s="78">
        <f>K25+K452</f>
        <v>15550.516</v>
      </c>
      <c r="L686" s="78">
        <f>L25+L452</f>
        <v>18822.32</v>
      </c>
    </row>
    <row r="687" spans="6:12" ht="15">
      <c r="F687" s="94" t="s">
        <v>378</v>
      </c>
      <c r="G687" s="24" t="e">
        <f>G39+#REF!</f>
        <v>#REF!</v>
      </c>
      <c r="H687" s="56" t="e">
        <f>H39+H457</f>
        <v>#REF!</v>
      </c>
      <c r="I687" s="56" t="e">
        <f>I39+I457</f>
        <v>#REF!</v>
      </c>
      <c r="J687" s="56">
        <f>J39+J457</f>
        <v>226204.169</v>
      </c>
      <c r="K687" s="56">
        <f>K39+K457</f>
        <v>26145.307</v>
      </c>
      <c r="L687" s="56">
        <f>L39+L457</f>
        <v>252349.476</v>
      </c>
    </row>
    <row r="688" spans="6:12" ht="15">
      <c r="F688" s="94" t="s">
        <v>379</v>
      </c>
      <c r="G688" s="32" t="e">
        <f>#REF!+G108+#REF!+G492+#REF!</f>
        <v>#REF!</v>
      </c>
      <c r="H688" s="56">
        <f>H108+H492+H252</f>
        <v>131.5</v>
      </c>
      <c r="I688" s="56">
        <f>I108+I492+I252</f>
        <v>671.7</v>
      </c>
      <c r="J688" s="56">
        <f>J108+J492+J252</f>
        <v>1003.2</v>
      </c>
      <c r="K688" s="56">
        <f>K108+K492+K252</f>
        <v>1313.627</v>
      </c>
      <c r="L688" s="56">
        <f>L108+L492+L252</f>
        <v>2316.8269999999998</v>
      </c>
    </row>
    <row r="689" spans="6:12" ht="15">
      <c r="F689" s="94" t="s">
        <v>380</v>
      </c>
      <c r="G689" s="31" t="e">
        <f>G113+#REF!</f>
        <v>#REF!</v>
      </c>
      <c r="H689" s="56">
        <f>H113+H587+H497</f>
        <v>408.79999999999995</v>
      </c>
      <c r="I689" s="56">
        <f>I113+I587+I497</f>
        <v>1749.47</v>
      </c>
      <c r="J689" s="56">
        <f>J113+J587+J497</f>
        <v>2408.27</v>
      </c>
      <c r="K689" s="56">
        <f>K113+K587+K497</f>
        <v>64.68</v>
      </c>
      <c r="L689" s="56">
        <f>L113+L587+L497</f>
        <v>2472.95</v>
      </c>
    </row>
    <row r="690" spans="6:12" ht="15.75" thickBot="1">
      <c r="F690" s="109" t="s">
        <v>381</v>
      </c>
      <c r="G690" s="33" t="e">
        <f aca="true" t="shared" si="59" ref="G690:L690">G122</f>
        <v>#REF!</v>
      </c>
      <c r="H690" s="80">
        <f t="shared" si="59"/>
        <v>5704.41</v>
      </c>
      <c r="I690" s="80">
        <f t="shared" si="59"/>
        <v>3932.65</v>
      </c>
      <c r="J690" s="80">
        <f t="shared" si="59"/>
        <v>8971.747000000001</v>
      </c>
      <c r="K690" s="80">
        <f>K122</f>
        <v>-311.74</v>
      </c>
      <c r="L690" s="80">
        <f t="shared" si="59"/>
        <v>8660.007000000001</v>
      </c>
    </row>
    <row r="691" spans="5:12" ht="15.75" thickBot="1">
      <c r="E691" s="47">
        <f>SUM(H692:H695)</f>
        <v>8517.099999999999</v>
      </c>
      <c r="F691" s="106" t="s">
        <v>34</v>
      </c>
      <c r="G691" s="35" t="e">
        <f>G503+G595</f>
        <v>#REF!</v>
      </c>
      <c r="H691" s="81">
        <f>H692+H693+H695+H694</f>
        <v>8517.099999999999</v>
      </c>
      <c r="I691" s="81">
        <f>I692+I693+I695+I694</f>
        <v>509.8234000000002</v>
      </c>
      <c r="J691" s="81">
        <f>J692+J693+J695+J694</f>
        <v>15154.69255</v>
      </c>
      <c r="K691" s="81">
        <f>K692+K693+K695+K694</f>
        <v>1856.9399999999998</v>
      </c>
      <c r="L691" s="81">
        <f>L692+L693+L695+L694</f>
        <v>17011.63255</v>
      </c>
    </row>
    <row r="692" spans="6:12" ht="15">
      <c r="F692" s="107" t="s">
        <v>382</v>
      </c>
      <c r="G692" s="30" t="e">
        <f>G596</f>
        <v>#REF!</v>
      </c>
      <c r="H692" s="78">
        <f>H596+H504+H258</f>
        <v>6067.61</v>
      </c>
      <c r="I692" s="78">
        <f>I596+I504+I258</f>
        <v>-271.37999999999965</v>
      </c>
      <c r="J692" s="78">
        <f>J596+J504+J258</f>
        <v>11923.99915</v>
      </c>
      <c r="K692" s="78">
        <f>K596+K504+K258</f>
        <v>2017.2633199999998</v>
      </c>
      <c r="L692" s="78">
        <f>L596+L504+L258</f>
        <v>13941.26247</v>
      </c>
    </row>
    <row r="693" spans="6:12" ht="15" customHeight="1" hidden="1">
      <c r="F693" s="108" t="s">
        <v>383</v>
      </c>
      <c r="G693" s="42" t="e">
        <f>#REF!</f>
        <v>#REF!</v>
      </c>
      <c r="H693" s="79"/>
      <c r="I693" s="79"/>
      <c r="J693" s="79"/>
      <c r="K693" s="79"/>
      <c r="L693" s="79"/>
    </row>
    <row r="694" spans="6:12" ht="15.75" thickBot="1">
      <c r="F694" s="114" t="s">
        <v>383</v>
      </c>
      <c r="G694" s="44"/>
      <c r="H694" s="83">
        <f>H626+H508</f>
        <v>2449.49</v>
      </c>
      <c r="I694" s="83">
        <f>I626+I508</f>
        <v>781.2033999999999</v>
      </c>
      <c r="J694" s="83">
        <f>J626+J508</f>
        <v>3230.6934</v>
      </c>
      <c r="K694" s="83">
        <f>K626+K508</f>
        <v>-160.32331999999997</v>
      </c>
      <c r="L694" s="83">
        <f>L626+L508</f>
        <v>3070.37008</v>
      </c>
    </row>
    <row r="695" spans="6:12" ht="15.75" customHeight="1" hidden="1" thickBot="1">
      <c r="F695" s="109" t="s">
        <v>384</v>
      </c>
      <c r="G695" s="33" t="e">
        <f>#REF!+#REF!</f>
        <v>#REF!</v>
      </c>
      <c r="H695" s="80"/>
      <c r="I695" s="80"/>
      <c r="J695" s="80"/>
      <c r="K695" s="80"/>
      <c r="L695" s="80"/>
    </row>
    <row r="696" spans="5:12" ht="15.75" thickBot="1">
      <c r="E696" s="38" t="e">
        <f>SUM(#REF!)</f>
        <v>#REF!</v>
      </c>
      <c r="F696" s="106" t="s">
        <v>28</v>
      </c>
      <c r="G696" s="35" t="e">
        <f>#REF!+#REF!</f>
        <v>#REF!</v>
      </c>
      <c r="H696" s="81">
        <f>H697+H698+H699+H700+H701+H702</f>
        <v>0</v>
      </c>
      <c r="I696" s="81">
        <f>I697+I698+I699+I700+I701+I702</f>
        <v>500</v>
      </c>
      <c r="J696" s="81">
        <f>J697+J698+J699+J700+J701+J702</f>
        <v>500</v>
      </c>
      <c r="K696" s="81">
        <f>K697+K698+K699+K700+K701+K702</f>
        <v>0</v>
      </c>
      <c r="L696" s="81">
        <f>L697+L698+L699+L700+L701+L702</f>
        <v>500</v>
      </c>
    </row>
    <row r="697" spans="6:12" ht="15" hidden="1">
      <c r="F697" s="107" t="s">
        <v>385</v>
      </c>
      <c r="G697" s="30" t="e">
        <f>#REF!</f>
        <v>#REF!</v>
      </c>
      <c r="H697" s="78"/>
      <c r="I697" s="78"/>
      <c r="J697" s="78"/>
      <c r="K697" s="78"/>
      <c r="L697" s="78"/>
    </row>
    <row r="698" spans="6:12" ht="15" hidden="1">
      <c r="F698" s="94" t="s">
        <v>386</v>
      </c>
      <c r="G698" s="67">
        <f aca="true" t="shared" si="60" ref="G698:L698">G514</f>
        <v>0</v>
      </c>
      <c r="H698" s="86">
        <f t="shared" si="60"/>
        <v>0</v>
      </c>
      <c r="I698" s="86">
        <f t="shared" si="60"/>
        <v>0</v>
      </c>
      <c r="J698" s="86">
        <f t="shared" si="60"/>
        <v>0</v>
      </c>
      <c r="K698" s="86">
        <f t="shared" si="60"/>
        <v>0</v>
      </c>
      <c r="L698" s="86">
        <f t="shared" si="60"/>
        <v>0</v>
      </c>
    </row>
    <row r="699" spans="6:12" ht="15" hidden="1">
      <c r="F699" s="94" t="s">
        <v>387</v>
      </c>
      <c r="G699" s="31" t="e">
        <f>#REF!</f>
        <v>#REF!</v>
      </c>
      <c r="H699" s="56"/>
      <c r="I699" s="56"/>
      <c r="J699" s="56"/>
      <c r="K699" s="56"/>
      <c r="L699" s="56"/>
    </row>
    <row r="700" spans="3:12" ht="15" hidden="1">
      <c r="C700" s="38" t="s">
        <v>388</v>
      </c>
      <c r="F700" s="108" t="s">
        <v>389</v>
      </c>
      <c r="G700" s="42" t="e">
        <f>#REF!</f>
        <v>#REF!</v>
      </c>
      <c r="H700" s="79"/>
      <c r="I700" s="79"/>
      <c r="J700" s="79"/>
      <c r="K700" s="79"/>
      <c r="L700" s="79"/>
    </row>
    <row r="701" spans="6:12" ht="15.75" thickBot="1">
      <c r="F701" s="114" t="s">
        <v>390</v>
      </c>
      <c r="G701" s="44"/>
      <c r="H701" s="83">
        <f>H518</f>
        <v>0</v>
      </c>
      <c r="I701" s="83">
        <f>I518</f>
        <v>500</v>
      </c>
      <c r="J701" s="83">
        <f>J518</f>
        <v>500</v>
      </c>
      <c r="K701" s="83">
        <f>K518</f>
        <v>0</v>
      </c>
      <c r="L701" s="83">
        <f>L518</f>
        <v>500</v>
      </c>
    </row>
    <row r="702" spans="6:12" ht="15.75" customHeight="1" hidden="1" thickBot="1">
      <c r="F702" s="109" t="s">
        <v>391</v>
      </c>
      <c r="G702" s="33">
        <f aca="true" t="shared" si="61" ref="G702:L702">G9</f>
        <v>0</v>
      </c>
      <c r="H702" s="80">
        <f t="shared" si="61"/>
        <v>0</v>
      </c>
      <c r="I702" s="80">
        <f t="shared" si="61"/>
        <v>0</v>
      </c>
      <c r="J702" s="80">
        <f t="shared" si="61"/>
        <v>0</v>
      </c>
      <c r="K702" s="80">
        <f t="shared" si="61"/>
        <v>0</v>
      </c>
      <c r="L702" s="80">
        <f t="shared" si="61"/>
        <v>0</v>
      </c>
    </row>
    <row r="703" spans="5:12" ht="15.75" thickBot="1">
      <c r="E703" s="38" t="e">
        <f>SUM(#REF!)</f>
        <v>#REF!</v>
      </c>
      <c r="F703" s="106" t="s">
        <v>61</v>
      </c>
      <c r="G703" s="35" t="e">
        <f>G144+#REF!+#REF!</f>
        <v>#REF!</v>
      </c>
      <c r="H703" s="81">
        <f>H704+H705+H706+H707+H708</f>
        <v>19266.269999999997</v>
      </c>
      <c r="I703" s="81">
        <f>I704+I705+I706+I707+I708</f>
        <v>6470.23</v>
      </c>
      <c r="J703" s="81">
        <f>J704+J705+J706+J707+J708</f>
        <v>26760.617</v>
      </c>
      <c r="K703" s="81">
        <f>K704+K705+K706+K707+K708</f>
        <v>-11888.504</v>
      </c>
      <c r="L703" s="81">
        <f>L704+L705+L706+L707+L708</f>
        <v>14872.113000000001</v>
      </c>
    </row>
    <row r="704" spans="6:12" ht="15">
      <c r="F704" s="107" t="s">
        <v>392</v>
      </c>
      <c r="G704" s="30" t="e">
        <f>#REF!</f>
        <v>#REF!</v>
      </c>
      <c r="H704" s="78">
        <f>H524</f>
        <v>45</v>
      </c>
      <c r="I704" s="78">
        <f>I524</f>
        <v>78</v>
      </c>
      <c r="J704" s="78">
        <f>J524</f>
        <v>123</v>
      </c>
      <c r="K704" s="78">
        <f>K524</f>
        <v>0</v>
      </c>
      <c r="L704" s="78">
        <f>L524</f>
        <v>123</v>
      </c>
    </row>
    <row r="705" spans="6:12" ht="15">
      <c r="F705" s="94" t="s">
        <v>393</v>
      </c>
      <c r="G705" s="31" t="e">
        <f>#REF!</f>
        <v>#REF!</v>
      </c>
      <c r="H705" s="56">
        <f>H527</f>
        <v>363.57</v>
      </c>
      <c r="I705" s="56">
        <f>I527</f>
        <v>-363.57</v>
      </c>
      <c r="J705" s="56">
        <f>J527</f>
        <v>0</v>
      </c>
      <c r="K705" s="56">
        <f>K527</f>
        <v>0</v>
      </c>
      <c r="L705" s="56">
        <f>L527</f>
        <v>0</v>
      </c>
    </row>
    <row r="706" spans="6:12" ht="15">
      <c r="F706" s="94" t="s">
        <v>394</v>
      </c>
      <c r="G706" s="31" t="e">
        <f>#REF!+#REF!+G145</f>
        <v>#REF!</v>
      </c>
      <c r="H706" s="56">
        <f>H145+H533</f>
        <v>1066</v>
      </c>
      <c r="I706" s="56">
        <f>I145+I533</f>
        <v>2246.5</v>
      </c>
      <c r="J706" s="56">
        <f>J145+J533</f>
        <v>4336.617</v>
      </c>
      <c r="K706" s="56">
        <f>K145+K533</f>
        <v>194.144</v>
      </c>
      <c r="L706" s="56">
        <f>L145+L533</f>
        <v>4530.761</v>
      </c>
    </row>
    <row r="707" spans="6:12" ht="15">
      <c r="F707" s="109" t="s">
        <v>395</v>
      </c>
      <c r="G707" s="33" t="e">
        <f>G148</f>
        <v>#REF!</v>
      </c>
      <c r="H707" s="80">
        <f>H148</f>
        <v>17598.1</v>
      </c>
      <c r="I707" s="80">
        <f>I148</f>
        <v>4482.9</v>
      </c>
      <c r="J707" s="80">
        <f>J148+J550</f>
        <v>22081</v>
      </c>
      <c r="K707" s="80">
        <f>K148+K550</f>
        <v>-12112.648000000001</v>
      </c>
      <c r="L707" s="80">
        <f>L148+L550</f>
        <v>9968.352</v>
      </c>
    </row>
    <row r="708" spans="6:12" ht="15.75" thickBot="1">
      <c r="F708" s="109" t="s">
        <v>396</v>
      </c>
      <c r="G708" s="33" t="e">
        <f>#REF!</f>
        <v>#REF!</v>
      </c>
      <c r="H708" s="80">
        <f>H563+H635</f>
        <v>193.6</v>
      </c>
      <c r="I708" s="80">
        <f>I563+I635</f>
        <v>26.400000000000006</v>
      </c>
      <c r="J708" s="80">
        <f>J563+J635</f>
        <v>220</v>
      </c>
      <c r="K708" s="80">
        <f>K563+K635</f>
        <v>30</v>
      </c>
      <c r="L708" s="80">
        <f>L563+L635</f>
        <v>250</v>
      </c>
    </row>
    <row r="709" spans="5:12" ht="15.75" customHeight="1" hidden="1" thickBot="1">
      <c r="E709" s="38" t="e">
        <f>SUM(#REF!)</f>
        <v>#REF!</v>
      </c>
      <c r="F709" s="106" t="s">
        <v>16</v>
      </c>
      <c r="G709" s="35" t="e">
        <f>#REF!</f>
        <v>#REF!</v>
      </c>
      <c r="H709" s="81">
        <f>H710+H711+H712+H713</f>
        <v>0</v>
      </c>
      <c r="I709" s="81">
        <f>I710+I711+I712+I713</f>
        <v>0</v>
      </c>
      <c r="J709" s="81">
        <f>J710+J711+J712+J713</f>
        <v>0</v>
      </c>
      <c r="K709" s="81">
        <f>K710+K711+K712+K713</f>
        <v>0</v>
      </c>
      <c r="L709" s="81">
        <f>L710+L711+L712+L713</f>
        <v>0</v>
      </c>
    </row>
    <row r="710" spans="6:12" ht="15.75" customHeight="1" hidden="1">
      <c r="F710" s="107" t="s">
        <v>397</v>
      </c>
      <c r="G710" s="30" t="e">
        <f>#REF!</f>
        <v>#REF!</v>
      </c>
      <c r="H710" s="78"/>
      <c r="I710" s="78"/>
      <c r="J710" s="78"/>
      <c r="K710" s="78"/>
      <c r="L710" s="78"/>
    </row>
    <row r="711" spans="6:12" ht="15.75" customHeight="1" hidden="1">
      <c r="F711" s="94" t="s">
        <v>398</v>
      </c>
      <c r="G711" s="31" t="e">
        <f>#REF!</f>
        <v>#REF!</v>
      </c>
      <c r="H711" s="56"/>
      <c r="I711" s="56"/>
      <c r="J711" s="56"/>
      <c r="K711" s="56"/>
      <c r="L711" s="56"/>
    </row>
    <row r="712" spans="6:12" ht="15.75" customHeight="1" hidden="1">
      <c r="F712" s="94" t="s">
        <v>399</v>
      </c>
      <c r="G712" s="31" t="e">
        <f>#REF!</f>
        <v>#REF!</v>
      </c>
      <c r="H712" s="56"/>
      <c r="I712" s="56"/>
      <c r="J712" s="56"/>
      <c r="K712" s="56"/>
      <c r="L712" s="56"/>
    </row>
    <row r="713" spans="6:12" ht="15.75" customHeight="1" hidden="1" thickBot="1">
      <c r="F713" s="115">
        <v>1104</v>
      </c>
      <c r="G713" s="34" t="e">
        <f>G267</f>
        <v>#REF!</v>
      </c>
      <c r="H713" s="82"/>
      <c r="I713" s="82"/>
      <c r="J713" s="82"/>
      <c r="K713" s="82"/>
      <c r="L713" s="82"/>
    </row>
    <row r="714" spans="6:12" ht="15.75" thickBot="1">
      <c r="F714" s="116">
        <v>11</v>
      </c>
      <c r="G714" s="35"/>
      <c r="H714" s="81">
        <f>H715</f>
        <v>1287.58</v>
      </c>
      <c r="I714" s="81">
        <f>I715</f>
        <v>582.42</v>
      </c>
      <c r="J714" s="176">
        <f>J715</f>
        <v>3483</v>
      </c>
      <c r="K714" s="81">
        <f>K715</f>
        <v>-420.74</v>
      </c>
      <c r="L714" s="176">
        <f>L715</f>
        <v>3062.26</v>
      </c>
    </row>
    <row r="715" spans="6:12" ht="15.75" thickBot="1">
      <c r="F715" s="115">
        <v>1101</v>
      </c>
      <c r="G715" s="34"/>
      <c r="H715" s="82">
        <f>H642+H262</f>
        <v>1287.58</v>
      </c>
      <c r="I715" s="82">
        <f>I642+I262</f>
        <v>582.42</v>
      </c>
      <c r="J715" s="82">
        <f>J642+J262</f>
        <v>3483</v>
      </c>
      <c r="K715" s="82">
        <f>K642+K262</f>
        <v>-420.74</v>
      </c>
      <c r="L715" s="82">
        <f>L642+L262</f>
        <v>3062.26</v>
      </c>
    </row>
    <row r="716" spans="6:12" ht="15.75" thickBot="1">
      <c r="F716" s="117">
        <v>12</v>
      </c>
      <c r="G716" s="35"/>
      <c r="H716" s="81">
        <f>H717+H718+H719+H720</f>
        <v>903.6</v>
      </c>
      <c r="I716" s="81">
        <f>I717+I718+I719+I720</f>
        <v>230.42</v>
      </c>
      <c r="J716" s="176">
        <f>J717+J718+J719+J720</f>
        <v>1202.02</v>
      </c>
      <c r="K716" s="81">
        <f>K717+K718+K719+K720</f>
        <v>0</v>
      </c>
      <c r="L716" s="176">
        <f>L717+L718+L719+L720</f>
        <v>1202.02</v>
      </c>
    </row>
    <row r="717" spans="6:12" ht="15" customHeight="1" hidden="1">
      <c r="F717" s="118">
        <v>1201</v>
      </c>
      <c r="G717" s="30"/>
      <c r="H717" s="78"/>
      <c r="I717" s="78"/>
      <c r="J717" s="78"/>
      <c r="K717" s="78"/>
      <c r="L717" s="78"/>
    </row>
    <row r="718" spans="6:12" ht="15.75" thickBot="1">
      <c r="F718" s="119">
        <v>1202</v>
      </c>
      <c r="G718" s="31"/>
      <c r="H718" s="56">
        <f>H572</f>
        <v>903.6</v>
      </c>
      <c r="I718" s="56">
        <f>I572</f>
        <v>230.42</v>
      </c>
      <c r="J718" s="56">
        <f>J572</f>
        <v>1202.02</v>
      </c>
      <c r="K718" s="56">
        <f>K572</f>
        <v>0</v>
      </c>
      <c r="L718" s="56">
        <f>L572</f>
        <v>1202.02</v>
      </c>
    </row>
    <row r="719" spans="6:12" ht="15.75" customHeight="1" hidden="1">
      <c r="F719" s="119">
        <v>1203</v>
      </c>
      <c r="G719" s="31"/>
      <c r="H719" s="56"/>
      <c r="I719" s="56"/>
      <c r="J719" s="56"/>
      <c r="K719" s="56"/>
      <c r="L719" s="56"/>
    </row>
    <row r="720" spans="6:12" ht="15.75" customHeight="1" hidden="1" thickBot="1">
      <c r="F720" s="120">
        <v>1204</v>
      </c>
      <c r="G720" s="33"/>
      <c r="H720" s="80"/>
      <c r="I720" s="80"/>
      <c r="J720" s="80"/>
      <c r="K720" s="80"/>
      <c r="L720" s="80"/>
    </row>
    <row r="721" spans="6:12" ht="15.75" thickBot="1">
      <c r="F721" s="117">
        <v>13</v>
      </c>
      <c r="G721" s="35"/>
      <c r="H721" s="81">
        <f>H722+H723</f>
        <v>45.04</v>
      </c>
      <c r="I721" s="81">
        <f>I722+I723</f>
        <v>154.96</v>
      </c>
      <c r="J721" s="81">
        <f>J722+J723</f>
        <v>200</v>
      </c>
      <c r="K721" s="81">
        <f>K722+K723</f>
        <v>0</v>
      </c>
      <c r="L721" s="81">
        <f>L722+L723</f>
        <v>200</v>
      </c>
    </row>
    <row r="722" spans="6:12" ht="15.75" thickBot="1">
      <c r="F722" s="118">
        <v>1301</v>
      </c>
      <c r="G722" s="30"/>
      <c r="H722" s="78">
        <f>H267</f>
        <v>45.04</v>
      </c>
      <c r="I722" s="78">
        <f>I267</f>
        <v>154.96</v>
      </c>
      <c r="J722" s="78">
        <f>J267</f>
        <v>200</v>
      </c>
      <c r="K722" s="78">
        <f>K267</f>
        <v>0</v>
      </c>
      <c r="L722" s="78">
        <f>L267</f>
        <v>200</v>
      </c>
    </row>
    <row r="723" spans="6:12" ht="15.75" customHeight="1" hidden="1" thickBot="1">
      <c r="F723" s="120">
        <v>1302</v>
      </c>
      <c r="G723" s="33"/>
      <c r="H723" s="80"/>
      <c r="I723" s="80"/>
      <c r="J723" s="80"/>
      <c r="K723" s="80"/>
      <c r="L723" s="80"/>
    </row>
    <row r="724" spans="6:12" ht="15.75" thickBot="1">
      <c r="F724" s="117">
        <v>14</v>
      </c>
      <c r="G724" s="35"/>
      <c r="H724" s="81">
        <f>H725+H726+H727</f>
        <v>29125.9</v>
      </c>
      <c r="I724" s="81">
        <f>I725+I726+I727</f>
        <v>5772.5</v>
      </c>
      <c r="J724" s="81">
        <f>J725+J726+J727</f>
        <v>35671.08</v>
      </c>
      <c r="K724" s="81">
        <f>K725+K726+K727</f>
        <v>0</v>
      </c>
      <c r="L724" s="81">
        <f>L725+L726+L727</f>
        <v>35671.08</v>
      </c>
    </row>
    <row r="725" spans="6:12" ht="15">
      <c r="F725" s="118">
        <v>1401</v>
      </c>
      <c r="G725" s="30"/>
      <c r="H725" s="78">
        <f>H272</f>
        <v>29125.9</v>
      </c>
      <c r="I725" s="78">
        <f>I272</f>
        <v>5772.5</v>
      </c>
      <c r="J725" s="78">
        <f>J272</f>
        <v>34898.4</v>
      </c>
      <c r="K725" s="78">
        <f>K272</f>
        <v>0</v>
      </c>
      <c r="L725" s="78">
        <f>L272</f>
        <v>34898.4</v>
      </c>
    </row>
    <row r="726" spans="6:12" ht="15" customHeight="1" hidden="1">
      <c r="F726" s="119">
        <v>1402</v>
      </c>
      <c r="G726" s="31"/>
      <c r="H726" s="56"/>
      <c r="I726" s="56"/>
      <c r="J726" s="56"/>
      <c r="K726" s="56"/>
      <c r="L726" s="56"/>
    </row>
    <row r="727" spans="6:12" ht="15">
      <c r="F727" s="120">
        <v>1403</v>
      </c>
      <c r="G727" s="33"/>
      <c r="H727" s="80">
        <f>H280</f>
        <v>0</v>
      </c>
      <c r="I727" s="80">
        <f>I280</f>
        <v>0</v>
      </c>
      <c r="J727" s="80">
        <f>J280</f>
        <v>772.68</v>
      </c>
      <c r="K727" s="80">
        <f>K280</f>
        <v>0</v>
      </c>
      <c r="L727" s="80">
        <f>L280</f>
        <v>772.68</v>
      </c>
    </row>
    <row r="728" spans="6:12" ht="15">
      <c r="F728" s="119">
        <v>9999</v>
      </c>
      <c r="G728" s="31"/>
      <c r="H728" s="56">
        <f>H647</f>
        <v>7294.84</v>
      </c>
      <c r="I728" s="56">
        <f>I647</f>
        <v>-7294.84</v>
      </c>
      <c r="J728" s="56">
        <f>J647</f>
        <v>0</v>
      </c>
      <c r="K728" s="56">
        <f>K647</f>
        <v>0</v>
      </c>
      <c r="L728" s="56">
        <f>L647</f>
        <v>0</v>
      </c>
    </row>
    <row r="729" spans="6:12" ht="15.75" thickBot="1">
      <c r="F729" s="121" t="s">
        <v>400</v>
      </c>
      <c r="G729" s="45" t="e">
        <f>G655+G669+G673+G678+G685+G691+G696+G703+G709</f>
        <v>#REF!</v>
      </c>
      <c r="H729" s="84" t="e">
        <f>H655+H669+H673+H678+H685+H691+H696+H703+H709+H716+H721+H724+H714+H667+H728</f>
        <v>#REF!</v>
      </c>
      <c r="I729" s="84" t="e">
        <f>I655+I669+I673+I678+I685+I691+I696+I703+I709+I716+I721+I724+I714+I667+I728</f>
        <v>#REF!</v>
      </c>
      <c r="J729" s="84">
        <f>J655+J669+J673+J678+J685+J691+J696+J703+J709+J716+J721+J724+J714+J667+J728+J683</f>
        <v>370400.18455000006</v>
      </c>
      <c r="K729" s="84">
        <f>K655+K669+K673+K678+K685+K691+K696+K703+K709+K716+K721+K724+K714+K667+K728+K683</f>
        <v>40248.617000000006</v>
      </c>
      <c r="L729" s="84">
        <f>L655+L669+L673+L678+L685+L691+L696+L703+L709+L716+L721+L724+L714+L667+L728+L683</f>
        <v>410648.80155000003</v>
      </c>
    </row>
    <row r="730" spans="6:12" ht="15">
      <c r="F730" s="122"/>
      <c r="G730" s="36"/>
      <c r="I730" s="76"/>
      <c r="J730" s="174"/>
      <c r="K730" s="177"/>
      <c r="L730" s="174"/>
    </row>
    <row r="731" spans="6:11" ht="15">
      <c r="F731" s="122"/>
      <c r="G731" s="36"/>
      <c r="I731" s="76"/>
      <c r="K731" s="177"/>
    </row>
    <row r="732" spans="6:11" ht="15">
      <c r="F732" s="122"/>
      <c r="G732" s="36"/>
      <c r="I732" s="76"/>
      <c r="K732" s="177"/>
    </row>
    <row r="733" spans="6:11" ht="15">
      <c r="F733" s="122"/>
      <c r="G733" s="36"/>
      <c r="I733" s="76"/>
      <c r="K733" s="177"/>
    </row>
    <row r="734" spans="6:11" ht="15">
      <c r="F734" s="122"/>
      <c r="G734" s="36"/>
      <c r="I734" s="76"/>
      <c r="K734" s="177"/>
    </row>
    <row r="735" spans="6:11" ht="15">
      <c r="F735" s="122"/>
      <c r="G735" s="36"/>
      <c r="I735" s="76"/>
      <c r="K735" s="177"/>
    </row>
    <row r="736" spans="6:11" ht="15">
      <c r="F736" s="122"/>
      <c r="G736" s="36"/>
      <c r="I736" s="76"/>
      <c r="K736" s="177"/>
    </row>
    <row r="737" spans="7:11" ht="15">
      <c r="G737" s="36"/>
      <c r="I737" s="76"/>
      <c r="K737" s="177"/>
    </row>
    <row r="738" spans="7:11" ht="15">
      <c r="G738" s="36"/>
      <c r="I738" s="76"/>
      <c r="K738" s="177"/>
    </row>
    <row r="739" spans="1:12" s="65" customFormat="1" ht="15">
      <c r="A739" s="38"/>
      <c r="B739" s="38"/>
      <c r="C739" s="38"/>
      <c r="D739" s="38"/>
      <c r="E739" s="38"/>
      <c r="F739" s="38"/>
      <c r="G739" s="36"/>
      <c r="H739" s="64"/>
      <c r="I739" s="76"/>
      <c r="J739" s="171"/>
      <c r="K739" s="177"/>
      <c r="L739" s="171"/>
    </row>
    <row r="740" spans="1:12" s="65" customFormat="1" ht="15">
      <c r="A740" s="38"/>
      <c r="B740" s="38"/>
      <c r="C740" s="38"/>
      <c r="D740" s="38"/>
      <c r="E740" s="38"/>
      <c r="F740" s="38"/>
      <c r="G740" s="36"/>
      <c r="H740" s="64"/>
      <c r="I740" s="76"/>
      <c r="J740" s="171"/>
      <c r="K740" s="177"/>
      <c r="L740" s="171"/>
    </row>
    <row r="741" spans="1:12" s="65" customFormat="1" ht="15">
      <c r="A741" s="38"/>
      <c r="B741" s="38"/>
      <c r="C741" s="38"/>
      <c r="D741" s="38"/>
      <c r="E741" s="38"/>
      <c r="F741" s="38"/>
      <c r="G741" s="36"/>
      <c r="H741" s="64"/>
      <c r="I741" s="76"/>
      <c r="J741" s="171"/>
      <c r="K741" s="177"/>
      <c r="L741" s="171"/>
    </row>
    <row r="742" spans="1:12" s="65" customFormat="1" ht="15">
      <c r="A742" s="38"/>
      <c r="B742" s="38"/>
      <c r="C742" s="38"/>
      <c r="D742" s="38"/>
      <c r="E742" s="38"/>
      <c r="F742" s="38"/>
      <c r="G742" s="36"/>
      <c r="H742" s="64"/>
      <c r="I742" s="76"/>
      <c r="J742" s="171"/>
      <c r="K742" s="177"/>
      <c r="L742" s="171"/>
    </row>
    <row r="743" spans="1:12" s="65" customFormat="1" ht="15">
      <c r="A743" s="38"/>
      <c r="B743" s="38"/>
      <c r="C743" s="38"/>
      <c r="D743" s="38"/>
      <c r="E743" s="38"/>
      <c r="F743" s="38"/>
      <c r="G743" s="36"/>
      <c r="H743" s="64"/>
      <c r="I743" s="76"/>
      <c r="J743" s="171"/>
      <c r="K743" s="177"/>
      <c r="L743" s="171"/>
    </row>
    <row r="744" spans="1:12" s="65" customFormat="1" ht="15">
      <c r="A744" s="38"/>
      <c r="B744" s="38"/>
      <c r="C744" s="38"/>
      <c r="D744" s="38"/>
      <c r="E744" s="38"/>
      <c r="F744" s="38"/>
      <c r="G744" s="36"/>
      <c r="H744" s="64"/>
      <c r="I744" s="76"/>
      <c r="J744" s="171"/>
      <c r="K744" s="177"/>
      <c r="L744" s="171"/>
    </row>
    <row r="745" spans="1:12" s="65" customFormat="1" ht="15">
      <c r="A745" s="38"/>
      <c r="B745" s="38"/>
      <c r="C745" s="38"/>
      <c r="D745" s="38"/>
      <c r="E745" s="38"/>
      <c r="F745" s="38"/>
      <c r="G745" s="36"/>
      <c r="H745" s="64"/>
      <c r="I745" s="76"/>
      <c r="J745" s="171"/>
      <c r="K745" s="177"/>
      <c r="L745" s="171"/>
    </row>
    <row r="746" spans="1:12" s="65" customFormat="1" ht="15">
      <c r="A746" s="38"/>
      <c r="B746" s="38"/>
      <c r="C746" s="38"/>
      <c r="D746" s="38"/>
      <c r="E746" s="38"/>
      <c r="F746" s="38"/>
      <c r="G746" s="36"/>
      <c r="H746" s="64"/>
      <c r="I746" s="76"/>
      <c r="J746" s="171"/>
      <c r="K746" s="177"/>
      <c r="L746" s="171"/>
    </row>
    <row r="747" spans="1:12" s="65" customFormat="1" ht="15">
      <c r="A747" s="38"/>
      <c r="B747" s="38"/>
      <c r="C747" s="38"/>
      <c r="D747" s="38"/>
      <c r="E747" s="38"/>
      <c r="F747" s="38"/>
      <c r="G747" s="36"/>
      <c r="H747" s="64"/>
      <c r="I747" s="76"/>
      <c r="J747" s="171"/>
      <c r="K747" s="177"/>
      <c r="L747" s="171"/>
    </row>
    <row r="748" spans="1:12" s="65" customFormat="1" ht="15">
      <c r="A748" s="38"/>
      <c r="B748" s="38"/>
      <c r="C748" s="38"/>
      <c r="D748" s="38"/>
      <c r="E748" s="38"/>
      <c r="F748" s="38"/>
      <c r="G748" s="36"/>
      <c r="H748" s="64"/>
      <c r="I748" s="76"/>
      <c r="J748" s="171"/>
      <c r="K748" s="177"/>
      <c r="L748" s="171"/>
    </row>
    <row r="749" spans="1:12" s="65" customFormat="1" ht="15">
      <c r="A749" s="38"/>
      <c r="B749" s="38"/>
      <c r="C749" s="38"/>
      <c r="D749" s="38"/>
      <c r="E749" s="38"/>
      <c r="F749" s="38"/>
      <c r="G749" s="36"/>
      <c r="H749" s="64"/>
      <c r="I749" s="76"/>
      <c r="J749" s="171"/>
      <c r="K749" s="177"/>
      <c r="L749" s="171"/>
    </row>
    <row r="750" spans="1:12" s="65" customFormat="1" ht="15">
      <c r="A750" s="38"/>
      <c r="B750" s="38"/>
      <c r="C750" s="38"/>
      <c r="D750" s="38"/>
      <c r="E750" s="38"/>
      <c r="F750" s="38"/>
      <c r="G750" s="36"/>
      <c r="H750" s="64"/>
      <c r="I750" s="76"/>
      <c r="J750" s="171"/>
      <c r="K750" s="177"/>
      <c r="L750" s="171"/>
    </row>
    <row r="751" spans="1:12" s="65" customFormat="1" ht="15">
      <c r="A751" s="38"/>
      <c r="B751" s="38"/>
      <c r="C751" s="38"/>
      <c r="D751" s="38"/>
      <c r="E751" s="38"/>
      <c r="F751" s="38"/>
      <c r="G751" s="36"/>
      <c r="H751" s="64"/>
      <c r="I751" s="76"/>
      <c r="J751" s="171"/>
      <c r="K751" s="177"/>
      <c r="L751" s="171"/>
    </row>
    <row r="752" spans="1:12" s="65" customFormat="1" ht="15">
      <c r="A752" s="38"/>
      <c r="B752" s="38"/>
      <c r="C752" s="38"/>
      <c r="D752" s="38"/>
      <c r="E752" s="38"/>
      <c r="F752" s="38"/>
      <c r="G752" s="36"/>
      <c r="H752" s="64"/>
      <c r="I752" s="76"/>
      <c r="J752" s="171"/>
      <c r="K752" s="177"/>
      <c r="L752" s="171"/>
    </row>
    <row r="753" spans="1:12" s="65" customFormat="1" ht="15">
      <c r="A753" s="38"/>
      <c r="B753" s="38"/>
      <c r="C753" s="38"/>
      <c r="D753" s="38"/>
      <c r="E753" s="38"/>
      <c r="F753" s="38"/>
      <c r="G753" s="36"/>
      <c r="H753" s="64"/>
      <c r="I753" s="76"/>
      <c r="J753" s="171"/>
      <c r="K753" s="177"/>
      <c r="L753" s="171"/>
    </row>
    <row r="754" spans="1:12" s="65" customFormat="1" ht="15">
      <c r="A754" s="38"/>
      <c r="B754" s="38"/>
      <c r="C754" s="38"/>
      <c r="D754" s="38"/>
      <c r="E754" s="38"/>
      <c r="F754" s="38"/>
      <c r="G754" s="36"/>
      <c r="H754" s="64"/>
      <c r="I754" s="76"/>
      <c r="J754" s="171"/>
      <c r="K754" s="177"/>
      <c r="L754" s="171"/>
    </row>
    <row r="755" spans="1:12" s="65" customFormat="1" ht="15">
      <c r="A755" s="38"/>
      <c r="B755" s="38"/>
      <c r="C755" s="38"/>
      <c r="D755" s="38"/>
      <c r="E755" s="38"/>
      <c r="F755" s="38"/>
      <c r="G755" s="36"/>
      <c r="H755" s="64"/>
      <c r="I755" s="76"/>
      <c r="J755" s="171"/>
      <c r="K755" s="177"/>
      <c r="L755" s="171"/>
    </row>
    <row r="756" spans="1:12" s="65" customFormat="1" ht="15">
      <c r="A756" s="38"/>
      <c r="B756" s="38"/>
      <c r="C756" s="38"/>
      <c r="D756" s="38"/>
      <c r="E756" s="38"/>
      <c r="F756" s="38"/>
      <c r="G756" s="36"/>
      <c r="H756" s="64"/>
      <c r="I756" s="76"/>
      <c r="J756" s="171"/>
      <c r="K756" s="177"/>
      <c r="L756" s="171"/>
    </row>
    <row r="757" spans="1:12" s="65" customFormat="1" ht="15">
      <c r="A757" s="38"/>
      <c r="B757" s="38"/>
      <c r="C757" s="38"/>
      <c r="D757" s="38"/>
      <c r="E757" s="38"/>
      <c r="F757" s="38"/>
      <c r="G757" s="36"/>
      <c r="H757" s="64"/>
      <c r="I757" s="76"/>
      <c r="J757" s="171"/>
      <c r="K757" s="177"/>
      <c r="L757" s="171"/>
    </row>
    <row r="758" spans="1:12" s="65" customFormat="1" ht="15">
      <c r="A758" s="38"/>
      <c r="B758" s="38"/>
      <c r="C758" s="38"/>
      <c r="D758" s="38"/>
      <c r="E758" s="38"/>
      <c r="F758" s="38"/>
      <c r="G758" s="36"/>
      <c r="H758" s="64"/>
      <c r="I758" s="76"/>
      <c r="J758" s="171"/>
      <c r="K758" s="177"/>
      <c r="L758" s="171"/>
    </row>
    <row r="759" spans="1:12" s="65" customFormat="1" ht="15">
      <c r="A759" s="38"/>
      <c r="B759" s="38"/>
      <c r="C759" s="38"/>
      <c r="D759" s="38"/>
      <c r="E759" s="38"/>
      <c r="F759" s="38"/>
      <c r="G759" s="36"/>
      <c r="H759" s="64"/>
      <c r="I759" s="76"/>
      <c r="J759" s="171"/>
      <c r="K759" s="177"/>
      <c r="L759" s="171"/>
    </row>
    <row r="760" spans="1:12" s="65" customFormat="1" ht="15">
      <c r="A760" s="38"/>
      <c r="B760" s="38"/>
      <c r="C760" s="38"/>
      <c r="D760" s="38"/>
      <c r="E760" s="38"/>
      <c r="F760" s="38"/>
      <c r="G760" s="36"/>
      <c r="H760" s="64"/>
      <c r="I760" s="76"/>
      <c r="J760" s="171"/>
      <c r="K760" s="177"/>
      <c r="L760" s="171"/>
    </row>
    <row r="761" spans="1:12" s="65" customFormat="1" ht="15">
      <c r="A761" s="38"/>
      <c r="B761" s="38"/>
      <c r="C761" s="38"/>
      <c r="D761" s="38"/>
      <c r="E761" s="38"/>
      <c r="F761" s="38"/>
      <c r="G761" s="36"/>
      <c r="H761" s="64"/>
      <c r="I761" s="76"/>
      <c r="J761" s="171"/>
      <c r="K761" s="177"/>
      <c r="L761" s="171"/>
    </row>
    <row r="762" spans="1:12" s="65" customFormat="1" ht="15">
      <c r="A762" s="38"/>
      <c r="B762" s="38"/>
      <c r="C762" s="38"/>
      <c r="D762" s="38"/>
      <c r="E762" s="38"/>
      <c r="F762" s="38"/>
      <c r="G762" s="36"/>
      <c r="H762" s="64"/>
      <c r="I762" s="76"/>
      <c r="J762" s="171"/>
      <c r="K762" s="177"/>
      <c r="L762" s="171"/>
    </row>
    <row r="763" spans="1:12" s="65" customFormat="1" ht="15">
      <c r="A763" s="38"/>
      <c r="B763" s="38"/>
      <c r="C763" s="38"/>
      <c r="D763" s="38"/>
      <c r="E763" s="38"/>
      <c r="F763" s="38"/>
      <c r="G763" s="36"/>
      <c r="H763" s="64"/>
      <c r="I763" s="76"/>
      <c r="J763" s="171"/>
      <c r="K763" s="177"/>
      <c r="L763" s="171"/>
    </row>
    <row r="764" spans="1:12" s="65" customFormat="1" ht="15">
      <c r="A764" s="38"/>
      <c r="B764" s="38"/>
      <c r="C764" s="38"/>
      <c r="D764" s="38"/>
      <c r="E764" s="38"/>
      <c r="F764" s="38"/>
      <c r="G764" s="36"/>
      <c r="H764" s="64"/>
      <c r="I764" s="76"/>
      <c r="J764" s="171"/>
      <c r="K764" s="177"/>
      <c r="L764" s="171"/>
    </row>
    <row r="765" spans="1:12" s="65" customFormat="1" ht="15">
      <c r="A765" s="38"/>
      <c r="B765" s="38"/>
      <c r="C765" s="38"/>
      <c r="D765" s="38"/>
      <c r="E765" s="38"/>
      <c r="F765" s="38"/>
      <c r="G765" s="36"/>
      <c r="H765" s="64"/>
      <c r="I765" s="76"/>
      <c r="J765" s="171"/>
      <c r="K765" s="177"/>
      <c r="L765" s="171"/>
    </row>
    <row r="766" spans="1:12" s="65" customFormat="1" ht="15">
      <c r="A766" s="38"/>
      <c r="B766" s="38"/>
      <c r="C766" s="38"/>
      <c r="D766" s="38"/>
      <c r="E766" s="38"/>
      <c r="F766" s="38"/>
      <c r="G766" s="36"/>
      <c r="H766" s="64"/>
      <c r="I766" s="76"/>
      <c r="J766" s="171"/>
      <c r="K766" s="177"/>
      <c r="L766" s="171"/>
    </row>
    <row r="767" spans="1:12" s="65" customFormat="1" ht="15">
      <c r="A767" s="38"/>
      <c r="B767" s="38"/>
      <c r="C767" s="38"/>
      <c r="D767" s="38"/>
      <c r="E767" s="38"/>
      <c r="F767" s="38"/>
      <c r="G767" s="36"/>
      <c r="H767" s="64"/>
      <c r="I767" s="76"/>
      <c r="J767" s="171"/>
      <c r="K767" s="177"/>
      <c r="L767" s="171"/>
    </row>
    <row r="768" spans="1:12" s="65" customFormat="1" ht="15">
      <c r="A768" s="38"/>
      <c r="B768" s="38"/>
      <c r="C768" s="38"/>
      <c r="D768" s="38"/>
      <c r="E768" s="38"/>
      <c r="F768" s="38"/>
      <c r="G768" s="36"/>
      <c r="H768" s="64"/>
      <c r="I768" s="76"/>
      <c r="J768" s="171"/>
      <c r="K768" s="177"/>
      <c r="L768" s="171"/>
    </row>
    <row r="769" spans="1:12" s="65" customFormat="1" ht="15">
      <c r="A769" s="38"/>
      <c r="B769" s="38"/>
      <c r="C769" s="38"/>
      <c r="D769" s="38"/>
      <c r="E769" s="38"/>
      <c r="F769" s="38"/>
      <c r="G769" s="36"/>
      <c r="H769" s="64"/>
      <c r="I769" s="76"/>
      <c r="J769" s="171"/>
      <c r="K769" s="177"/>
      <c r="L769" s="171"/>
    </row>
    <row r="770" spans="1:12" s="65" customFormat="1" ht="15">
      <c r="A770" s="38"/>
      <c r="B770" s="38"/>
      <c r="C770" s="38"/>
      <c r="D770" s="38"/>
      <c r="E770" s="38"/>
      <c r="F770" s="38"/>
      <c r="G770" s="36"/>
      <c r="H770" s="64"/>
      <c r="I770" s="76"/>
      <c r="J770" s="171"/>
      <c r="K770" s="177"/>
      <c r="L770" s="171"/>
    </row>
    <row r="771" spans="1:12" s="65" customFormat="1" ht="15">
      <c r="A771" s="38"/>
      <c r="B771" s="38"/>
      <c r="C771" s="38"/>
      <c r="D771" s="38"/>
      <c r="E771" s="38"/>
      <c r="F771" s="38"/>
      <c r="G771" s="36"/>
      <c r="H771" s="64"/>
      <c r="I771" s="76"/>
      <c r="J771" s="171"/>
      <c r="K771" s="177"/>
      <c r="L771" s="171"/>
    </row>
    <row r="772" spans="1:12" s="65" customFormat="1" ht="15">
      <c r="A772" s="38"/>
      <c r="B772" s="38"/>
      <c r="C772" s="38"/>
      <c r="D772" s="38"/>
      <c r="E772" s="38"/>
      <c r="F772" s="38"/>
      <c r="G772" s="36"/>
      <c r="H772" s="64"/>
      <c r="I772" s="76"/>
      <c r="J772" s="171"/>
      <c r="K772" s="177"/>
      <c r="L772" s="171"/>
    </row>
    <row r="773" spans="1:12" s="65" customFormat="1" ht="15">
      <c r="A773" s="38"/>
      <c r="B773" s="38"/>
      <c r="C773" s="38"/>
      <c r="D773" s="38"/>
      <c r="E773" s="38"/>
      <c r="F773" s="38"/>
      <c r="G773" s="36"/>
      <c r="H773" s="64"/>
      <c r="I773" s="76"/>
      <c r="J773" s="171"/>
      <c r="K773" s="177"/>
      <c r="L773" s="171"/>
    </row>
    <row r="774" spans="1:12" s="65" customFormat="1" ht="15">
      <c r="A774" s="38"/>
      <c r="B774" s="38"/>
      <c r="C774" s="38"/>
      <c r="D774" s="38"/>
      <c r="E774" s="38"/>
      <c r="F774" s="38"/>
      <c r="G774" s="36"/>
      <c r="H774" s="64"/>
      <c r="I774" s="76"/>
      <c r="J774" s="171"/>
      <c r="K774" s="177"/>
      <c r="L774" s="171"/>
    </row>
    <row r="775" spans="1:12" s="65" customFormat="1" ht="15">
      <c r="A775" s="38"/>
      <c r="B775" s="38"/>
      <c r="C775" s="38"/>
      <c r="D775" s="38"/>
      <c r="E775" s="38"/>
      <c r="F775" s="38"/>
      <c r="G775" s="36"/>
      <c r="H775" s="64"/>
      <c r="I775" s="76"/>
      <c r="J775" s="171"/>
      <c r="K775" s="177"/>
      <c r="L775" s="171"/>
    </row>
    <row r="776" spans="1:12" s="65" customFormat="1" ht="15">
      <c r="A776" s="38"/>
      <c r="B776" s="38"/>
      <c r="C776" s="38"/>
      <c r="D776" s="38"/>
      <c r="E776" s="38"/>
      <c r="F776" s="38"/>
      <c r="G776" s="36"/>
      <c r="H776" s="64"/>
      <c r="I776" s="76"/>
      <c r="J776" s="171"/>
      <c r="K776" s="177"/>
      <c r="L776" s="171"/>
    </row>
    <row r="777" spans="1:12" s="65" customFormat="1" ht="15">
      <c r="A777" s="38"/>
      <c r="B777" s="38"/>
      <c r="C777" s="38"/>
      <c r="D777" s="38"/>
      <c r="E777" s="38"/>
      <c r="F777" s="38"/>
      <c r="G777" s="36"/>
      <c r="H777" s="64"/>
      <c r="I777" s="76"/>
      <c r="J777" s="171"/>
      <c r="K777" s="177"/>
      <c r="L777" s="171"/>
    </row>
    <row r="778" spans="1:12" s="65" customFormat="1" ht="15">
      <c r="A778" s="38"/>
      <c r="B778" s="38"/>
      <c r="C778" s="38"/>
      <c r="D778" s="38"/>
      <c r="E778" s="38"/>
      <c r="F778" s="38"/>
      <c r="G778" s="36"/>
      <c r="H778" s="64"/>
      <c r="I778" s="76"/>
      <c r="J778" s="171"/>
      <c r="K778" s="177"/>
      <c r="L778" s="171"/>
    </row>
    <row r="779" spans="1:12" s="65" customFormat="1" ht="15">
      <c r="A779" s="38"/>
      <c r="B779" s="38"/>
      <c r="C779" s="38"/>
      <c r="D779" s="38"/>
      <c r="E779" s="38"/>
      <c r="F779" s="38"/>
      <c r="G779" s="36"/>
      <c r="H779" s="64"/>
      <c r="I779" s="76"/>
      <c r="J779" s="171"/>
      <c r="K779" s="177"/>
      <c r="L779" s="171"/>
    </row>
    <row r="780" spans="1:12" s="65" customFormat="1" ht="15">
      <c r="A780" s="38"/>
      <c r="B780" s="38"/>
      <c r="C780" s="38"/>
      <c r="D780" s="38"/>
      <c r="E780" s="38"/>
      <c r="F780" s="38"/>
      <c r="G780" s="36"/>
      <c r="H780" s="64"/>
      <c r="I780" s="76"/>
      <c r="J780" s="171"/>
      <c r="K780" s="177"/>
      <c r="L780" s="171"/>
    </row>
    <row r="781" spans="1:12" s="65" customFormat="1" ht="15">
      <c r="A781" s="38"/>
      <c r="B781" s="38"/>
      <c r="C781" s="38"/>
      <c r="D781" s="38"/>
      <c r="E781" s="38"/>
      <c r="F781" s="38"/>
      <c r="G781" s="36"/>
      <c r="H781" s="64"/>
      <c r="I781" s="76"/>
      <c r="J781" s="171"/>
      <c r="K781" s="177"/>
      <c r="L781" s="171"/>
    </row>
    <row r="782" spans="1:12" s="65" customFormat="1" ht="15">
      <c r="A782" s="38"/>
      <c r="B782" s="38"/>
      <c r="C782" s="38"/>
      <c r="D782" s="38"/>
      <c r="E782" s="38"/>
      <c r="F782" s="38"/>
      <c r="G782" s="36"/>
      <c r="H782" s="64"/>
      <c r="I782" s="76"/>
      <c r="J782" s="171"/>
      <c r="K782" s="177"/>
      <c r="L782" s="171"/>
    </row>
    <row r="783" spans="1:12" s="65" customFormat="1" ht="15">
      <c r="A783" s="38"/>
      <c r="B783" s="38"/>
      <c r="C783" s="38"/>
      <c r="D783" s="38"/>
      <c r="E783" s="38"/>
      <c r="F783" s="38"/>
      <c r="G783" s="36"/>
      <c r="H783" s="64"/>
      <c r="I783" s="76"/>
      <c r="J783" s="171"/>
      <c r="K783" s="177"/>
      <c r="L783" s="171"/>
    </row>
    <row r="784" spans="1:12" s="65" customFormat="1" ht="15">
      <c r="A784" s="38"/>
      <c r="B784" s="38"/>
      <c r="C784" s="38"/>
      <c r="D784" s="38"/>
      <c r="E784" s="38"/>
      <c r="F784" s="38"/>
      <c r="G784" s="36"/>
      <c r="H784" s="64"/>
      <c r="I784" s="76"/>
      <c r="J784" s="171"/>
      <c r="K784" s="177"/>
      <c r="L784" s="171"/>
    </row>
    <row r="785" spans="1:12" s="65" customFormat="1" ht="15">
      <c r="A785" s="38"/>
      <c r="B785" s="38"/>
      <c r="C785" s="38"/>
      <c r="D785" s="38"/>
      <c r="E785" s="38"/>
      <c r="F785" s="38"/>
      <c r="G785" s="36"/>
      <c r="H785" s="64"/>
      <c r="I785" s="76"/>
      <c r="J785" s="171"/>
      <c r="K785" s="177"/>
      <c r="L785" s="171"/>
    </row>
    <row r="786" spans="1:12" s="65" customFormat="1" ht="15">
      <c r="A786" s="38"/>
      <c r="B786" s="38"/>
      <c r="C786" s="38"/>
      <c r="D786" s="38"/>
      <c r="E786" s="38"/>
      <c r="F786" s="38"/>
      <c r="G786" s="36"/>
      <c r="H786" s="64"/>
      <c r="I786" s="76"/>
      <c r="J786" s="171"/>
      <c r="K786" s="177"/>
      <c r="L786" s="171"/>
    </row>
    <row r="787" spans="1:12" s="65" customFormat="1" ht="15">
      <c r="A787" s="38"/>
      <c r="B787" s="38"/>
      <c r="C787" s="38"/>
      <c r="D787" s="38"/>
      <c r="E787" s="38"/>
      <c r="F787" s="38"/>
      <c r="G787" s="36"/>
      <c r="H787" s="64"/>
      <c r="I787" s="76"/>
      <c r="J787" s="171"/>
      <c r="K787" s="177"/>
      <c r="L787" s="171"/>
    </row>
    <row r="788" spans="1:12" s="65" customFormat="1" ht="15">
      <c r="A788" s="38"/>
      <c r="B788" s="38"/>
      <c r="C788" s="38"/>
      <c r="D788" s="38"/>
      <c r="E788" s="38"/>
      <c r="F788" s="38"/>
      <c r="G788" s="36"/>
      <c r="H788" s="64"/>
      <c r="I788" s="76"/>
      <c r="J788" s="171"/>
      <c r="K788" s="177"/>
      <c r="L788" s="171"/>
    </row>
    <row r="789" spans="1:12" s="65" customFormat="1" ht="15">
      <c r="A789" s="38"/>
      <c r="B789" s="38"/>
      <c r="C789" s="38"/>
      <c r="D789" s="38"/>
      <c r="E789" s="38"/>
      <c r="F789" s="38"/>
      <c r="G789" s="36"/>
      <c r="H789" s="64"/>
      <c r="I789" s="76"/>
      <c r="J789" s="171"/>
      <c r="K789" s="177"/>
      <c r="L789" s="171"/>
    </row>
    <row r="790" spans="1:12" s="65" customFormat="1" ht="15">
      <c r="A790" s="38"/>
      <c r="B790" s="38"/>
      <c r="C790" s="38"/>
      <c r="D790" s="38"/>
      <c r="E790" s="38"/>
      <c r="F790" s="38"/>
      <c r="G790" s="36"/>
      <c r="H790" s="64"/>
      <c r="I790" s="76"/>
      <c r="J790" s="171"/>
      <c r="K790" s="177"/>
      <c r="L790" s="171"/>
    </row>
    <row r="791" spans="1:12" s="65" customFormat="1" ht="15">
      <c r="A791" s="38"/>
      <c r="B791" s="38"/>
      <c r="C791" s="38"/>
      <c r="D791" s="38"/>
      <c r="E791" s="38"/>
      <c r="F791" s="38"/>
      <c r="G791" s="36"/>
      <c r="H791" s="64"/>
      <c r="I791" s="76"/>
      <c r="J791" s="171"/>
      <c r="K791" s="177"/>
      <c r="L791" s="171"/>
    </row>
    <row r="792" spans="1:12" s="65" customFormat="1" ht="15">
      <c r="A792" s="38"/>
      <c r="B792" s="38"/>
      <c r="C792" s="38"/>
      <c r="D792" s="38"/>
      <c r="E792" s="38"/>
      <c r="F792" s="38"/>
      <c r="G792" s="36"/>
      <c r="H792" s="64"/>
      <c r="I792" s="76"/>
      <c r="J792" s="171"/>
      <c r="K792" s="177"/>
      <c r="L792" s="171"/>
    </row>
    <row r="793" spans="1:12" s="65" customFormat="1" ht="15">
      <c r="A793" s="38"/>
      <c r="B793" s="38"/>
      <c r="C793" s="38"/>
      <c r="D793" s="38"/>
      <c r="E793" s="38"/>
      <c r="F793" s="38"/>
      <c r="G793" s="36"/>
      <c r="H793" s="64"/>
      <c r="I793" s="76"/>
      <c r="J793" s="171"/>
      <c r="K793" s="177"/>
      <c r="L793" s="171"/>
    </row>
    <row r="794" spans="1:12" s="65" customFormat="1" ht="15">
      <c r="A794" s="38"/>
      <c r="B794" s="38"/>
      <c r="C794" s="38"/>
      <c r="D794" s="38"/>
      <c r="E794" s="38"/>
      <c r="F794" s="38"/>
      <c r="G794" s="36"/>
      <c r="H794" s="64"/>
      <c r="I794" s="76"/>
      <c r="J794" s="171"/>
      <c r="K794" s="177"/>
      <c r="L794" s="171"/>
    </row>
    <row r="795" spans="1:12" s="65" customFormat="1" ht="15">
      <c r="A795" s="38"/>
      <c r="B795" s="38"/>
      <c r="C795" s="38"/>
      <c r="D795" s="38"/>
      <c r="E795" s="38"/>
      <c r="F795" s="38"/>
      <c r="G795" s="36"/>
      <c r="H795" s="64"/>
      <c r="I795" s="76"/>
      <c r="J795" s="171"/>
      <c r="K795" s="177"/>
      <c r="L795" s="171"/>
    </row>
    <row r="796" spans="1:12" s="65" customFormat="1" ht="15">
      <c r="A796" s="38"/>
      <c r="B796" s="38"/>
      <c r="C796" s="38"/>
      <c r="D796" s="38"/>
      <c r="E796" s="38"/>
      <c r="F796" s="38"/>
      <c r="G796" s="36"/>
      <c r="H796" s="64"/>
      <c r="I796" s="76"/>
      <c r="J796" s="171"/>
      <c r="K796" s="177"/>
      <c r="L796" s="171"/>
    </row>
    <row r="797" spans="1:12" s="65" customFormat="1" ht="15">
      <c r="A797" s="38"/>
      <c r="B797" s="38"/>
      <c r="C797" s="38"/>
      <c r="D797" s="38"/>
      <c r="E797" s="38"/>
      <c r="F797" s="38"/>
      <c r="G797" s="36"/>
      <c r="H797" s="64"/>
      <c r="I797" s="76"/>
      <c r="J797" s="171"/>
      <c r="K797" s="177"/>
      <c r="L797" s="171"/>
    </row>
    <row r="798" spans="1:12" s="65" customFormat="1" ht="15">
      <c r="A798" s="38"/>
      <c r="B798" s="38"/>
      <c r="C798" s="38"/>
      <c r="D798" s="38"/>
      <c r="E798" s="38"/>
      <c r="F798" s="38"/>
      <c r="G798" s="36"/>
      <c r="H798" s="64"/>
      <c r="I798" s="76"/>
      <c r="J798" s="171"/>
      <c r="K798" s="177"/>
      <c r="L798" s="171"/>
    </row>
    <row r="799" spans="1:12" s="65" customFormat="1" ht="15">
      <c r="A799" s="38"/>
      <c r="B799" s="38"/>
      <c r="C799" s="38"/>
      <c r="D799" s="38"/>
      <c r="E799" s="38"/>
      <c r="F799" s="38"/>
      <c r="G799" s="36"/>
      <c r="H799" s="64"/>
      <c r="I799" s="76"/>
      <c r="J799" s="171"/>
      <c r="K799" s="177"/>
      <c r="L799" s="171"/>
    </row>
    <row r="800" spans="1:12" s="65" customFormat="1" ht="15">
      <c r="A800" s="38"/>
      <c r="B800" s="38"/>
      <c r="C800" s="38"/>
      <c r="D800" s="38"/>
      <c r="E800" s="38"/>
      <c r="F800" s="38"/>
      <c r="G800" s="36"/>
      <c r="H800" s="64"/>
      <c r="I800" s="76"/>
      <c r="J800" s="171"/>
      <c r="K800" s="177"/>
      <c r="L800" s="171"/>
    </row>
    <row r="801" spans="1:12" s="65" customFormat="1" ht="15">
      <c r="A801" s="38"/>
      <c r="B801" s="38"/>
      <c r="C801" s="38"/>
      <c r="D801" s="38"/>
      <c r="E801" s="38"/>
      <c r="F801" s="38"/>
      <c r="G801" s="36"/>
      <c r="H801" s="64"/>
      <c r="I801" s="76"/>
      <c r="J801" s="171"/>
      <c r="K801" s="177"/>
      <c r="L801" s="171"/>
    </row>
    <row r="802" spans="1:12" s="65" customFormat="1" ht="15">
      <c r="A802" s="38"/>
      <c r="B802" s="38"/>
      <c r="C802" s="38"/>
      <c r="D802" s="38"/>
      <c r="E802" s="38"/>
      <c r="F802" s="38"/>
      <c r="G802" s="36"/>
      <c r="H802" s="64"/>
      <c r="I802" s="76"/>
      <c r="J802" s="171"/>
      <c r="K802" s="177"/>
      <c r="L802" s="171"/>
    </row>
    <row r="803" spans="1:12" s="65" customFormat="1" ht="15">
      <c r="A803" s="38"/>
      <c r="B803" s="38"/>
      <c r="C803" s="38"/>
      <c r="D803" s="38"/>
      <c r="E803" s="38"/>
      <c r="F803" s="38"/>
      <c r="G803" s="36"/>
      <c r="H803" s="64"/>
      <c r="I803" s="76"/>
      <c r="J803" s="171"/>
      <c r="K803" s="177"/>
      <c r="L803" s="171"/>
    </row>
    <row r="804" spans="1:12" s="65" customFormat="1" ht="15">
      <c r="A804" s="38"/>
      <c r="B804" s="38"/>
      <c r="C804" s="38"/>
      <c r="D804" s="38"/>
      <c r="E804" s="38"/>
      <c r="F804" s="38"/>
      <c r="G804" s="36"/>
      <c r="H804" s="64"/>
      <c r="I804" s="76"/>
      <c r="J804" s="171"/>
      <c r="K804" s="177"/>
      <c r="L804" s="171"/>
    </row>
    <row r="805" spans="1:12" s="65" customFormat="1" ht="15">
      <c r="A805" s="38"/>
      <c r="B805" s="38"/>
      <c r="C805" s="38"/>
      <c r="D805" s="38"/>
      <c r="E805" s="38"/>
      <c r="F805" s="38"/>
      <c r="G805" s="36"/>
      <c r="H805" s="64"/>
      <c r="I805" s="76"/>
      <c r="J805" s="171"/>
      <c r="K805" s="177"/>
      <c r="L805" s="171"/>
    </row>
    <row r="806" spans="1:12" s="65" customFormat="1" ht="15">
      <c r="A806" s="38"/>
      <c r="B806" s="38"/>
      <c r="C806" s="38"/>
      <c r="D806" s="38"/>
      <c r="E806" s="38"/>
      <c r="F806" s="38"/>
      <c r="G806" s="36"/>
      <c r="H806" s="64"/>
      <c r="I806" s="76"/>
      <c r="J806" s="171"/>
      <c r="K806" s="177"/>
      <c r="L806" s="171"/>
    </row>
    <row r="807" spans="1:12" s="65" customFormat="1" ht="15">
      <c r="A807" s="38"/>
      <c r="B807" s="38"/>
      <c r="C807" s="38"/>
      <c r="D807" s="38"/>
      <c r="E807" s="38"/>
      <c r="F807" s="38"/>
      <c r="G807" s="36"/>
      <c r="H807" s="64"/>
      <c r="I807" s="76"/>
      <c r="J807" s="171"/>
      <c r="K807" s="177"/>
      <c r="L807" s="171"/>
    </row>
    <row r="808" spans="1:12" s="65" customFormat="1" ht="15">
      <c r="A808" s="38"/>
      <c r="B808" s="38"/>
      <c r="C808" s="38"/>
      <c r="D808" s="38"/>
      <c r="E808" s="38"/>
      <c r="F808" s="38"/>
      <c r="G808" s="36"/>
      <c r="H808" s="64"/>
      <c r="I808" s="76"/>
      <c r="J808" s="171"/>
      <c r="K808" s="177"/>
      <c r="L808" s="171"/>
    </row>
    <row r="809" spans="1:12" s="65" customFormat="1" ht="15">
      <c r="A809" s="38"/>
      <c r="B809" s="38"/>
      <c r="C809" s="38"/>
      <c r="D809" s="38"/>
      <c r="E809" s="38"/>
      <c r="F809" s="38"/>
      <c r="G809" s="36"/>
      <c r="H809" s="64"/>
      <c r="I809" s="76"/>
      <c r="J809" s="171"/>
      <c r="K809" s="177"/>
      <c r="L809" s="171"/>
    </row>
    <row r="810" spans="1:12" s="65" customFormat="1" ht="15">
      <c r="A810" s="38"/>
      <c r="B810" s="38"/>
      <c r="C810" s="38"/>
      <c r="D810" s="38"/>
      <c r="E810" s="38"/>
      <c r="F810" s="38"/>
      <c r="G810" s="36"/>
      <c r="H810" s="64"/>
      <c r="I810" s="76"/>
      <c r="J810" s="171"/>
      <c r="K810" s="177"/>
      <c r="L810" s="171"/>
    </row>
    <row r="811" spans="1:12" s="65" customFormat="1" ht="15">
      <c r="A811" s="38"/>
      <c r="B811" s="38"/>
      <c r="C811" s="38"/>
      <c r="D811" s="38"/>
      <c r="E811" s="38"/>
      <c r="F811" s="38"/>
      <c r="G811" s="36"/>
      <c r="H811" s="64"/>
      <c r="I811" s="76"/>
      <c r="J811" s="171"/>
      <c r="K811" s="177"/>
      <c r="L811" s="171"/>
    </row>
    <row r="812" spans="1:12" s="65" customFormat="1" ht="15">
      <c r="A812" s="38"/>
      <c r="B812" s="38"/>
      <c r="C812" s="38"/>
      <c r="D812" s="38"/>
      <c r="E812" s="38"/>
      <c r="F812" s="38"/>
      <c r="G812" s="36"/>
      <c r="H812" s="64"/>
      <c r="I812" s="76"/>
      <c r="J812" s="171"/>
      <c r="K812" s="177"/>
      <c r="L812" s="171"/>
    </row>
    <row r="813" spans="1:12" s="65" customFormat="1" ht="15">
      <c r="A813" s="38"/>
      <c r="B813" s="38"/>
      <c r="C813" s="38"/>
      <c r="D813" s="38"/>
      <c r="E813" s="38"/>
      <c r="F813" s="38"/>
      <c r="G813" s="36"/>
      <c r="H813" s="64"/>
      <c r="I813" s="76"/>
      <c r="J813" s="171"/>
      <c r="K813" s="177"/>
      <c r="L813" s="171"/>
    </row>
    <row r="814" spans="1:12" s="65" customFormat="1" ht="15">
      <c r="A814" s="38"/>
      <c r="B814" s="38"/>
      <c r="C814" s="38"/>
      <c r="D814" s="38"/>
      <c r="E814" s="38"/>
      <c r="F814" s="38"/>
      <c r="G814" s="36"/>
      <c r="H814" s="64"/>
      <c r="I814" s="76"/>
      <c r="J814" s="171"/>
      <c r="K814" s="177"/>
      <c r="L814" s="171"/>
    </row>
    <row r="815" spans="1:12" s="65" customFormat="1" ht="15">
      <c r="A815" s="38"/>
      <c r="B815" s="38"/>
      <c r="C815" s="38"/>
      <c r="D815" s="38"/>
      <c r="E815" s="38"/>
      <c r="F815" s="38"/>
      <c r="G815" s="36"/>
      <c r="H815" s="64"/>
      <c r="I815" s="76"/>
      <c r="J815" s="171"/>
      <c r="K815" s="177"/>
      <c r="L815" s="171"/>
    </row>
    <row r="816" spans="1:12" s="65" customFormat="1" ht="15">
      <c r="A816" s="38"/>
      <c r="B816" s="38"/>
      <c r="C816" s="38"/>
      <c r="D816" s="38"/>
      <c r="E816" s="38"/>
      <c r="F816" s="38"/>
      <c r="G816" s="36"/>
      <c r="H816" s="64"/>
      <c r="I816" s="76"/>
      <c r="J816" s="171"/>
      <c r="K816" s="177"/>
      <c r="L816" s="171"/>
    </row>
    <row r="817" spans="1:12" s="65" customFormat="1" ht="15">
      <c r="A817" s="38"/>
      <c r="B817" s="38"/>
      <c r="C817" s="38"/>
      <c r="D817" s="38"/>
      <c r="E817" s="38"/>
      <c r="F817" s="38"/>
      <c r="G817" s="36"/>
      <c r="H817" s="64"/>
      <c r="I817" s="76"/>
      <c r="J817" s="171"/>
      <c r="K817" s="177"/>
      <c r="L817" s="171"/>
    </row>
    <row r="818" spans="1:12" s="65" customFormat="1" ht="15">
      <c r="A818" s="38"/>
      <c r="B818" s="38"/>
      <c r="C818" s="38"/>
      <c r="D818" s="38"/>
      <c r="E818" s="38"/>
      <c r="F818" s="38"/>
      <c r="G818" s="36"/>
      <c r="H818" s="64"/>
      <c r="I818" s="76"/>
      <c r="J818" s="171"/>
      <c r="K818" s="177"/>
      <c r="L818" s="171"/>
    </row>
    <row r="819" spans="1:12" s="65" customFormat="1" ht="15">
      <c r="A819" s="38"/>
      <c r="B819" s="38"/>
      <c r="C819" s="38"/>
      <c r="D819" s="38"/>
      <c r="E819" s="38"/>
      <c r="F819" s="38"/>
      <c r="G819" s="36"/>
      <c r="H819" s="64"/>
      <c r="I819" s="76"/>
      <c r="J819" s="171"/>
      <c r="K819" s="177"/>
      <c r="L819" s="171"/>
    </row>
    <row r="820" spans="1:12" s="65" customFormat="1" ht="15">
      <c r="A820" s="38"/>
      <c r="B820" s="38"/>
      <c r="C820" s="38"/>
      <c r="D820" s="38"/>
      <c r="E820" s="38"/>
      <c r="F820" s="38"/>
      <c r="G820" s="36"/>
      <c r="H820" s="64"/>
      <c r="I820" s="76"/>
      <c r="J820" s="171"/>
      <c r="K820" s="177"/>
      <c r="L820" s="171"/>
    </row>
    <row r="821" spans="1:12" s="65" customFormat="1" ht="15">
      <c r="A821" s="38"/>
      <c r="B821" s="38"/>
      <c r="C821" s="38"/>
      <c r="D821" s="38"/>
      <c r="E821" s="38"/>
      <c r="F821" s="38"/>
      <c r="G821" s="36"/>
      <c r="H821" s="64"/>
      <c r="I821" s="76"/>
      <c r="J821" s="171"/>
      <c r="K821" s="177"/>
      <c r="L821" s="171"/>
    </row>
    <row r="822" spans="1:12" s="65" customFormat="1" ht="15">
      <c r="A822" s="38"/>
      <c r="B822" s="38"/>
      <c r="C822" s="38"/>
      <c r="D822" s="38"/>
      <c r="E822" s="38"/>
      <c r="F822" s="38"/>
      <c r="G822" s="36"/>
      <c r="H822" s="64"/>
      <c r="I822" s="76"/>
      <c r="J822" s="171"/>
      <c r="K822" s="177"/>
      <c r="L822" s="171"/>
    </row>
    <row r="823" spans="1:12" s="65" customFormat="1" ht="15">
      <c r="A823" s="38"/>
      <c r="B823" s="38"/>
      <c r="C823" s="38"/>
      <c r="D823" s="38"/>
      <c r="E823" s="38"/>
      <c r="F823" s="38"/>
      <c r="G823" s="36"/>
      <c r="H823" s="64"/>
      <c r="I823" s="76"/>
      <c r="J823" s="171"/>
      <c r="K823" s="177"/>
      <c r="L823" s="171"/>
    </row>
    <row r="824" spans="1:12" s="65" customFormat="1" ht="15">
      <c r="A824" s="38"/>
      <c r="B824" s="38"/>
      <c r="C824" s="38"/>
      <c r="D824" s="38"/>
      <c r="E824" s="38"/>
      <c r="F824" s="38"/>
      <c r="G824" s="36"/>
      <c r="H824" s="64"/>
      <c r="I824" s="76"/>
      <c r="J824" s="171"/>
      <c r="K824" s="177"/>
      <c r="L824" s="171"/>
    </row>
    <row r="825" spans="1:12" s="65" customFormat="1" ht="15">
      <c r="A825" s="38"/>
      <c r="B825" s="38"/>
      <c r="C825" s="38"/>
      <c r="D825" s="38"/>
      <c r="E825" s="38"/>
      <c r="F825" s="38"/>
      <c r="G825" s="36"/>
      <c r="H825" s="64"/>
      <c r="I825" s="76"/>
      <c r="J825" s="171"/>
      <c r="K825" s="177"/>
      <c r="L825" s="171"/>
    </row>
    <row r="826" spans="1:12" s="65" customFormat="1" ht="15">
      <c r="A826" s="38"/>
      <c r="B826" s="38"/>
      <c r="C826" s="38"/>
      <c r="D826" s="38"/>
      <c r="E826" s="38"/>
      <c r="F826" s="38"/>
      <c r="G826" s="36"/>
      <c r="H826" s="64"/>
      <c r="I826" s="76"/>
      <c r="J826" s="171"/>
      <c r="K826" s="177"/>
      <c r="L826" s="171"/>
    </row>
    <row r="827" spans="1:12" s="65" customFormat="1" ht="15">
      <c r="A827" s="38"/>
      <c r="B827" s="38"/>
      <c r="C827" s="38"/>
      <c r="D827" s="38"/>
      <c r="E827" s="38"/>
      <c r="F827" s="38"/>
      <c r="G827" s="36"/>
      <c r="H827" s="64"/>
      <c r="I827" s="76"/>
      <c r="J827" s="171"/>
      <c r="K827" s="177"/>
      <c r="L827" s="171"/>
    </row>
    <row r="828" spans="1:12" s="65" customFormat="1" ht="15">
      <c r="A828" s="38"/>
      <c r="B828" s="38"/>
      <c r="C828" s="38"/>
      <c r="D828" s="38"/>
      <c r="E828" s="38"/>
      <c r="F828" s="38"/>
      <c r="G828" s="36"/>
      <c r="H828" s="64"/>
      <c r="I828" s="76"/>
      <c r="J828" s="171"/>
      <c r="K828" s="177"/>
      <c r="L828" s="171"/>
    </row>
    <row r="829" spans="1:12" s="65" customFormat="1" ht="15">
      <c r="A829" s="38"/>
      <c r="B829" s="38"/>
      <c r="C829" s="38"/>
      <c r="D829" s="38"/>
      <c r="E829" s="38"/>
      <c r="F829" s="38"/>
      <c r="G829" s="36"/>
      <c r="H829" s="64"/>
      <c r="I829" s="76"/>
      <c r="J829" s="171"/>
      <c r="K829" s="177"/>
      <c r="L829" s="171"/>
    </row>
    <row r="830" spans="1:12" s="65" customFormat="1" ht="15">
      <c r="A830" s="38"/>
      <c r="B830" s="38"/>
      <c r="C830" s="38"/>
      <c r="D830" s="38"/>
      <c r="E830" s="38"/>
      <c r="F830" s="38"/>
      <c r="G830" s="36"/>
      <c r="H830" s="64"/>
      <c r="I830" s="76"/>
      <c r="J830" s="171"/>
      <c r="K830" s="177"/>
      <c r="L830" s="171"/>
    </row>
    <row r="831" spans="1:12" s="65" customFormat="1" ht="15">
      <c r="A831" s="38"/>
      <c r="B831" s="38"/>
      <c r="C831" s="38"/>
      <c r="D831" s="38"/>
      <c r="E831" s="38"/>
      <c r="F831" s="38"/>
      <c r="G831" s="36"/>
      <c r="H831" s="64"/>
      <c r="I831" s="76"/>
      <c r="J831" s="171"/>
      <c r="K831" s="177"/>
      <c r="L831" s="171"/>
    </row>
    <row r="832" spans="1:12" s="65" customFormat="1" ht="15">
      <c r="A832" s="38"/>
      <c r="B832" s="38"/>
      <c r="C832" s="38"/>
      <c r="D832" s="38"/>
      <c r="E832" s="38"/>
      <c r="F832" s="38"/>
      <c r="G832" s="36"/>
      <c r="H832" s="64"/>
      <c r="I832" s="76"/>
      <c r="J832" s="171"/>
      <c r="K832" s="177"/>
      <c r="L832" s="171"/>
    </row>
    <row r="833" spans="1:12" s="65" customFormat="1" ht="15">
      <c r="A833" s="38"/>
      <c r="B833" s="38"/>
      <c r="C833" s="38"/>
      <c r="D833" s="38"/>
      <c r="E833" s="38"/>
      <c r="F833" s="38"/>
      <c r="G833" s="36"/>
      <c r="H833" s="64"/>
      <c r="I833" s="76"/>
      <c r="J833" s="171"/>
      <c r="K833" s="177"/>
      <c r="L833" s="171"/>
    </row>
    <row r="834" spans="1:12" s="65" customFormat="1" ht="15">
      <c r="A834" s="38"/>
      <c r="B834" s="38"/>
      <c r="C834" s="38"/>
      <c r="D834" s="38"/>
      <c r="E834" s="38"/>
      <c r="F834" s="38"/>
      <c r="G834" s="36"/>
      <c r="H834" s="64"/>
      <c r="I834" s="76"/>
      <c r="J834" s="171"/>
      <c r="K834" s="177"/>
      <c r="L834" s="171"/>
    </row>
    <row r="835" spans="1:12" s="65" customFormat="1" ht="15">
      <c r="A835" s="38"/>
      <c r="B835" s="38"/>
      <c r="C835" s="38"/>
      <c r="D835" s="38"/>
      <c r="E835" s="38"/>
      <c r="F835" s="38"/>
      <c r="G835" s="36"/>
      <c r="H835" s="64"/>
      <c r="I835" s="76"/>
      <c r="J835" s="171"/>
      <c r="K835" s="177"/>
      <c r="L835" s="171"/>
    </row>
    <row r="836" spans="1:12" s="65" customFormat="1" ht="15">
      <c r="A836" s="38"/>
      <c r="B836" s="38"/>
      <c r="C836" s="38"/>
      <c r="D836" s="38"/>
      <c r="E836" s="38"/>
      <c r="F836" s="38"/>
      <c r="G836" s="36"/>
      <c r="H836" s="64"/>
      <c r="I836" s="76"/>
      <c r="J836" s="171"/>
      <c r="K836" s="177"/>
      <c r="L836" s="171"/>
    </row>
    <row r="837" spans="1:12" s="65" customFormat="1" ht="15">
      <c r="A837" s="38"/>
      <c r="B837" s="38"/>
      <c r="C837" s="38"/>
      <c r="D837" s="38"/>
      <c r="E837" s="38"/>
      <c r="F837" s="38"/>
      <c r="G837" s="36"/>
      <c r="H837" s="64"/>
      <c r="I837" s="76"/>
      <c r="J837" s="171"/>
      <c r="K837" s="177"/>
      <c r="L837" s="171"/>
    </row>
    <row r="838" spans="1:12" s="65" customFormat="1" ht="15">
      <c r="A838" s="38"/>
      <c r="B838" s="38"/>
      <c r="C838" s="38"/>
      <c r="D838" s="38"/>
      <c r="E838" s="38"/>
      <c r="F838" s="38"/>
      <c r="G838" s="36"/>
      <c r="H838" s="64"/>
      <c r="I838" s="76"/>
      <c r="J838" s="171"/>
      <c r="K838" s="177"/>
      <c r="L838" s="171"/>
    </row>
    <row r="839" spans="1:12" s="65" customFormat="1" ht="15">
      <c r="A839" s="38"/>
      <c r="B839" s="38"/>
      <c r="C839" s="38"/>
      <c r="D839" s="38"/>
      <c r="E839" s="38"/>
      <c r="F839" s="38"/>
      <c r="G839" s="36"/>
      <c r="H839" s="64"/>
      <c r="I839" s="76"/>
      <c r="J839" s="171"/>
      <c r="K839" s="177"/>
      <c r="L839" s="171"/>
    </row>
    <row r="840" spans="1:12" s="65" customFormat="1" ht="15">
      <c r="A840" s="38"/>
      <c r="B840" s="38"/>
      <c r="C840" s="38"/>
      <c r="D840" s="38"/>
      <c r="E840" s="38"/>
      <c r="F840" s="38"/>
      <c r="G840" s="36"/>
      <c r="H840" s="64"/>
      <c r="I840" s="76"/>
      <c r="J840" s="171"/>
      <c r="K840" s="177"/>
      <c r="L840" s="171"/>
    </row>
    <row r="841" spans="1:12" s="65" customFormat="1" ht="15">
      <c r="A841" s="38"/>
      <c r="B841" s="38"/>
      <c r="C841" s="38"/>
      <c r="D841" s="38"/>
      <c r="E841" s="38"/>
      <c r="F841" s="38"/>
      <c r="G841" s="36"/>
      <c r="H841" s="64"/>
      <c r="I841" s="76"/>
      <c r="J841" s="171"/>
      <c r="K841" s="177"/>
      <c r="L841" s="171"/>
    </row>
    <row r="842" spans="1:12" s="65" customFormat="1" ht="15">
      <c r="A842" s="38"/>
      <c r="B842" s="38"/>
      <c r="C842" s="38"/>
      <c r="D842" s="38"/>
      <c r="E842" s="38"/>
      <c r="F842" s="38"/>
      <c r="G842" s="36"/>
      <c r="H842" s="64"/>
      <c r="I842" s="76"/>
      <c r="J842" s="171"/>
      <c r="K842" s="177"/>
      <c r="L842" s="171"/>
    </row>
    <row r="843" spans="1:12" s="65" customFormat="1" ht="15">
      <c r="A843" s="38"/>
      <c r="B843" s="38"/>
      <c r="C843" s="38"/>
      <c r="D843" s="38"/>
      <c r="E843" s="38"/>
      <c r="F843" s="38"/>
      <c r="G843" s="36"/>
      <c r="H843" s="64"/>
      <c r="I843" s="76"/>
      <c r="J843" s="171"/>
      <c r="K843" s="177"/>
      <c r="L843" s="171"/>
    </row>
    <row r="844" spans="1:12" s="65" customFormat="1" ht="15">
      <c r="A844" s="38"/>
      <c r="B844" s="38"/>
      <c r="C844" s="38"/>
      <c r="D844" s="38"/>
      <c r="E844" s="38"/>
      <c r="F844" s="38"/>
      <c r="G844" s="36"/>
      <c r="H844" s="64"/>
      <c r="I844" s="76"/>
      <c r="J844" s="171"/>
      <c r="K844" s="177"/>
      <c r="L844" s="171"/>
    </row>
    <row r="845" spans="1:12" s="65" customFormat="1" ht="15">
      <c r="A845" s="38"/>
      <c r="B845" s="38"/>
      <c r="C845" s="38"/>
      <c r="D845" s="38"/>
      <c r="E845" s="38"/>
      <c r="F845" s="38"/>
      <c r="G845" s="36"/>
      <c r="H845" s="64"/>
      <c r="I845" s="76"/>
      <c r="J845" s="171"/>
      <c r="K845" s="177"/>
      <c r="L845" s="171"/>
    </row>
    <row r="846" spans="1:12" s="65" customFormat="1" ht="15">
      <c r="A846" s="38"/>
      <c r="B846" s="38"/>
      <c r="C846" s="38"/>
      <c r="D846" s="38"/>
      <c r="E846" s="38"/>
      <c r="F846" s="38"/>
      <c r="G846" s="36"/>
      <c r="H846" s="64"/>
      <c r="I846" s="76"/>
      <c r="J846" s="171"/>
      <c r="K846" s="177"/>
      <c r="L846" s="171"/>
    </row>
    <row r="847" spans="1:12" s="65" customFormat="1" ht="15">
      <c r="A847" s="38"/>
      <c r="B847" s="38"/>
      <c r="C847" s="38"/>
      <c r="D847" s="38"/>
      <c r="E847" s="38"/>
      <c r="F847" s="38"/>
      <c r="G847" s="36"/>
      <c r="H847" s="64"/>
      <c r="I847" s="76"/>
      <c r="J847" s="171"/>
      <c r="K847" s="177"/>
      <c r="L847" s="171"/>
    </row>
    <row r="848" spans="1:12" s="65" customFormat="1" ht="15">
      <c r="A848" s="38"/>
      <c r="B848" s="38"/>
      <c r="C848" s="38"/>
      <c r="D848" s="38"/>
      <c r="E848" s="38"/>
      <c r="F848" s="38"/>
      <c r="G848" s="36"/>
      <c r="H848" s="64"/>
      <c r="I848" s="76"/>
      <c r="J848" s="171"/>
      <c r="K848" s="177"/>
      <c r="L848" s="171"/>
    </row>
    <row r="849" spans="1:12" s="65" customFormat="1" ht="15">
      <c r="A849" s="38"/>
      <c r="B849" s="38"/>
      <c r="C849" s="38"/>
      <c r="D849" s="38"/>
      <c r="E849" s="38"/>
      <c r="F849" s="38"/>
      <c r="G849" s="36"/>
      <c r="H849" s="64"/>
      <c r="I849" s="76"/>
      <c r="J849" s="171"/>
      <c r="K849" s="177"/>
      <c r="L849" s="171"/>
    </row>
    <row r="850" spans="1:12" s="65" customFormat="1" ht="15">
      <c r="A850" s="38"/>
      <c r="B850" s="38"/>
      <c r="C850" s="38"/>
      <c r="D850" s="38"/>
      <c r="E850" s="38"/>
      <c r="F850" s="38"/>
      <c r="G850" s="36"/>
      <c r="H850" s="64"/>
      <c r="I850" s="76"/>
      <c r="J850" s="171"/>
      <c r="K850" s="177"/>
      <c r="L850" s="171"/>
    </row>
    <row r="851" spans="1:12" s="65" customFormat="1" ht="15">
      <c r="A851" s="38"/>
      <c r="B851" s="38"/>
      <c r="C851" s="38"/>
      <c r="D851" s="38"/>
      <c r="E851" s="38"/>
      <c r="F851" s="38"/>
      <c r="G851" s="36"/>
      <c r="H851" s="64"/>
      <c r="I851" s="76"/>
      <c r="J851" s="171"/>
      <c r="K851" s="177"/>
      <c r="L851" s="171"/>
    </row>
    <row r="852" spans="1:12" s="65" customFormat="1" ht="15">
      <c r="A852" s="38"/>
      <c r="B852" s="38"/>
      <c r="C852" s="38"/>
      <c r="D852" s="38"/>
      <c r="E852" s="38"/>
      <c r="F852" s="38"/>
      <c r="G852" s="36"/>
      <c r="H852" s="64"/>
      <c r="I852" s="76"/>
      <c r="J852" s="171"/>
      <c r="K852" s="177"/>
      <c r="L852" s="171"/>
    </row>
    <row r="853" spans="1:12" s="65" customFormat="1" ht="15">
      <c r="A853" s="38"/>
      <c r="B853" s="38"/>
      <c r="C853" s="38"/>
      <c r="D853" s="38"/>
      <c r="E853" s="38"/>
      <c r="F853" s="38"/>
      <c r="G853" s="36"/>
      <c r="H853" s="64"/>
      <c r="I853" s="76"/>
      <c r="J853" s="171"/>
      <c r="K853" s="177"/>
      <c r="L853" s="171"/>
    </row>
    <row r="854" spans="1:12" s="65" customFormat="1" ht="15">
      <c r="A854" s="38"/>
      <c r="B854" s="38"/>
      <c r="C854" s="38"/>
      <c r="D854" s="38"/>
      <c r="E854" s="38"/>
      <c r="F854" s="38"/>
      <c r="G854" s="36"/>
      <c r="H854" s="64"/>
      <c r="I854" s="76"/>
      <c r="J854" s="171"/>
      <c r="K854" s="177"/>
      <c r="L854" s="171"/>
    </row>
    <row r="855" spans="1:12" s="65" customFormat="1" ht="15">
      <c r="A855" s="38"/>
      <c r="B855" s="38"/>
      <c r="C855" s="38"/>
      <c r="D855" s="38"/>
      <c r="E855" s="38"/>
      <c r="F855" s="38"/>
      <c r="G855" s="36"/>
      <c r="H855" s="64"/>
      <c r="I855" s="76"/>
      <c r="J855" s="171"/>
      <c r="K855" s="177"/>
      <c r="L855" s="171"/>
    </row>
    <row r="856" spans="1:12" s="65" customFormat="1" ht="15">
      <c r="A856" s="38"/>
      <c r="B856" s="38"/>
      <c r="C856" s="38"/>
      <c r="D856" s="38"/>
      <c r="E856" s="38"/>
      <c r="F856" s="38"/>
      <c r="G856" s="36"/>
      <c r="H856" s="64"/>
      <c r="I856" s="76"/>
      <c r="J856" s="171"/>
      <c r="K856" s="177"/>
      <c r="L856" s="171"/>
    </row>
    <row r="857" spans="1:12" s="65" customFormat="1" ht="15">
      <c r="A857" s="38"/>
      <c r="B857" s="38"/>
      <c r="C857" s="38"/>
      <c r="D857" s="38"/>
      <c r="E857" s="38"/>
      <c r="F857" s="38"/>
      <c r="G857" s="36"/>
      <c r="H857" s="64"/>
      <c r="I857" s="76"/>
      <c r="J857" s="171"/>
      <c r="K857" s="177"/>
      <c r="L857" s="171"/>
    </row>
    <row r="858" spans="1:12" s="65" customFormat="1" ht="15">
      <c r="A858" s="38"/>
      <c r="B858" s="38"/>
      <c r="C858" s="38"/>
      <c r="D858" s="38"/>
      <c r="E858" s="38"/>
      <c r="F858" s="38"/>
      <c r="G858" s="36"/>
      <c r="H858" s="64"/>
      <c r="I858" s="76"/>
      <c r="J858" s="171"/>
      <c r="K858" s="177"/>
      <c r="L858" s="171"/>
    </row>
    <row r="859" spans="1:12" s="65" customFormat="1" ht="15">
      <c r="A859" s="38"/>
      <c r="B859" s="38"/>
      <c r="C859" s="38"/>
      <c r="D859" s="38"/>
      <c r="E859" s="38"/>
      <c r="F859" s="38"/>
      <c r="G859" s="36"/>
      <c r="H859" s="64"/>
      <c r="I859" s="76"/>
      <c r="J859" s="171"/>
      <c r="K859" s="177"/>
      <c r="L859" s="171"/>
    </row>
    <row r="860" spans="1:12" s="65" customFormat="1" ht="15">
      <c r="A860" s="38"/>
      <c r="B860" s="38"/>
      <c r="C860" s="38"/>
      <c r="D860" s="38"/>
      <c r="E860" s="38"/>
      <c r="F860" s="38"/>
      <c r="G860" s="36"/>
      <c r="H860" s="64"/>
      <c r="I860" s="76"/>
      <c r="J860" s="171"/>
      <c r="K860" s="177"/>
      <c r="L860" s="171"/>
    </row>
    <row r="861" spans="1:12" s="65" customFormat="1" ht="15">
      <c r="A861" s="38"/>
      <c r="B861" s="38"/>
      <c r="C861" s="38"/>
      <c r="D861" s="38"/>
      <c r="E861" s="38"/>
      <c r="F861" s="38"/>
      <c r="G861" s="36"/>
      <c r="H861" s="64"/>
      <c r="I861" s="76"/>
      <c r="J861" s="171"/>
      <c r="K861" s="177"/>
      <c r="L861" s="171"/>
    </row>
    <row r="862" spans="1:12" s="65" customFormat="1" ht="15">
      <c r="A862" s="38"/>
      <c r="B862" s="38"/>
      <c r="C862" s="38"/>
      <c r="D862" s="38"/>
      <c r="E862" s="38"/>
      <c r="F862" s="38"/>
      <c r="G862" s="36"/>
      <c r="H862" s="64"/>
      <c r="I862" s="76"/>
      <c r="J862" s="171"/>
      <c r="K862" s="177"/>
      <c r="L862" s="171"/>
    </row>
    <row r="863" spans="1:12" s="65" customFormat="1" ht="15">
      <c r="A863" s="38"/>
      <c r="B863" s="38"/>
      <c r="C863" s="38"/>
      <c r="D863" s="38"/>
      <c r="E863" s="38"/>
      <c r="F863" s="38"/>
      <c r="G863" s="36"/>
      <c r="H863" s="64"/>
      <c r="I863" s="76"/>
      <c r="J863" s="171"/>
      <c r="K863" s="177"/>
      <c r="L863" s="171"/>
    </row>
    <row r="864" spans="1:12" s="65" customFormat="1" ht="15">
      <c r="A864" s="38"/>
      <c r="B864" s="38"/>
      <c r="C864" s="38"/>
      <c r="D864" s="38"/>
      <c r="E864" s="38"/>
      <c r="F864" s="38"/>
      <c r="G864" s="36"/>
      <c r="H864" s="64"/>
      <c r="I864" s="76"/>
      <c r="J864" s="171"/>
      <c r="K864" s="177"/>
      <c r="L864" s="171"/>
    </row>
    <row r="865" spans="1:12" s="65" customFormat="1" ht="15">
      <c r="A865" s="38"/>
      <c r="B865" s="38"/>
      <c r="C865" s="38"/>
      <c r="D865" s="38"/>
      <c r="E865" s="38"/>
      <c r="F865" s="38"/>
      <c r="G865" s="36"/>
      <c r="H865" s="64"/>
      <c r="I865" s="76"/>
      <c r="J865" s="171"/>
      <c r="K865" s="177"/>
      <c r="L865" s="171"/>
    </row>
    <row r="866" spans="1:12" s="65" customFormat="1" ht="15">
      <c r="A866" s="38"/>
      <c r="B866" s="38"/>
      <c r="C866" s="38"/>
      <c r="D866" s="38"/>
      <c r="E866" s="38"/>
      <c r="F866" s="38"/>
      <c r="G866" s="36"/>
      <c r="H866" s="64"/>
      <c r="I866" s="76"/>
      <c r="J866" s="171"/>
      <c r="K866" s="177"/>
      <c r="L866" s="171"/>
    </row>
    <row r="867" spans="1:12" s="65" customFormat="1" ht="15">
      <c r="A867" s="38"/>
      <c r="B867" s="38"/>
      <c r="C867" s="38"/>
      <c r="D867" s="38"/>
      <c r="E867" s="38"/>
      <c r="F867" s="38"/>
      <c r="G867" s="36"/>
      <c r="H867" s="64"/>
      <c r="I867" s="76"/>
      <c r="J867" s="171"/>
      <c r="K867" s="177"/>
      <c r="L867" s="171"/>
    </row>
    <row r="868" spans="1:12" s="65" customFormat="1" ht="15">
      <c r="A868" s="38"/>
      <c r="B868" s="38"/>
      <c r="C868" s="38"/>
      <c r="D868" s="38"/>
      <c r="E868" s="38"/>
      <c r="F868" s="38"/>
      <c r="G868" s="36"/>
      <c r="H868" s="64"/>
      <c r="I868" s="76"/>
      <c r="J868" s="171"/>
      <c r="K868" s="177"/>
      <c r="L868" s="171"/>
    </row>
    <row r="869" spans="1:12" s="65" customFormat="1" ht="15">
      <c r="A869" s="38"/>
      <c r="B869" s="38"/>
      <c r="C869" s="38"/>
      <c r="D869" s="38"/>
      <c r="E869" s="38"/>
      <c r="F869" s="38"/>
      <c r="G869" s="36"/>
      <c r="H869" s="64"/>
      <c r="I869" s="76"/>
      <c r="J869" s="171"/>
      <c r="K869" s="177"/>
      <c r="L869" s="171"/>
    </row>
    <row r="870" spans="1:12" s="65" customFormat="1" ht="15">
      <c r="A870" s="38"/>
      <c r="B870" s="38"/>
      <c r="C870" s="38"/>
      <c r="D870" s="38"/>
      <c r="E870" s="38"/>
      <c r="F870" s="38"/>
      <c r="G870" s="36"/>
      <c r="H870" s="64"/>
      <c r="I870" s="76"/>
      <c r="J870" s="171"/>
      <c r="K870" s="177"/>
      <c r="L870" s="171"/>
    </row>
    <row r="871" spans="1:12" s="65" customFormat="1" ht="15">
      <c r="A871" s="38"/>
      <c r="B871" s="38"/>
      <c r="C871" s="38"/>
      <c r="D871" s="38"/>
      <c r="E871" s="38"/>
      <c r="F871" s="38"/>
      <c r="G871" s="36"/>
      <c r="H871" s="64"/>
      <c r="I871" s="76"/>
      <c r="J871" s="171"/>
      <c r="K871" s="177"/>
      <c r="L871" s="171"/>
    </row>
    <row r="872" spans="1:12" s="65" customFormat="1" ht="15">
      <c r="A872" s="38"/>
      <c r="B872" s="38"/>
      <c r="C872" s="38"/>
      <c r="D872" s="38"/>
      <c r="E872" s="38"/>
      <c r="F872" s="38"/>
      <c r="G872" s="36"/>
      <c r="H872" s="64"/>
      <c r="I872" s="76"/>
      <c r="J872" s="171"/>
      <c r="K872" s="177"/>
      <c r="L872" s="171"/>
    </row>
    <row r="873" spans="1:12" s="65" customFormat="1" ht="15">
      <c r="A873" s="38"/>
      <c r="B873" s="38"/>
      <c r="C873" s="38"/>
      <c r="D873" s="38"/>
      <c r="E873" s="38"/>
      <c r="F873" s="38"/>
      <c r="G873" s="36"/>
      <c r="H873" s="64"/>
      <c r="I873" s="76"/>
      <c r="J873" s="171"/>
      <c r="K873" s="177"/>
      <c r="L873" s="171"/>
    </row>
    <row r="874" spans="1:12" s="65" customFormat="1" ht="15">
      <c r="A874" s="38"/>
      <c r="B874" s="38"/>
      <c r="C874" s="38"/>
      <c r="D874" s="38"/>
      <c r="E874" s="38"/>
      <c r="F874" s="38"/>
      <c r="G874" s="36"/>
      <c r="H874" s="64"/>
      <c r="I874" s="76"/>
      <c r="J874" s="171"/>
      <c r="K874" s="177"/>
      <c r="L874" s="171"/>
    </row>
    <row r="875" spans="1:12" s="65" customFormat="1" ht="15">
      <c r="A875" s="38"/>
      <c r="B875" s="38"/>
      <c r="C875" s="38"/>
      <c r="D875" s="38"/>
      <c r="E875" s="38"/>
      <c r="F875" s="38"/>
      <c r="G875" s="36"/>
      <c r="H875" s="64"/>
      <c r="I875" s="76"/>
      <c r="J875" s="171"/>
      <c r="K875" s="177"/>
      <c r="L875" s="171"/>
    </row>
    <row r="876" spans="1:12" s="65" customFormat="1" ht="15">
      <c r="A876" s="38"/>
      <c r="B876" s="38"/>
      <c r="C876" s="38"/>
      <c r="D876" s="38"/>
      <c r="E876" s="38"/>
      <c r="F876" s="38"/>
      <c r="G876" s="36"/>
      <c r="H876" s="64"/>
      <c r="I876" s="76"/>
      <c r="J876" s="171"/>
      <c r="K876" s="177"/>
      <c r="L876" s="171"/>
    </row>
    <row r="877" spans="1:12" s="65" customFormat="1" ht="15">
      <c r="A877" s="38"/>
      <c r="B877" s="38"/>
      <c r="C877" s="38"/>
      <c r="D877" s="38"/>
      <c r="E877" s="38"/>
      <c r="F877" s="38"/>
      <c r="G877" s="36"/>
      <c r="H877" s="64"/>
      <c r="I877" s="76"/>
      <c r="J877" s="171"/>
      <c r="K877" s="177"/>
      <c r="L877" s="171"/>
    </row>
    <row r="878" spans="1:12" s="65" customFormat="1" ht="15">
      <c r="A878" s="38"/>
      <c r="B878" s="38"/>
      <c r="C878" s="38"/>
      <c r="D878" s="38"/>
      <c r="E878" s="38"/>
      <c r="F878" s="38"/>
      <c r="G878" s="36"/>
      <c r="H878" s="64"/>
      <c r="I878" s="76"/>
      <c r="J878" s="171"/>
      <c r="K878" s="177"/>
      <c r="L878" s="171"/>
    </row>
    <row r="879" spans="1:12" s="65" customFormat="1" ht="15">
      <c r="A879" s="38"/>
      <c r="B879" s="38"/>
      <c r="C879" s="38"/>
      <c r="D879" s="38"/>
      <c r="E879" s="38"/>
      <c r="F879" s="38"/>
      <c r="G879" s="36"/>
      <c r="H879" s="64"/>
      <c r="I879" s="76"/>
      <c r="J879" s="171"/>
      <c r="K879" s="177"/>
      <c r="L879" s="171"/>
    </row>
    <row r="880" spans="1:12" s="65" customFormat="1" ht="15">
      <c r="A880" s="38"/>
      <c r="B880" s="38"/>
      <c r="C880" s="38"/>
      <c r="D880" s="38"/>
      <c r="E880" s="38"/>
      <c r="F880" s="38"/>
      <c r="G880" s="36"/>
      <c r="H880" s="64"/>
      <c r="I880" s="76"/>
      <c r="J880" s="171"/>
      <c r="K880" s="177"/>
      <c r="L880" s="171"/>
    </row>
    <row r="881" spans="1:12" s="65" customFormat="1" ht="15">
      <c r="A881" s="38"/>
      <c r="B881" s="38"/>
      <c r="C881" s="38"/>
      <c r="D881" s="38"/>
      <c r="E881" s="38"/>
      <c r="F881" s="38"/>
      <c r="G881" s="36"/>
      <c r="H881" s="64"/>
      <c r="I881" s="76"/>
      <c r="J881" s="171"/>
      <c r="K881" s="177"/>
      <c r="L881" s="171"/>
    </row>
    <row r="882" spans="1:12" s="65" customFormat="1" ht="15">
      <c r="A882" s="38"/>
      <c r="B882" s="38"/>
      <c r="C882" s="38"/>
      <c r="D882" s="38"/>
      <c r="E882" s="38"/>
      <c r="F882" s="38"/>
      <c r="G882" s="36"/>
      <c r="H882" s="64"/>
      <c r="I882" s="76"/>
      <c r="J882" s="171"/>
      <c r="K882" s="177"/>
      <c r="L882" s="171"/>
    </row>
    <row r="883" spans="1:12" s="65" customFormat="1" ht="15">
      <c r="A883" s="38"/>
      <c r="B883" s="38"/>
      <c r="C883" s="38"/>
      <c r="D883" s="38"/>
      <c r="E883" s="38"/>
      <c r="F883" s="38"/>
      <c r="G883" s="36"/>
      <c r="H883" s="64"/>
      <c r="I883" s="76"/>
      <c r="J883" s="171"/>
      <c r="K883" s="177"/>
      <c r="L883" s="171"/>
    </row>
    <row r="884" spans="1:12" s="65" customFormat="1" ht="15">
      <c r="A884" s="38"/>
      <c r="B884" s="38"/>
      <c r="C884" s="38"/>
      <c r="D884" s="38"/>
      <c r="E884" s="38"/>
      <c r="F884" s="38"/>
      <c r="G884" s="36"/>
      <c r="H884" s="64"/>
      <c r="I884" s="76"/>
      <c r="J884" s="171"/>
      <c r="K884" s="177"/>
      <c r="L884" s="171"/>
    </row>
    <row r="885" spans="1:12" s="65" customFormat="1" ht="15">
      <c r="A885" s="38"/>
      <c r="B885" s="38"/>
      <c r="C885" s="38"/>
      <c r="D885" s="38"/>
      <c r="E885" s="38"/>
      <c r="F885" s="38"/>
      <c r="G885" s="36"/>
      <c r="H885" s="64"/>
      <c r="I885" s="76"/>
      <c r="J885" s="171"/>
      <c r="K885" s="177"/>
      <c r="L885" s="171"/>
    </row>
    <row r="886" spans="1:12" s="65" customFormat="1" ht="15">
      <c r="A886" s="38"/>
      <c r="B886" s="38"/>
      <c r="C886" s="38"/>
      <c r="D886" s="38"/>
      <c r="E886" s="38"/>
      <c r="F886" s="38"/>
      <c r="G886" s="36"/>
      <c r="H886" s="64"/>
      <c r="I886" s="76"/>
      <c r="J886" s="171"/>
      <c r="K886" s="177"/>
      <c r="L886" s="171"/>
    </row>
    <row r="887" spans="1:12" s="65" customFormat="1" ht="15">
      <c r="A887" s="38"/>
      <c r="B887" s="38"/>
      <c r="C887" s="38"/>
      <c r="D887" s="38"/>
      <c r="E887" s="38"/>
      <c r="F887" s="38"/>
      <c r="G887" s="36"/>
      <c r="H887" s="64"/>
      <c r="I887" s="76"/>
      <c r="J887" s="171"/>
      <c r="K887" s="177"/>
      <c r="L887" s="171"/>
    </row>
    <row r="888" spans="1:12" s="65" customFormat="1" ht="15">
      <c r="A888" s="38"/>
      <c r="B888" s="38"/>
      <c r="C888" s="38"/>
      <c r="D888" s="38"/>
      <c r="E888" s="38"/>
      <c r="F888" s="38"/>
      <c r="G888" s="36"/>
      <c r="H888" s="64"/>
      <c r="I888" s="76"/>
      <c r="J888" s="171"/>
      <c r="K888" s="177"/>
      <c r="L888" s="171"/>
    </row>
    <row r="889" spans="1:12" s="65" customFormat="1" ht="15">
      <c r="A889" s="38"/>
      <c r="B889" s="38"/>
      <c r="C889" s="38"/>
      <c r="D889" s="38"/>
      <c r="E889" s="38"/>
      <c r="F889" s="38"/>
      <c r="G889" s="36"/>
      <c r="H889" s="64"/>
      <c r="I889" s="76"/>
      <c r="J889" s="171"/>
      <c r="K889" s="177"/>
      <c r="L889" s="171"/>
    </row>
    <row r="890" spans="1:12" s="65" customFormat="1" ht="15">
      <c r="A890" s="38"/>
      <c r="B890" s="38"/>
      <c r="C890" s="38"/>
      <c r="D890" s="38"/>
      <c r="E890" s="38"/>
      <c r="F890" s="38"/>
      <c r="G890" s="36"/>
      <c r="H890" s="64"/>
      <c r="I890" s="76"/>
      <c r="J890" s="171"/>
      <c r="K890" s="177"/>
      <c r="L890" s="171"/>
    </row>
    <row r="891" spans="1:12" s="65" customFormat="1" ht="15">
      <c r="A891" s="38"/>
      <c r="B891" s="38"/>
      <c r="C891" s="38"/>
      <c r="D891" s="38"/>
      <c r="E891" s="38"/>
      <c r="F891" s="38"/>
      <c r="G891" s="36"/>
      <c r="H891" s="64"/>
      <c r="I891" s="76"/>
      <c r="J891" s="171"/>
      <c r="K891" s="177"/>
      <c r="L891" s="171"/>
    </row>
    <row r="892" spans="1:12" s="65" customFormat="1" ht="15">
      <c r="A892" s="38"/>
      <c r="B892" s="38"/>
      <c r="C892" s="38"/>
      <c r="D892" s="38"/>
      <c r="E892" s="38"/>
      <c r="F892" s="38"/>
      <c r="G892" s="36"/>
      <c r="H892" s="64"/>
      <c r="I892" s="76"/>
      <c r="J892" s="171"/>
      <c r="K892" s="177"/>
      <c r="L892" s="171"/>
    </row>
    <row r="893" spans="1:12" s="65" customFormat="1" ht="15">
      <c r="A893" s="38"/>
      <c r="B893" s="38"/>
      <c r="C893" s="38"/>
      <c r="D893" s="38"/>
      <c r="E893" s="38"/>
      <c r="F893" s="38"/>
      <c r="G893" s="36"/>
      <c r="H893" s="64"/>
      <c r="I893" s="76"/>
      <c r="J893" s="171"/>
      <c r="K893" s="177"/>
      <c r="L893" s="171"/>
    </row>
    <row r="894" spans="1:12" s="65" customFormat="1" ht="15">
      <c r="A894" s="38"/>
      <c r="B894" s="38"/>
      <c r="C894" s="38"/>
      <c r="D894" s="38"/>
      <c r="E894" s="38"/>
      <c r="F894" s="38"/>
      <c r="G894" s="36"/>
      <c r="H894" s="64"/>
      <c r="I894" s="76"/>
      <c r="J894" s="171"/>
      <c r="K894" s="177"/>
      <c r="L894" s="171"/>
    </row>
    <row r="895" spans="1:12" s="65" customFormat="1" ht="15">
      <c r="A895" s="38"/>
      <c r="B895" s="38"/>
      <c r="C895" s="38"/>
      <c r="D895" s="38"/>
      <c r="E895" s="38"/>
      <c r="F895" s="38"/>
      <c r="G895" s="36"/>
      <c r="H895" s="64"/>
      <c r="I895" s="76"/>
      <c r="J895" s="171"/>
      <c r="K895" s="177"/>
      <c r="L895" s="171"/>
    </row>
    <row r="896" spans="1:12" s="65" customFormat="1" ht="15">
      <c r="A896" s="38"/>
      <c r="B896" s="38"/>
      <c r="C896" s="38"/>
      <c r="D896" s="38"/>
      <c r="E896" s="38"/>
      <c r="F896" s="38"/>
      <c r="G896" s="36"/>
      <c r="H896" s="64"/>
      <c r="I896" s="76"/>
      <c r="J896" s="171"/>
      <c r="K896" s="177"/>
      <c r="L896" s="171"/>
    </row>
    <row r="897" spans="1:12" s="65" customFormat="1" ht="15">
      <c r="A897" s="38"/>
      <c r="B897" s="38"/>
      <c r="C897" s="38"/>
      <c r="D897" s="38"/>
      <c r="E897" s="38"/>
      <c r="F897" s="38"/>
      <c r="G897" s="36"/>
      <c r="H897" s="64"/>
      <c r="I897" s="76"/>
      <c r="J897" s="171"/>
      <c r="K897" s="177"/>
      <c r="L897" s="171"/>
    </row>
    <row r="898" spans="1:12" s="65" customFormat="1" ht="15">
      <c r="A898" s="38"/>
      <c r="B898" s="38"/>
      <c r="C898" s="38"/>
      <c r="D898" s="38"/>
      <c r="E898" s="38"/>
      <c r="F898" s="38"/>
      <c r="G898" s="36"/>
      <c r="H898" s="64"/>
      <c r="I898" s="76"/>
      <c r="J898" s="171"/>
      <c r="K898" s="177"/>
      <c r="L898" s="171"/>
    </row>
    <row r="899" spans="1:12" s="65" customFormat="1" ht="15">
      <c r="A899" s="38"/>
      <c r="B899" s="38"/>
      <c r="C899" s="38"/>
      <c r="D899" s="38"/>
      <c r="E899" s="38"/>
      <c r="F899" s="38"/>
      <c r="G899" s="36"/>
      <c r="H899" s="64"/>
      <c r="I899" s="76"/>
      <c r="J899" s="171"/>
      <c r="K899" s="177"/>
      <c r="L899" s="171"/>
    </row>
    <row r="900" spans="1:12" s="65" customFormat="1" ht="15">
      <c r="A900" s="38"/>
      <c r="B900" s="38"/>
      <c r="C900" s="38"/>
      <c r="D900" s="38"/>
      <c r="E900" s="38"/>
      <c r="F900" s="38"/>
      <c r="G900" s="36"/>
      <c r="H900" s="64"/>
      <c r="I900" s="76"/>
      <c r="J900" s="171"/>
      <c r="K900" s="177"/>
      <c r="L900" s="171"/>
    </row>
    <row r="901" spans="1:12" s="65" customFormat="1" ht="15">
      <c r="A901" s="38"/>
      <c r="B901" s="38"/>
      <c r="C901" s="38"/>
      <c r="D901" s="38"/>
      <c r="E901" s="38"/>
      <c r="F901" s="38"/>
      <c r="G901" s="36"/>
      <c r="H901" s="64"/>
      <c r="I901" s="76"/>
      <c r="J901" s="171"/>
      <c r="K901" s="177"/>
      <c r="L901" s="171"/>
    </row>
    <row r="902" spans="1:12" s="65" customFormat="1" ht="15">
      <c r="A902" s="38"/>
      <c r="B902" s="38"/>
      <c r="C902" s="38"/>
      <c r="D902" s="38"/>
      <c r="E902" s="38"/>
      <c r="F902" s="38"/>
      <c r="G902" s="36"/>
      <c r="H902" s="64"/>
      <c r="I902" s="76"/>
      <c r="J902" s="171"/>
      <c r="K902" s="177"/>
      <c r="L902" s="171"/>
    </row>
    <row r="903" spans="1:12" s="65" customFormat="1" ht="15">
      <c r="A903" s="38"/>
      <c r="B903" s="38"/>
      <c r="C903" s="38"/>
      <c r="D903" s="38"/>
      <c r="E903" s="38"/>
      <c r="F903" s="38"/>
      <c r="G903" s="36"/>
      <c r="H903" s="64"/>
      <c r="I903" s="76"/>
      <c r="J903" s="171"/>
      <c r="K903" s="177"/>
      <c r="L903" s="171"/>
    </row>
    <row r="904" spans="1:12" s="65" customFormat="1" ht="15">
      <c r="A904" s="38"/>
      <c r="B904" s="38"/>
      <c r="C904" s="38"/>
      <c r="D904" s="38"/>
      <c r="E904" s="38"/>
      <c r="F904" s="38"/>
      <c r="G904" s="36"/>
      <c r="H904" s="64"/>
      <c r="I904" s="76"/>
      <c r="J904" s="171"/>
      <c r="K904" s="177"/>
      <c r="L904" s="171"/>
    </row>
    <row r="905" spans="1:12" s="65" customFormat="1" ht="15">
      <c r="A905" s="38"/>
      <c r="B905" s="38"/>
      <c r="C905" s="38"/>
      <c r="D905" s="38"/>
      <c r="E905" s="38"/>
      <c r="F905" s="38"/>
      <c r="G905" s="36"/>
      <c r="H905" s="64"/>
      <c r="I905" s="76"/>
      <c r="J905" s="171"/>
      <c r="K905" s="177"/>
      <c r="L905" s="171"/>
    </row>
    <row r="906" spans="1:12" s="65" customFormat="1" ht="15">
      <c r="A906" s="38"/>
      <c r="B906" s="38"/>
      <c r="C906" s="38"/>
      <c r="D906" s="38"/>
      <c r="E906" s="38"/>
      <c r="F906" s="38"/>
      <c r="G906" s="36"/>
      <c r="H906" s="64"/>
      <c r="I906" s="76"/>
      <c r="J906" s="171"/>
      <c r="K906" s="177"/>
      <c r="L906" s="171"/>
    </row>
    <row r="907" spans="1:12" s="65" customFormat="1" ht="15">
      <c r="A907" s="38"/>
      <c r="B907" s="38"/>
      <c r="C907" s="38"/>
      <c r="D907" s="38"/>
      <c r="E907" s="38"/>
      <c r="F907" s="38"/>
      <c r="G907" s="36"/>
      <c r="H907" s="64"/>
      <c r="I907" s="76"/>
      <c r="J907" s="171"/>
      <c r="K907" s="177"/>
      <c r="L907" s="171"/>
    </row>
    <row r="908" spans="1:12" s="65" customFormat="1" ht="15">
      <c r="A908" s="38"/>
      <c r="B908" s="38"/>
      <c r="C908" s="38"/>
      <c r="D908" s="38"/>
      <c r="E908" s="38"/>
      <c r="F908" s="38"/>
      <c r="G908" s="36"/>
      <c r="H908" s="64"/>
      <c r="I908" s="76"/>
      <c r="J908" s="171"/>
      <c r="K908" s="177"/>
      <c r="L908" s="171"/>
    </row>
    <row r="909" spans="1:12" s="65" customFormat="1" ht="15">
      <c r="A909" s="38"/>
      <c r="B909" s="38"/>
      <c r="C909" s="38"/>
      <c r="D909" s="38"/>
      <c r="E909" s="38"/>
      <c r="F909" s="38"/>
      <c r="G909" s="36"/>
      <c r="H909" s="64"/>
      <c r="I909" s="76"/>
      <c r="J909" s="171"/>
      <c r="K909" s="177"/>
      <c r="L909" s="171"/>
    </row>
    <row r="910" spans="1:12" s="65" customFormat="1" ht="15">
      <c r="A910" s="38"/>
      <c r="B910" s="38"/>
      <c r="C910" s="38"/>
      <c r="D910" s="38"/>
      <c r="E910" s="38"/>
      <c r="F910" s="38"/>
      <c r="G910" s="36"/>
      <c r="H910" s="64"/>
      <c r="I910" s="76"/>
      <c r="J910" s="171"/>
      <c r="K910" s="177"/>
      <c r="L910" s="171"/>
    </row>
    <row r="911" spans="1:12" s="65" customFormat="1" ht="15">
      <c r="A911" s="38"/>
      <c r="B911" s="38"/>
      <c r="C911" s="38"/>
      <c r="D911" s="38"/>
      <c r="E911" s="38"/>
      <c r="F911" s="38"/>
      <c r="G911" s="36"/>
      <c r="H911" s="64"/>
      <c r="I911" s="76"/>
      <c r="J911" s="171"/>
      <c r="K911" s="177"/>
      <c r="L911" s="171"/>
    </row>
    <row r="912" spans="1:12" s="65" customFormat="1" ht="15">
      <c r="A912" s="38"/>
      <c r="B912" s="38"/>
      <c r="C912" s="38"/>
      <c r="D912" s="38"/>
      <c r="E912" s="38"/>
      <c r="F912" s="38"/>
      <c r="G912" s="36"/>
      <c r="H912" s="64"/>
      <c r="I912" s="76"/>
      <c r="J912" s="171"/>
      <c r="K912" s="177"/>
      <c r="L912" s="171"/>
    </row>
    <row r="913" spans="1:12" s="65" customFormat="1" ht="15">
      <c r="A913" s="38"/>
      <c r="B913" s="38"/>
      <c r="C913" s="38"/>
      <c r="D913" s="38"/>
      <c r="E913" s="38"/>
      <c r="F913" s="38"/>
      <c r="G913" s="36"/>
      <c r="H913" s="64"/>
      <c r="I913" s="76"/>
      <c r="J913" s="171"/>
      <c r="K913" s="177"/>
      <c r="L913" s="171"/>
    </row>
    <row r="914" spans="1:12" s="65" customFormat="1" ht="15">
      <c r="A914" s="38"/>
      <c r="B914" s="38"/>
      <c r="C914" s="38"/>
      <c r="D914" s="38"/>
      <c r="E914" s="38"/>
      <c r="F914" s="38"/>
      <c r="G914" s="36"/>
      <c r="H914" s="64"/>
      <c r="I914" s="76"/>
      <c r="J914" s="171"/>
      <c r="K914" s="177"/>
      <c r="L914" s="171"/>
    </row>
    <row r="915" spans="1:12" s="65" customFormat="1" ht="15">
      <c r="A915" s="38"/>
      <c r="B915" s="38"/>
      <c r="C915" s="38"/>
      <c r="D915" s="38"/>
      <c r="E915" s="38"/>
      <c r="F915" s="38"/>
      <c r="G915" s="36"/>
      <c r="H915" s="64"/>
      <c r="I915" s="76"/>
      <c r="J915" s="171"/>
      <c r="K915" s="177"/>
      <c r="L915" s="171"/>
    </row>
    <row r="916" spans="1:12" s="65" customFormat="1" ht="15">
      <c r="A916" s="38"/>
      <c r="B916" s="38"/>
      <c r="C916" s="38"/>
      <c r="D916" s="38"/>
      <c r="E916" s="38"/>
      <c r="F916" s="38"/>
      <c r="G916" s="36"/>
      <c r="H916" s="64"/>
      <c r="I916" s="76"/>
      <c r="J916" s="171"/>
      <c r="K916" s="177"/>
      <c r="L916" s="171"/>
    </row>
    <row r="917" spans="1:12" s="65" customFormat="1" ht="15">
      <c r="A917" s="38"/>
      <c r="B917" s="38"/>
      <c r="C917" s="38"/>
      <c r="D917" s="38"/>
      <c r="E917" s="38"/>
      <c r="F917" s="38"/>
      <c r="G917" s="36"/>
      <c r="H917" s="64"/>
      <c r="I917" s="76"/>
      <c r="J917" s="171"/>
      <c r="K917" s="177"/>
      <c r="L917" s="171"/>
    </row>
    <row r="918" spans="1:12" s="65" customFormat="1" ht="15">
      <c r="A918" s="38"/>
      <c r="B918" s="38"/>
      <c r="C918" s="38"/>
      <c r="D918" s="38"/>
      <c r="E918" s="38"/>
      <c r="F918" s="38"/>
      <c r="G918" s="36"/>
      <c r="H918" s="64"/>
      <c r="I918" s="76"/>
      <c r="J918" s="171"/>
      <c r="K918" s="177"/>
      <c r="L918" s="171"/>
    </row>
    <row r="919" spans="1:12" s="65" customFormat="1" ht="15">
      <c r="A919" s="38"/>
      <c r="B919" s="38"/>
      <c r="C919" s="38"/>
      <c r="D919" s="38"/>
      <c r="E919" s="38"/>
      <c r="F919" s="38"/>
      <c r="G919" s="36"/>
      <c r="H919" s="64"/>
      <c r="I919" s="76"/>
      <c r="J919" s="171"/>
      <c r="K919" s="177"/>
      <c r="L919" s="171"/>
    </row>
    <row r="920" spans="1:12" s="65" customFormat="1" ht="15">
      <c r="A920" s="38"/>
      <c r="B920" s="38"/>
      <c r="C920" s="38"/>
      <c r="D920" s="38"/>
      <c r="E920" s="38"/>
      <c r="F920" s="38"/>
      <c r="G920" s="36"/>
      <c r="H920" s="64"/>
      <c r="I920" s="76"/>
      <c r="J920" s="171"/>
      <c r="K920" s="177"/>
      <c r="L920" s="171"/>
    </row>
    <row r="921" spans="1:12" s="65" customFormat="1" ht="15">
      <c r="A921" s="38"/>
      <c r="B921" s="38"/>
      <c r="C921" s="38"/>
      <c r="D921" s="38"/>
      <c r="E921" s="38"/>
      <c r="F921" s="38"/>
      <c r="G921" s="36"/>
      <c r="H921" s="64"/>
      <c r="I921" s="76"/>
      <c r="J921" s="171"/>
      <c r="K921" s="177"/>
      <c r="L921" s="171"/>
    </row>
    <row r="922" spans="1:12" s="65" customFormat="1" ht="15">
      <c r="A922" s="38"/>
      <c r="B922" s="38"/>
      <c r="C922" s="38"/>
      <c r="D922" s="38"/>
      <c r="E922" s="38"/>
      <c r="F922" s="38"/>
      <c r="G922" s="36"/>
      <c r="H922" s="64"/>
      <c r="I922" s="76"/>
      <c r="J922" s="171"/>
      <c r="K922" s="177"/>
      <c r="L922" s="171"/>
    </row>
    <row r="923" spans="1:12" s="65" customFormat="1" ht="15">
      <c r="A923" s="38"/>
      <c r="B923" s="38"/>
      <c r="C923" s="38"/>
      <c r="D923" s="38"/>
      <c r="E923" s="38"/>
      <c r="F923" s="38"/>
      <c r="G923" s="36"/>
      <c r="H923" s="64"/>
      <c r="I923" s="76"/>
      <c r="J923" s="171"/>
      <c r="K923" s="177"/>
      <c r="L923" s="171"/>
    </row>
    <row r="924" spans="1:12" s="65" customFormat="1" ht="15">
      <c r="A924" s="38"/>
      <c r="B924" s="38"/>
      <c r="C924" s="38"/>
      <c r="D924" s="38"/>
      <c r="E924" s="38"/>
      <c r="F924" s="38"/>
      <c r="G924" s="36"/>
      <c r="H924" s="64"/>
      <c r="I924" s="76"/>
      <c r="J924" s="171"/>
      <c r="K924" s="177"/>
      <c r="L924" s="171"/>
    </row>
    <row r="925" spans="1:12" s="65" customFormat="1" ht="15">
      <c r="A925" s="38"/>
      <c r="B925" s="38"/>
      <c r="C925" s="38"/>
      <c r="D925" s="38"/>
      <c r="E925" s="38"/>
      <c r="F925" s="38"/>
      <c r="G925" s="36"/>
      <c r="H925" s="64"/>
      <c r="I925" s="76"/>
      <c r="J925" s="171"/>
      <c r="K925" s="177"/>
      <c r="L925" s="171"/>
    </row>
    <row r="926" spans="1:12" s="65" customFormat="1" ht="15">
      <c r="A926" s="38"/>
      <c r="B926" s="38"/>
      <c r="C926" s="38"/>
      <c r="D926" s="38"/>
      <c r="E926" s="38"/>
      <c r="F926" s="38"/>
      <c r="G926" s="36"/>
      <c r="H926" s="64"/>
      <c r="I926" s="76"/>
      <c r="J926" s="171"/>
      <c r="K926" s="177"/>
      <c r="L926" s="171"/>
    </row>
    <row r="927" spans="1:12" s="65" customFormat="1" ht="15">
      <c r="A927" s="38"/>
      <c r="B927" s="38"/>
      <c r="C927" s="38"/>
      <c r="D927" s="38"/>
      <c r="E927" s="38"/>
      <c r="F927" s="38"/>
      <c r="G927" s="36"/>
      <c r="H927" s="64"/>
      <c r="I927" s="76"/>
      <c r="J927" s="171"/>
      <c r="K927" s="177"/>
      <c r="L927" s="171"/>
    </row>
    <row r="928" spans="1:12" s="65" customFormat="1" ht="15">
      <c r="A928" s="38"/>
      <c r="B928" s="38"/>
      <c r="C928" s="38"/>
      <c r="D928" s="38"/>
      <c r="E928" s="38"/>
      <c r="F928" s="38"/>
      <c r="G928" s="36"/>
      <c r="H928" s="64"/>
      <c r="I928" s="76"/>
      <c r="J928" s="171"/>
      <c r="K928" s="177"/>
      <c r="L928" s="171"/>
    </row>
    <row r="929" spans="1:12" s="65" customFormat="1" ht="15">
      <c r="A929" s="38"/>
      <c r="B929" s="38"/>
      <c r="C929" s="38"/>
      <c r="D929" s="38"/>
      <c r="E929" s="38"/>
      <c r="F929" s="38"/>
      <c r="G929" s="36"/>
      <c r="H929" s="64"/>
      <c r="I929" s="76"/>
      <c r="J929" s="171"/>
      <c r="K929" s="177"/>
      <c r="L929" s="171"/>
    </row>
    <row r="930" spans="1:12" s="65" customFormat="1" ht="15">
      <c r="A930" s="38"/>
      <c r="B930" s="38"/>
      <c r="C930" s="38"/>
      <c r="D930" s="38"/>
      <c r="E930" s="38"/>
      <c r="F930" s="38"/>
      <c r="G930" s="36"/>
      <c r="H930" s="64"/>
      <c r="I930" s="76"/>
      <c r="J930" s="171"/>
      <c r="K930" s="177"/>
      <c r="L930" s="171"/>
    </row>
    <row r="931" spans="1:12" s="65" customFormat="1" ht="15">
      <c r="A931" s="38"/>
      <c r="B931" s="38"/>
      <c r="C931" s="38"/>
      <c r="D931" s="38"/>
      <c r="E931" s="38"/>
      <c r="F931" s="38"/>
      <c r="G931" s="36"/>
      <c r="H931" s="64"/>
      <c r="I931" s="76"/>
      <c r="J931" s="171"/>
      <c r="K931" s="177"/>
      <c r="L931" s="171"/>
    </row>
    <row r="932" spans="1:12" s="65" customFormat="1" ht="15">
      <c r="A932" s="38"/>
      <c r="B932" s="38"/>
      <c r="C932" s="38"/>
      <c r="D932" s="38"/>
      <c r="E932" s="38"/>
      <c r="F932" s="38"/>
      <c r="G932" s="36"/>
      <c r="H932" s="64"/>
      <c r="I932" s="76"/>
      <c r="J932" s="171"/>
      <c r="K932" s="177"/>
      <c r="L932" s="171"/>
    </row>
    <row r="933" spans="1:12" s="65" customFormat="1" ht="15">
      <c r="A933" s="38"/>
      <c r="B933" s="38"/>
      <c r="C933" s="38"/>
      <c r="D933" s="38"/>
      <c r="E933" s="38"/>
      <c r="F933" s="38"/>
      <c r="G933" s="36"/>
      <c r="H933" s="64"/>
      <c r="I933" s="76"/>
      <c r="J933" s="171"/>
      <c r="K933" s="177"/>
      <c r="L933" s="171"/>
    </row>
    <row r="934" spans="1:12" s="65" customFormat="1" ht="15">
      <c r="A934" s="38"/>
      <c r="B934" s="38"/>
      <c r="C934" s="38"/>
      <c r="D934" s="38"/>
      <c r="E934" s="38"/>
      <c r="F934" s="38"/>
      <c r="G934" s="36"/>
      <c r="H934" s="64"/>
      <c r="I934" s="76"/>
      <c r="J934" s="171"/>
      <c r="K934" s="177"/>
      <c r="L934" s="171"/>
    </row>
    <row r="935" spans="1:12" s="65" customFormat="1" ht="15">
      <c r="A935" s="38"/>
      <c r="B935" s="38"/>
      <c r="C935" s="38"/>
      <c r="D935" s="38"/>
      <c r="E935" s="38"/>
      <c r="F935" s="38"/>
      <c r="G935" s="36"/>
      <c r="H935" s="64"/>
      <c r="I935" s="76"/>
      <c r="J935" s="171"/>
      <c r="K935" s="177"/>
      <c r="L935" s="171"/>
    </row>
    <row r="936" spans="1:12" s="65" customFormat="1" ht="15">
      <c r="A936" s="38"/>
      <c r="B936" s="38"/>
      <c r="C936" s="38"/>
      <c r="D936" s="38"/>
      <c r="E936" s="38"/>
      <c r="F936" s="38"/>
      <c r="G936" s="36"/>
      <c r="H936" s="64"/>
      <c r="I936" s="76"/>
      <c r="J936" s="171"/>
      <c r="K936" s="177"/>
      <c r="L936" s="171"/>
    </row>
    <row r="937" spans="1:12" s="65" customFormat="1" ht="15">
      <c r="A937" s="38"/>
      <c r="B937" s="38"/>
      <c r="C937" s="38"/>
      <c r="D937" s="38"/>
      <c r="E937" s="38"/>
      <c r="F937" s="38"/>
      <c r="G937" s="36"/>
      <c r="H937" s="64"/>
      <c r="I937" s="76"/>
      <c r="J937" s="171"/>
      <c r="K937" s="177"/>
      <c r="L937" s="171"/>
    </row>
    <row r="938" spans="1:12" s="65" customFormat="1" ht="15">
      <c r="A938" s="38"/>
      <c r="B938" s="38"/>
      <c r="C938" s="38"/>
      <c r="D938" s="38"/>
      <c r="E938" s="38"/>
      <c r="F938" s="38"/>
      <c r="G938" s="36"/>
      <c r="H938" s="64"/>
      <c r="I938" s="76"/>
      <c r="J938" s="171"/>
      <c r="K938" s="177"/>
      <c r="L938" s="171"/>
    </row>
    <row r="939" spans="1:12" s="65" customFormat="1" ht="15">
      <c r="A939" s="38"/>
      <c r="B939" s="38"/>
      <c r="C939" s="38"/>
      <c r="D939" s="38"/>
      <c r="E939" s="38"/>
      <c r="F939" s="38"/>
      <c r="G939" s="16"/>
      <c r="H939" s="64"/>
      <c r="I939" s="64"/>
      <c r="J939" s="171"/>
      <c r="K939" s="171"/>
      <c r="L939" s="171"/>
    </row>
  </sheetData>
  <sheetProtection/>
  <mergeCells count="12">
    <mergeCell ref="J5:J7"/>
    <mergeCell ref="A5:A7"/>
    <mergeCell ref="A3:L3"/>
    <mergeCell ref="J1:L1"/>
    <mergeCell ref="J2:L2"/>
    <mergeCell ref="B5:F5"/>
    <mergeCell ref="K5:K7"/>
    <mergeCell ref="L5:L7"/>
    <mergeCell ref="G5:G7"/>
    <mergeCell ref="H5:H7"/>
    <mergeCell ref="B6:F6"/>
    <mergeCell ref="I5:I7"/>
  </mergeCells>
  <printOptions/>
  <pageMargins left="0.7874015748031497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2013-10-23T04:48:33Z</cp:lastPrinted>
  <dcterms:created xsi:type="dcterms:W3CDTF">1996-10-08T23:32:33Z</dcterms:created>
  <dcterms:modified xsi:type="dcterms:W3CDTF">2013-10-23T04:49:48Z</dcterms:modified>
  <cp:category/>
  <cp:version/>
  <cp:contentType/>
  <cp:contentStatus/>
</cp:coreProperties>
</file>