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6195" activeTab="1"/>
  </bookViews>
  <sheets>
    <sheet name="ВЦП" sheetId="1" r:id="rId1"/>
    <sheet name="СП на01.01.15. пл касса" sheetId="2" r:id="rId2"/>
    <sheet name="разд, подр. МР" sheetId="3" r:id="rId3"/>
    <sheet name="Прилож.14 2014" sheetId="4" r:id="rId4"/>
    <sheet name="Резервн фонд" sheetId="5" r:id="rId5"/>
    <sheet name="Публ обяз" sheetId="6" r:id="rId6"/>
  </sheets>
  <externalReferences>
    <externalReference r:id="rId9"/>
    <externalReference r:id="rId10"/>
    <externalReference r:id="rId11"/>
    <externalReference r:id="rId12"/>
  </externalReferences>
  <definedNames>
    <definedName name="В11" localSheetId="3">#REF!</definedName>
    <definedName name="В11" localSheetId="4">#REF!</definedName>
    <definedName name="В11">#REF!</definedName>
    <definedName name="_xlnm.Print_Titles" localSheetId="0">'ВЦП'!$52:$52</definedName>
    <definedName name="_xlnm.Print_Titles" localSheetId="4">'Резервн фонд'!$6:$6</definedName>
    <definedName name="_xlnm.Print_Titles" localSheetId="1">'СП на01.01.15. пл касса'!$B:$B,'СП на01.01.15. пл касса'!$6:$8</definedName>
    <definedName name="_xlnm.Print_Area" localSheetId="0">'ВЦП'!$A$2:$E$90</definedName>
    <definedName name="_xlnm.Print_Area" localSheetId="3">'Прилож.14 2014'!$A$1:$S$37</definedName>
    <definedName name="_xlnm.Print_Area" localSheetId="5">'Публ обяз'!$A$1:$L$11</definedName>
    <definedName name="_xlnm.Print_Area" localSheetId="2">'разд, подр. МР'!$A$1:$I$103</definedName>
    <definedName name="_xlnm.Print_Area" localSheetId="4">'Резервн фонд'!$A$1:$G$51</definedName>
    <definedName name="_xlnm.Print_Area" localSheetId="1">'СП на01.01.15. пл касса'!$A$1:$X$41</definedName>
  </definedNames>
  <calcPr fullCalcOnLoad="1"/>
</workbook>
</file>

<file path=xl/sharedStrings.xml><?xml version="1.0" encoding="utf-8"?>
<sst xmlns="http://schemas.openxmlformats.org/spreadsheetml/2006/main" count="748" uniqueCount="425">
  <si>
    <t/>
  </si>
  <si>
    <t>Код по бюджетной классификации
КЦСР</t>
  </si>
  <si>
    <t>Наименование</t>
  </si>
  <si>
    <t>Уточненный план
на год</t>
  </si>
  <si>
    <t>Исполнение
с начала года</t>
  </si>
  <si>
    <t>% исполнения
от годовых назначений</t>
  </si>
  <si>
    <t>1</t>
  </si>
  <si>
    <t>2</t>
  </si>
  <si>
    <t>3</t>
  </si>
  <si>
    <t>4</t>
  </si>
  <si>
    <t>5</t>
  </si>
  <si>
    <t>7950100</t>
  </si>
  <si>
    <t>ВЦП "Реализация молодежной политики на 2014-2016гг."</t>
  </si>
  <si>
    <t>7950301</t>
  </si>
  <si>
    <t>Развитие культуры</t>
  </si>
  <si>
    <t>7950302</t>
  </si>
  <si>
    <t>Библиотечное дело</t>
  </si>
  <si>
    <t>7950400</t>
  </si>
  <si>
    <t>ВЦП "Развитие физической культуры , спорта и фромирование здорового образа жизни в Онгудайском районе на 2014-2016 гг."</t>
  </si>
  <si>
    <t>7950500</t>
  </si>
  <si>
    <t>ВЦП "Развитие доступного дошкольного образования в муниципальном образовании  "Онгудайский район" на 2014-2016 гг."</t>
  </si>
  <si>
    <t>7950600</t>
  </si>
  <si>
    <t>ВЦП "Развитие доступного общего образования в муниципальном образовании  "Онгудайский район"на 2014-2016 гг."</t>
  </si>
  <si>
    <t>7950601</t>
  </si>
  <si>
    <t>Энергосбережение объектов общего образования</t>
  </si>
  <si>
    <t>7950700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</si>
  <si>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</si>
  <si>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7950800</t>
  </si>
  <si>
    <t>ВЦП "Совершенствование организации питания в организованных детских коллективах Онгудайского района на 2014-2016 гг."</t>
  </si>
  <si>
    <t>7950900</t>
  </si>
  <si>
    <t>ВЦП "Улучшение условий охраны труда в образовательных учреждениях Онгудайского района на 2014-2016гг."</t>
  </si>
  <si>
    <t>7951000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</si>
  <si>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</si>
  <si>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>7952001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</si>
  <si>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</si>
  <si>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7952002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</si>
  <si>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</si>
  <si>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7952100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</si>
  <si>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</si>
  <si>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7952200</t>
  </si>
  <si>
    <t>ВЦП "Медико -социальная поддержка слабозащищенных  категорий населения в  муниципальном образовании  "Онгудайский район"  на 2014-2016 гг."</t>
  </si>
  <si>
    <t>7952300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</si>
  <si>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</si>
  <si>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7952400</t>
  </si>
  <si>
    <t>ВЦП  "О мерах по противодействию терроризму и экстремизму в муниципальном образовании  "Онгудайский район" на 2014-2016 гг."</t>
  </si>
  <si>
    <t>7952500</t>
  </si>
  <si>
    <t>ВЦП "Повышение  безопасности дорожного движения на территории муниципального образования  "Онгудайский район" на 2014-2016 гг."</t>
  </si>
  <si>
    <t>7952600</t>
  </si>
  <si>
    <t>ВЦП "Комплексные меры профилактики правонарушений на территории МО "Онгудайский район" на 2014-2016гг."</t>
  </si>
  <si>
    <t>7952700</t>
  </si>
  <si>
    <t>ВЦП  "Формирование эффективной системы управления и распоряжения муниципальным имуществом на 2014-2016 гг."</t>
  </si>
  <si>
    <t>7952800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</si>
  <si>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</si>
  <si>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7953100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</si>
  <si>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</si>
  <si>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7953200</t>
  </si>
  <si>
    <t>ВЦП "Энергосбережение  в муниицпальном образовании "Онгудайский район" на 2010-2015 гг."</t>
  </si>
  <si>
    <t>7953301</t>
  </si>
  <si>
    <t>Объекты капитального строительства</t>
  </si>
  <si>
    <t>7953302</t>
  </si>
  <si>
    <t>Обеспечение жильем специалистов на селе</t>
  </si>
  <si>
    <t>7953303</t>
  </si>
  <si>
    <t>Приобретение жилого помещения для предоставления детям сиротам</t>
  </si>
  <si>
    <t>7953400</t>
  </si>
  <si>
    <t>ВЦП "Развитие агропромышленного комплекса муниципального образования "Онгудайский район" на 2014-2016годы"</t>
  </si>
  <si>
    <t>7953500</t>
  </si>
  <si>
    <t>ВЦП "Социальная защита населения муниципального образования "Онгудайский район" на 2014-2016 годы"</t>
  </si>
  <si>
    <t>7953600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</si>
  <si>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</si>
  <si>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7953700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</si>
  <si>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</si>
  <si>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7953800</t>
  </si>
  <si>
    <t>ВЦП "Благоустройство территории Онгудайского района на 2014-2016 годы"</t>
  </si>
  <si>
    <t>7953900</t>
  </si>
  <si>
    <t>ВЦП «Развитие малого предпринимательства в Онгудайском районе на 2014-2016 годы»</t>
  </si>
  <si>
    <t>7954001</t>
  </si>
  <si>
    <t>Строительство и реконструкция объектов социальной сферы</t>
  </si>
  <si>
    <t>7954002</t>
  </si>
  <si>
    <t>Финансирование БУ ОКС муниципального образования "Онгудайский район"</t>
  </si>
  <si>
    <t>7954100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</si>
  <si>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</si>
  <si>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7954200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</si>
  <si>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</si>
  <si>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7954800</t>
  </si>
  <si>
    <t>ВЦП "Улучшение условий и охрана труда в муниципальном образовании "Онгудайский район" на 2014-2016 годы"</t>
  </si>
  <si>
    <t>Итого</t>
  </si>
  <si>
    <t>Исполнение  бюджетных ассигнований на реализацию ведомственных целевых программ 
 муниципального образования «Онгудайский район» на 2014 год.</t>
  </si>
  <si>
    <t>Прочие межбюджетные трансферты общего характера.</t>
  </si>
  <si>
    <t>1403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</si>
  <si>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</si>
  <si>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</si>
  <si>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Межбюджетные трансферты бюджетам субъектов РФ и муниципальных образований </t>
  </si>
  <si>
    <t>1400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</si>
  <si>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</si>
  <si>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</si>
  <si>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</si>
  <si>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</si>
  <si>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Периодическая печать и издательства</t>
  </si>
  <si>
    <t>1202</t>
  </si>
  <si>
    <t>Средства массовой информации</t>
  </si>
  <si>
    <t>1200</t>
  </si>
  <si>
    <t>Физическая культура</t>
  </si>
  <si>
    <t>1101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</si>
  <si>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</si>
  <si>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</si>
  <si>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</si>
  <si>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</si>
  <si>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</si>
  <si>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</si>
  <si>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</si>
  <si>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</si>
  <si>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Пенсионное обеспечение</t>
  </si>
  <si>
    <t>1001</t>
  </si>
  <si>
    <t>Социальная политика</t>
  </si>
  <si>
    <t>1000</t>
  </si>
  <si>
    <t>Другие вопросы в области здравоохранения</t>
  </si>
  <si>
    <t>0909</t>
  </si>
  <si>
    <t xml:space="preserve">Здравоохранение </t>
  </si>
  <si>
    <t>0900</t>
  </si>
  <si>
    <t>Другие вопросы в области культуры, кинематографии.</t>
  </si>
  <si>
    <t>0804</t>
  </si>
  <si>
    <t>Культура</t>
  </si>
  <si>
    <t>0801</t>
  </si>
  <si>
    <t xml:space="preserve">Культура и кинематография </t>
  </si>
  <si>
    <t>0800</t>
  </si>
  <si>
    <t>Другие вопросы в области образования</t>
  </si>
  <si>
    <t>0709</t>
  </si>
  <si>
    <t>Молодежная политика и оздоровление детей</t>
  </si>
  <si>
    <t>0707</t>
  </si>
  <si>
    <t>Профессиональная подготовка, переподготовка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</si>
  <si>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</si>
  <si>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</si>
  <si>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</si>
  <si>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</si>
  <si>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</si>
  <si>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</si>
  <si>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</si>
  <si>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</si>
  <si>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</si>
  <si>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</si>
  <si>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</si>
  <si>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</si>
  <si>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</si>
  <si>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 коммунальное хозяйство</t>
  </si>
  <si>
    <t>0500</t>
  </si>
  <si>
    <t>Другие вопросы в области национальной экономики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</si>
  <si>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</si>
  <si>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</si>
  <si>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</si>
  <si>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</si>
  <si>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</si>
  <si>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Национальная экономика</t>
  </si>
  <si>
    <t>0400</t>
  </si>
  <si>
    <t>Другие вопросы в области национальной безопасности и правоохранительной деятельности</t>
  </si>
  <si>
    <t>0314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</si>
  <si>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</si>
  <si>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</si>
  <si>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</si>
  <si>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</si>
  <si>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</si>
  <si>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</si>
  <si>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</si>
  <si>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</si>
  <si>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</si>
  <si>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</si>
  <si>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</si>
  <si>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</si>
  <si>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</si>
  <si>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</si>
  <si>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</si>
  <si>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</si>
  <si>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</si>
  <si>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</si>
  <si>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</si>
  <si>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</si>
  <si>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Код по бюджетной классификации
ФКР</t>
  </si>
  <si>
    <t>расходов бюджета муниципального образования  "Онгудайский район" на 2014 год                                           по разделам и подразделам   классификации расходов бюджетов Российской Федерации</t>
  </si>
  <si>
    <t xml:space="preserve">Исполнение </t>
  </si>
  <si>
    <t>в тыс.рублях</t>
  </si>
  <si>
    <t>Раздел, Подраздел</t>
  </si>
  <si>
    <t xml:space="preserve">Исполнение  </t>
  </si>
  <si>
    <t>Коды  ВЦП</t>
  </si>
  <si>
    <t>Итого межбюджетные трансферты бюджетам муниципальных образований</t>
  </si>
  <si>
    <t>Субсидии на осуществление энергосберегающих тех.мероприятий  на системах теплоснабжения, системах водоснабжения и водоотведения и  модерниз оборудования на объектах , участвующих в предоставлении коммун услуг подпрограммы "Развитие ЖК комплекса" госпрограммы РА "Развитие жкх и транспортного комплекса"</t>
  </si>
  <si>
    <t>4.3</t>
  </si>
  <si>
    <t>На осуществление части полномочий по решению вопросов местного значения в соотвтетствии с заключенными  соглашениями</t>
  </si>
  <si>
    <t>4.2.</t>
  </si>
  <si>
    <t>1403/5201500/ ремонт дорог</t>
  </si>
  <si>
    <t>1403/5201500/ подготока Эл-Ойын</t>
  </si>
  <si>
    <t>1403/5201500/ типографские расходы</t>
  </si>
  <si>
    <t>1403/5201500/ матер помощь погорельцам</t>
  </si>
  <si>
    <t>1101/5201500/спортзал</t>
  </si>
  <si>
    <t>0502/5201500/ возмещ расх на Э/Э пожарн.подстанц.</t>
  </si>
  <si>
    <t>0502/5201500/ установка КТП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</si>
  <si>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</si>
  <si>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4.1.</t>
  </si>
  <si>
    <t>Прочие межбюджетные трансферты общего характера</t>
  </si>
  <si>
    <t>3.2.</t>
  </si>
  <si>
    <t>Дотация на выравнивание уровня бюджетной обеспеченности  из районного фонда  финансовой поддержки  поселений</t>
  </si>
  <si>
    <t>3.1.</t>
  </si>
  <si>
    <t>Межбюджетные трансферты бюджетам сельских поселений  из бюджета муниципального района</t>
  </si>
  <si>
    <t>Субвенции на осуществление  первичного  воинского учета на территориях, где отсутствуют военные комиссариаты в  в рамках подпрограммы "Повышение эффективности бюджетных расходов в Республике Алтай" государственой программы Республики Алтай "Управление государственными финансами и государственным имуществом"</t>
  </si>
  <si>
    <t>2.1.</t>
  </si>
  <si>
    <t xml:space="preserve">Региональный фонд компенсации 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</si>
  <si>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</t>
  </si>
  <si>
    <t>1.1.</t>
  </si>
  <si>
    <t xml:space="preserve">Региональный фонд финансовой поддержки  поселений </t>
  </si>
  <si>
    <t>Б</t>
  </si>
  <si>
    <t>А</t>
  </si>
  <si>
    <t>Онгудайское</t>
  </si>
  <si>
    <t>Ининское</t>
  </si>
  <si>
    <t>Купчегеньское</t>
  </si>
  <si>
    <t>Хабаровское</t>
  </si>
  <si>
    <t>Шашикманское</t>
  </si>
  <si>
    <t>Нижне-Талдинское</t>
  </si>
  <si>
    <t>Каракольское</t>
  </si>
  <si>
    <t>Куладинское</t>
  </si>
  <si>
    <t>Теньгинское</t>
  </si>
  <si>
    <t>Елинское</t>
  </si>
  <si>
    <t>Наименования сельских поселений муниципального образования "Онгудайский район"</t>
  </si>
  <si>
    <t>Всего</t>
  </si>
  <si>
    <t>Наименования межбюджетных трансфертов</t>
  </si>
  <si>
    <t>(тыс.руб)</t>
  </si>
  <si>
    <t>4.4.</t>
  </si>
  <si>
    <t xml:space="preserve">Межбюджетные трансферты, передаваемые бюджетам сельских поселений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2014 году </t>
  </si>
  <si>
    <t>0412/5201500( цех с Купчегень</t>
  </si>
  <si>
    <t>0801/5201500( повышение ФОТ специалистам культуры</t>
  </si>
  <si>
    <t>1403/5201500/прочие расходы</t>
  </si>
  <si>
    <t>0801/0825014,0825190: приобретение автомобиля, оборудования для учреждений культуры</t>
  </si>
  <si>
    <t xml:space="preserve">0503/5201500/ </t>
  </si>
  <si>
    <t>0409/5201500/ ремонт мостов , дорог</t>
  </si>
  <si>
    <t>№п/п</t>
  </si>
  <si>
    <t>Наименование объектов</t>
  </si>
  <si>
    <t>Инвестиции на 2014 год</t>
  </si>
  <si>
    <t>Федеральный бюджет (справочно)</t>
  </si>
  <si>
    <t>Изменения  в бюджет:+;-</t>
  </si>
  <si>
    <t>Всего утверждено</t>
  </si>
  <si>
    <t>Всего исполнено</t>
  </si>
  <si>
    <t>федеральный бюджет</t>
  </si>
  <si>
    <t>республиканский  бюджет</t>
  </si>
  <si>
    <t>местный бюджет</t>
  </si>
  <si>
    <t>Непрограммная часть</t>
  </si>
  <si>
    <t>1..1</t>
  </si>
  <si>
    <t>Инженерные изыскания на разработку ПИР,экспертиза проектной документации , проект перехода федеральной автодороги, проект электрообогрева части участка, корректировка сметных расчетов на реконструкцию водопровода  в с. Купчегень</t>
  </si>
  <si>
    <t>1.4</t>
  </si>
  <si>
    <t>Строительство детского сада на 150 мест в с Онгудай: экспертиза ПИР, радоновое измерение участка</t>
  </si>
  <si>
    <t>1.5</t>
  </si>
  <si>
    <t xml:space="preserve">Техническое обследование здания хозкорпуса  и разработка проектной документации овощехранилища на 30 тонн МОУ "Еловская СОШ им.Э.М.Палкина" с.Ело </t>
  </si>
  <si>
    <t>1.6.</t>
  </si>
  <si>
    <t>Строительство здания учебно-производственного центра народного прикладного искусства в с Купчегень</t>
  </si>
  <si>
    <t>1.7.</t>
  </si>
  <si>
    <t>Строительство скважины для водоснабжения села Чуйозы Онгудайского района</t>
  </si>
  <si>
    <t>1.8.</t>
  </si>
  <si>
    <t>Строительство спортивного зала по ул. Победы, 14в в  с. Шашикман Онгудайского района Республики Алтай</t>
  </si>
  <si>
    <t>Программная часть</t>
  </si>
  <si>
    <t>РЦП "Развитие агропромышленного комплекса РА на 2009-2012 г.г."</t>
  </si>
  <si>
    <t>2.1.1.</t>
  </si>
  <si>
    <t>Электроснабжение в с . Онгудай (северо-восточная часть) Онгудайского района РА</t>
  </si>
  <si>
    <t>Государственная программа  Республики Алтай"  Развитие образования"</t>
  </si>
  <si>
    <t>2.1.1</t>
  </si>
  <si>
    <t>Подпрограмма "Развитие общего образования"</t>
  </si>
  <si>
    <t>2.1.1.2</t>
  </si>
  <si>
    <t>Капитальные вложения в объекты муниципальной собственности в части повышения устойчивости  жилых домов, объектов и систем жизнеобеспечения</t>
  </si>
  <si>
    <t>МОУ "Еловская СОШ им.Э.М.Палкина" с.Ело  Онгудайского района Республики Алтай</t>
  </si>
  <si>
    <t>2.1.1.3</t>
  </si>
  <si>
    <t>Строительство и реконструкция зданий общеобразовательных учреждений</t>
  </si>
  <si>
    <t>Полная средняя школа на 260 уч-ся с интернатом на 80 мест в с.Иня Онгудайского района Республики Алтай</t>
  </si>
  <si>
    <t>Реконструкция средней школы в с.Онгудай Онгудайского района Республики Алтай (1 очередь строительства, 2 этап)</t>
  </si>
  <si>
    <t>2.2.1</t>
  </si>
  <si>
    <t>Подпрограмма "Развитие дошкольного образования"</t>
  </si>
  <si>
    <t>2.2.1.1</t>
  </si>
  <si>
    <t>Модернизация  региональных систем дошкольного образования</t>
  </si>
  <si>
    <t>Детский сад "Карлагаш"  по адресу: Онгудайский район с.Онгудай, ул.ДСУ-11, д11-а</t>
  </si>
  <si>
    <t>2.2.</t>
  </si>
  <si>
    <t>Государственная программа  Республики Алтай  "Развитие жилищно-коммунального и транспортного комплекса"</t>
  </si>
  <si>
    <t>2.2.1.</t>
  </si>
  <si>
    <t>Подпрограмма "Развитие жилищно-коммунального комплекса"</t>
  </si>
  <si>
    <t>2.2.1.1.</t>
  </si>
  <si>
    <t>Повышение устойчивости жилых домов, объектов и систем жизнеобеспечения</t>
  </si>
  <si>
    <t>Реконструкция  водопровода в с.Шашикман Онгудайского района Республики Алтай</t>
  </si>
  <si>
    <t>2.2.2.</t>
  </si>
  <si>
    <t>Софинсирование капитальных  вложений в объекты муниципальной  собственности  в части обеспечения земельных участков  инженерной  инфраструктурой</t>
  </si>
  <si>
    <t>2.2.2.1.</t>
  </si>
  <si>
    <t xml:space="preserve"> Электроснабжение с. Онгудай (северо-восточная часть ) 3-я очередь</t>
  </si>
  <si>
    <t>ВСЕГО ПО МУНИЦИПАЛЬНОМУ ОБРАЗОВАНИЮ:</t>
  </si>
  <si>
    <t>0502/ 7953301</t>
  </si>
  <si>
    <t>0502/7954001</t>
  </si>
  <si>
    <t>071/7954001</t>
  </si>
  <si>
    <t>0702/7953301</t>
  </si>
  <si>
    <t>0702/7954001</t>
  </si>
  <si>
    <t>Кассовое исполнение 2013г</t>
  </si>
  <si>
    <t>Доля в общем расходе 2014г (%)</t>
  </si>
  <si>
    <t>Темп роста в 2014г по сравн. с 2013г (%)</t>
  </si>
  <si>
    <t>0107</t>
  </si>
  <si>
    <t>Обеспечение проведения выборов и референдумов</t>
  </si>
  <si>
    <t>Уточненный план на2014год</t>
  </si>
  <si>
    <t>Кассовое исполнение 2014г</t>
  </si>
  <si>
    <t xml:space="preserve">ОТЧЕТ О ЦЕЛЕВОМ ИСПОЛЬЗОВАНИИ БЮДЖЕТНЫХ СРЕДСТВ ВЫДЕЛЕННЫХ ИЗ РЕЗЕРВНОГО ФОНДА </t>
  </si>
  <si>
    <t>№ п/п</t>
  </si>
  <si>
    <t>Основание выделения средств (наименование нормативного правового акта, дата и номер)</t>
  </si>
  <si>
    <t>Направление средств по распоряжению</t>
  </si>
  <si>
    <t>Фактическое направление средств</t>
  </si>
  <si>
    <t>Остаток неиспользованных средств</t>
  </si>
  <si>
    <t>Цель</t>
  </si>
  <si>
    <t>Сумма</t>
  </si>
  <si>
    <t>Основание направления средств с подробной расшифровкой (кому, за что,№, дата платежного поручения, №, дата договора</t>
  </si>
  <si>
    <t>ИТОГО</t>
  </si>
  <si>
    <t xml:space="preserve">                                                                                        за   2014год                                                                                                                                     (руб.)</t>
  </si>
  <si>
    <t>Курматову Эрмену Эдуардовичу для оказания дорогостоящей медицинской помощи</t>
  </si>
  <si>
    <t>Распоряжение №46-р от 18.02.2014г.</t>
  </si>
  <si>
    <t>Распоряжение №47-р от 18.02.2014г.</t>
  </si>
  <si>
    <t>Распоряжение №122-р от 07.04.2014г.</t>
  </si>
  <si>
    <t>Оказание материальной помощи в восстановлении имущества, утраченного в результате пожара:</t>
  </si>
  <si>
    <t>Ласкакову Петру Николаевичу</t>
  </si>
  <si>
    <t>Абашевой Сурае Семеновне</t>
  </si>
  <si>
    <t>Какашевой Жанне Дмитриевне</t>
  </si>
  <si>
    <t>Четпоевой Кларе Васильевне</t>
  </si>
  <si>
    <t>Ласкаковой Алене Петровне</t>
  </si>
  <si>
    <t>Ласкаковой Олесе Петровне</t>
  </si>
  <si>
    <t>Кайгородову Константину Петровичу</t>
  </si>
  <si>
    <t>Челтушевой Айсуре Дмитриевне</t>
  </si>
  <si>
    <t>Курдашевой Оксане Сергеевне</t>
  </si>
  <si>
    <t>Бедиекову Сайралу Сергеевичу</t>
  </si>
  <si>
    <t>Табаевой Надежде Дьякоруевне</t>
  </si>
  <si>
    <t>Пантелееву ВладимируМоисеевичу</t>
  </si>
  <si>
    <t>Распоряжение №196/1-р от 02.06.2014г.</t>
  </si>
  <si>
    <t>Распоряжение №285-р от06.08.2014г.</t>
  </si>
  <si>
    <t>Оказание материальной помощи в восстановлении имущества, утраченного в результате пожара Табаевой Надежде Дьякоруевне</t>
  </si>
  <si>
    <t>Распоряжение №431-р от 23.12.2014г</t>
  </si>
  <si>
    <t>лечение</t>
  </si>
  <si>
    <t>пожары 16 семей</t>
  </si>
  <si>
    <t>Распоряжение №45-р от 18.02.2014г.</t>
  </si>
  <si>
    <t>Сортоева Яна Султановна,п/п №43912 от 21.02.14г.</t>
  </si>
  <si>
    <t>Курматов Эрмен Эдуардович, п/п №43911 от 21.02.14г.</t>
  </si>
  <si>
    <t>Ласкаков Петр Николаевич, п/п №97543 от 14.04.14г.</t>
  </si>
  <si>
    <t>Абашева Сурая Семеновна, п/п №97547 от 14.04.14г.</t>
  </si>
  <si>
    <t>Какашева Жанна Дмитриевна, п/п №97548 от 14.04.14г.</t>
  </si>
  <si>
    <t>Четпоева Клара Васильевна, п/п №97549 от 14.04.14г.</t>
  </si>
  <si>
    <t>Ласкакова Олеся Петровна, п/п №97544 от 14.04.14г.</t>
  </si>
  <si>
    <t>Ласкакова Алена Петровна, п/п №97550 от 14.04.14г.</t>
  </si>
  <si>
    <t>Кайгородов Константин Петрович, п/п №97545 от 14.04.14г.</t>
  </si>
  <si>
    <t>Челтушева Айсура Дмитриевна, п/п №97546 от 14.04.14г.</t>
  </si>
  <si>
    <t>Бедиеков Сайрал Сергеевич, п/п №107667 от 17.04.14г.</t>
  </si>
  <si>
    <t>Табаева Надежда Дьякоруевна , п/п №97552 от 14.04.14г.</t>
  </si>
  <si>
    <t>Пантелеев Владимир Моисеевич,п/п №97553 от 14.04.14г.</t>
  </si>
  <si>
    <t>Курдашева Оксана Сергеевна,п/п №97551от 14.04.14г.</t>
  </si>
  <si>
    <t>Тодогошев Андрей Александрович, РКО № 146 от 03.06.14г., в п/отчет, на приобретение дизельного топлива</t>
  </si>
  <si>
    <t>Тодогошев Андрей Александрович, РКО № 147 от 06.06.14г.,в п/отчет, на приобретение дизельного топлива</t>
  </si>
  <si>
    <t>ИП Шнитов В.В. п/п №208063 от 03.06.14г. за  поставку дизельного топлива</t>
  </si>
  <si>
    <t>ИП Шнитов В.В. п/п №217848 от 06.06.14г.за  поставку дизельного топлива</t>
  </si>
  <si>
    <t>ИП Шнитов В.В. п/п №233976 от 16.06.14г.за  поставку дизельного топлива</t>
  </si>
  <si>
    <t>БУЗ РА "Онгудайская ЦРБ", п/п №225664 от 10.06.14г., за поставку дезинфицирующего ср-ва(Сульфохлоратин-Д 0,8кг).</t>
  </si>
  <si>
    <t>Ченчулаев Виталий Олегович, РКО № 154 от 25.06.14г., в п/отчет, на приобретение канцелярских товаров</t>
  </si>
  <si>
    <t>Табаева Надежда Дьякоруевна , п/п №355609 от 11.08.14г.</t>
  </si>
  <si>
    <t>Снегирева Наталья Валерьевна , п/п №692516 от 25.12.14г.</t>
  </si>
  <si>
    <t>Беляева Наталья Евгеньевна , п/п №692514 от 25.12.14г.</t>
  </si>
  <si>
    <t>Угрюмова Жулдуз Шархановна , п/п №692515 от 25.12.14г.</t>
  </si>
  <si>
    <t>4.4.1.</t>
  </si>
  <si>
    <t>4.4.2.</t>
  </si>
  <si>
    <t>4.4.3.</t>
  </si>
  <si>
    <t>Устройство и возведение временных защитных сооружений для защиты территорий и объектов, их разборка и демонтаж-122012,50</t>
  </si>
  <si>
    <t>4.4.4.</t>
  </si>
  <si>
    <t>Подготовку объектов к восстановительным работам; откачку воды, очистку подвального помещения от иловых масс, вывоз мусора, просушку подвала -</t>
  </si>
  <si>
    <t>На мероприятия по проведению аварийно –спасательных работ в целях ликвидации чрезвычайной ситуации, возникшей в результате обильных дождевых осадков и резкого подъема уровня рек в 2014году</t>
  </si>
  <si>
    <t>4.4.5.</t>
  </si>
  <si>
    <t>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-28995,30 тыс.рублей</t>
  </si>
  <si>
    <t>план</t>
  </si>
  <si>
    <t>касса</t>
  </si>
  <si>
    <t>Байданова Аида Григорьевна, п/п №43913 от 21.02.14г.-20000,п/п №72490 от 02.04.14г.-15000</t>
  </si>
  <si>
    <t xml:space="preserve">Финансирование мероприятий по ликвидации  последствий  от чрезвычайной ситуации  природного  характера </t>
  </si>
  <si>
    <t>Решение Совета депутатов №9-1 от 30.10.2014г " О внесении изменений в бюджет муниципального образования "Онгудайский район" на 2014  и на плановый период 2015 и 2016 годов"</t>
  </si>
  <si>
    <t>Объем бюджетных ассигнований, направленных на исполнение публичных нормативных обязательств в 2014 году по муниципальному образованию "Онгудайский район"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</si>
  <si>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</si>
  <si>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</si>
  <si>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</si>
  <si>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Код бюджетной классификации</t>
  </si>
  <si>
    <t>раздел/ подраздел</t>
  </si>
  <si>
    <t>в том числе</t>
  </si>
  <si>
    <t>Федераль-ные средства</t>
  </si>
  <si>
    <t>Республи-канские средства</t>
  </si>
  <si>
    <t>Местные средства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</si>
  <si>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</si>
  <si>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</si>
  <si>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Осуществление назначения и выплаты доплат к пенсиям</t>
  </si>
  <si>
    <t>Решение Совета депутатов№24-4 от 04.03.2011г " Об утверждении Условий предоставлеия права на  пенсию за выслугу лет муниципальным служащим муниципального образования "Онгудайский район"</t>
  </si>
  <si>
    <t>Государственная программа Республики Алтай "Развитие сельского хозяйства и регулирование рынков сельскохозяйственной продукции, сырья и продовольствия"подпрограмма "Устойчивое развитие сельских территорий"Мероприятия по улучшению жилищных условий граждан, проживающих в сельской местности, в т.ч. молодых семей и молодых специалистов</t>
  </si>
  <si>
    <t>Постановление Правительства Российской Федерации  от 15.07.2013г №598  О "ФЦП "Устойчивое развитие сельских территорий на 2014 - 2017  годы и на период до 2020 года", Постановление Правительства Республики Алтай от 28.09.2012 N 242 (ред. от 18.08.2014) "Об утверждении государственной программы Республики Алтай "Развитие сельского хозяйства и регулирования рынков сельскохозяйственной продукции, сырья и продовольствия",Подпрограмма "Устойчивое развитие сельских территорий" (в ред. Постановления Правительства Республики Алтай от 20.03.2014 N 54)</t>
  </si>
  <si>
    <t xml:space="preserve">Итого по Администрации района (аймака) </t>
  </si>
  <si>
    <t xml:space="preserve">Всего </t>
  </si>
  <si>
    <t xml:space="preserve">Уточненный план </t>
  </si>
  <si>
    <t>Оказание материальной помощ для восстановления имущества, утраченного в результате пожара: Сортоевой Яне Султановне</t>
  </si>
  <si>
    <t>Оказание материальной помощи в восстановлении имущества, утраченного в результате пожара Байдановой Аиде Григорьевне</t>
  </si>
  <si>
    <t>Оказание материальной помощи в восстановлении имущества, утраченного в результате пожара: Снегиревой Н.В.,Беляевой Н.Е., Угрюмовой Ж.Ш.</t>
  </si>
  <si>
    <t>Тодогошев Андрей Александрович, РКО № 142 от 30.05.14г., в п/отчет, на приобретение дизельного топлива</t>
  </si>
  <si>
    <t>Тодогошев Андрей Александрович, РКО № 144 от 31.05.14г., в п/отчет, на приобретение дизельного топлива</t>
  </si>
  <si>
    <t>ООО "Алтайтранснефть"дог.№30/05-1 от 30.05.14, п/п №684235 от 24.12.14-70505;п/п №684234 от 24.12.14-22125; за поставку дизельного топлива</t>
  </si>
  <si>
    <t>ИП Безденежных Евгений Владимирович, дог.№б/н от 03.06.14, п/п №299128 от 14.07.14 за поставку муки 1 сорта</t>
  </si>
  <si>
    <t>МУП "Онгудай-Тур", мун.дог.№2 от 30.05.14 п/п №597819 от 25.11.14-37230, п/п №670281 от 19.12.14-3192 за обесп.жизнедеят-ти привлеченных сил граждан для проведения ав.-спасательных работ по ликвид. ЧС (Пункт временного питания)</t>
  </si>
  <si>
    <t>ООО "Сибирьтехпром"  дог.№23/10-1-2014, п/п №678515 от 23.12.14г.за поставку запчастей</t>
  </si>
  <si>
    <t>Шалданова Алла Александровна, РКО № 201 от 03.09.14г., в п/отчет, на приобретение резиновой надувной лодки</t>
  </si>
  <si>
    <t>Шалданова Алла Александровна, РКО № 200 от 27.08.14г., в п/отчет, на поисковые работы</t>
  </si>
  <si>
    <t>Шалданова Алла Александровна, РКО № 202 от 11.09.14г., в п/отчет, на поисковые работы</t>
  </si>
  <si>
    <t>Шалданова Алла Александровна, РКО № 225 от 02.10.14г., в п/отчет, на поисковые работы</t>
  </si>
  <si>
    <t>Октошева Валентина Юрьевна, РКО № 262 от 25.12.14г., в п/отчет, на канцелярские товары</t>
  </si>
  <si>
    <t>страница 2</t>
  </si>
  <si>
    <t xml:space="preserve">Уточненный план
</t>
  </si>
  <si>
    <t xml:space="preserve">Кассовое исполнение
</t>
  </si>
  <si>
    <t xml:space="preserve">% исполнения
</t>
  </si>
  <si>
    <t xml:space="preserve">  бюджетных ассигнований на реализацию ведомственных целевых программ 
 муниципального образования «Онгудайский район» за 2014 год.</t>
  </si>
  <si>
    <t>Справочная таблица №1  к пояснительной записке об исполнении бюджета за 2014  год</t>
  </si>
  <si>
    <t>Справочная таблица № 2 к пояснительной записке об исполнении бюджета за  2014  год</t>
  </si>
  <si>
    <t xml:space="preserve">ИСПОЛНЕНИЕ   МЕЖБЮДЖЕТНЫХ ТРАНСФЕРТОВ  В РАЗРЕЗЕ СЕЛЬСКИХ ПОСЕЛЕНИЙ  МУНИЦИПАЛЬНОГО ОБРАЗОВАНИЯ "ОНГУДАЙСКИЙ РАЙОН" </t>
  </si>
  <si>
    <t xml:space="preserve">  ЗА  2014 год </t>
  </si>
  <si>
    <t xml:space="preserve">Анализ исполнения </t>
  </si>
  <si>
    <t>расходов бюджета муниципального образования  "Онгудайский район" за 2014 год  по  сравнению с 2013годом по функциональной  классификации расходов   бюджетов</t>
  </si>
  <si>
    <t>Справочная таблица № 3 к пояснительной записке об исполнении бюджета за 2014  год</t>
  </si>
  <si>
    <t xml:space="preserve">Исполнено </t>
  </si>
  <si>
    <t>за 2014 год</t>
  </si>
  <si>
    <t>% исполнения</t>
  </si>
  <si>
    <t>Справочная таблица №4  к пояснительной записке об исполнении бюджета за 2014  год</t>
  </si>
  <si>
    <t>Справочная таблица №5 к пояснительной записке об исполнении бюджета за 2014  год</t>
  </si>
  <si>
    <t>Справочная таблица № 6  к пояснительной записке об исполнении бюджета за 2014  год</t>
  </si>
  <si>
    <t xml:space="preserve">Исполнение бюджетных ассигнований на  капитальное  строительство объектов муниципальной собственности муниципального образования "Онгудайский район" </t>
  </si>
  <si>
    <t>Функционирование  местных администраций</t>
  </si>
  <si>
    <t>,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</si>
</sst>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0.0000"/>
    <numFmt numFmtId="170" formatCode="_(* #,##0.00_);_(* \(#,##0.00\);_(* &quot;-&quot;??_);_(@_)"/>
    <numFmt numFmtId="171" formatCode="0.00000"/>
    <numFmt numFmtId="172" formatCode="0.00000000"/>
    <numFmt numFmtId="173" formatCode="0.0000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[Red]\-#,##0.00\ "/>
    <numFmt numFmtId="180" formatCode="_-* #,##0.00000_р_._-;\-* #,##0.00000_р_._-;_-* &quot;-&quot;??_р_._-;_-@_-"/>
    <numFmt numFmtId="181" formatCode="_-* #,##0_р_._-;\-* #,##0_р_._-;_-* &quot;-&quot;??_р_._-;_-@_-"/>
  </numFmts>
  <fonts count="85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2"/>
    </font>
    <font>
      <sz val="6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sz val="8"/>
      <name val="Arial CYR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sz val="10"/>
      <name val="Arial CYR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4" fontId="4" fillId="33" borderId="13" xfId="0" applyNumberFormat="1" applyFont="1" applyFill="1" applyBorder="1" applyAlignment="1">
      <alignment horizontal="right"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4" fontId="4" fillId="33" borderId="16" xfId="0" applyNumberFormat="1" applyFont="1" applyFill="1" applyBorder="1" applyAlignment="1">
      <alignment horizontal="right"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0" fontId="0" fillId="0" borderId="0" xfId="56">
      <alignment/>
      <protection/>
    </xf>
    <xf numFmtId="0" fontId="0" fillId="0" borderId="0" xfId="56" applyNumberFormat="1">
      <alignment/>
      <protection/>
    </xf>
    <xf numFmtId="4" fontId="6" fillId="33" borderId="16" xfId="56" applyNumberFormat="1" applyFont="1" applyFill="1" applyBorder="1" applyAlignment="1">
      <alignment horizontal="right" vertical="top" wrapText="1"/>
      <protection/>
    </xf>
    <xf numFmtId="4" fontId="6" fillId="33" borderId="13" xfId="56" applyNumberFormat="1" applyFont="1" applyFill="1" applyBorder="1" applyAlignment="1">
      <alignment horizontal="right" vertical="top" wrapText="1"/>
      <protection/>
    </xf>
    <xf numFmtId="0" fontId="4" fillId="33" borderId="14" xfId="56" applyNumberFormat="1" applyFont="1" applyFill="1" applyBorder="1" applyAlignment="1">
      <alignment horizontal="right" vertical="top" wrapText="1"/>
      <protection/>
    </xf>
    <xf numFmtId="4" fontId="4" fillId="33" borderId="16" xfId="56" applyNumberFormat="1" applyFont="1" applyFill="1" applyBorder="1" applyAlignment="1">
      <alignment horizontal="right" vertical="top" wrapText="1"/>
      <protection/>
    </xf>
    <xf numFmtId="4" fontId="4" fillId="33" borderId="13" xfId="56" applyNumberFormat="1" applyFont="1" applyFill="1" applyBorder="1" applyAlignment="1">
      <alignment horizontal="right" vertical="top" wrapText="1"/>
      <protection/>
    </xf>
    <xf numFmtId="0" fontId="4" fillId="33" borderId="13" xfId="56" applyNumberFormat="1" applyFont="1" applyFill="1" applyBorder="1" applyAlignment="1">
      <alignment horizontal="left" vertical="top" wrapText="1"/>
      <protection/>
    </xf>
    <xf numFmtId="0" fontId="4" fillId="33" borderId="13" xfId="56" applyNumberFormat="1" applyFont="1" applyFill="1" applyBorder="1" applyAlignment="1">
      <alignment horizontal="center" vertical="top" wrapText="1"/>
      <protection/>
    </xf>
    <xf numFmtId="0" fontId="7" fillId="0" borderId="0" xfId="56" applyNumberFormat="1" applyFont="1">
      <alignment/>
      <protection/>
    </xf>
    <xf numFmtId="0" fontId="9" fillId="0" borderId="18" xfId="67" applyFont="1" applyBorder="1" applyAlignment="1">
      <alignment wrapText="1"/>
      <protection/>
    </xf>
    <xf numFmtId="49" fontId="9" fillId="0" borderId="18" xfId="67" applyNumberFormat="1" applyFont="1" applyBorder="1" applyAlignment="1">
      <alignment horizontal="center"/>
      <protection/>
    </xf>
    <xf numFmtId="0" fontId="5" fillId="33" borderId="15" xfId="56" applyNumberFormat="1" applyFont="1" applyFill="1" applyBorder="1" applyAlignment="1">
      <alignment horizontal="center" vertical="top" wrapText="1"/>
      <protection/>
    </xf>
    <xf numFmtId="0" fontId="5" fillId="33" borderId="12" xfId="56" applyNumberFormat="1" applyFont="1" applyFill="1" applyBorder="1" applyAlignment="1">
      <alignment horizontal="center" vertical="top" wrapText="1"/>
      <protection/>
    </xf>
    <xf numFmtId="0" fontId="4" fillId="33" borderId="10" xfId="56" applyNumberFormat="1" applyFont="1" applyFill="1" applyBorder="1" applyAlignment="1">
      <alignment horizontal="center" vertical="center" wrapText="1"/>
      <protection/>
    </xf>
    <xf numFmtId="0" fontId="4" fillId="33" borderId="11" xfId="56" applyNumberFormat="1" applyFont="1" applyFill="1" applyBorder="1" applyAlignment="1">
      <alignment horizontal="center" vertical="center" wrapText="1"/>
      <protection/>
    </xf>
    <xf numFmtId="4" fontId="4" fillId="33" borderId="17" xfId="56" applyNumberFormat="1" applyFont="1" applyFill="1" applyBorder="1" applyAlignment="1">
      <alignment horizontal="right" vertical="top" wrapText="1"/>
      <protection/>
    </xf>
    <xf numFmtId="4" fontId="4" fillId="33" borderId="14" xfId="56" applyNumberFormat="1" applyFont="1" applyFill="1" applyBorder="1" applyAlignment="1">
      <alignment horizontal="right" vertical="top" wrapText="1"/>
      <protection/>
    </xf>
    <xf numFmtId="0" fontId="7" fillId="0" borderId="0" xfId="56" applyNumberFormat="1" applyFont="1" applyBorder="1" applyAlignment="1">
      <alignment horizontal="center" wrapText="1"/>
      <protection/>
    </xf>
    <xf numFmtId="0" fontId="7" fillId="0" borderId="0" xfId="56" applyFont="1" applyBorder="1" applyAlignment="1">
      <alignment horizontal="center" wrapText="1"/>
      <protection/>
    </xf>
    <xf numFmtId="0" fontId="10" fillId="33" borderId="18" xfId="56" applyNumberFormat="1" applyFont="1" applyFill="1" applyBorder="1" applyAlignment="1">
      <alignment horizontal="center" vertical="center" wrapText="1"/>
      <protection/>
    </xf>
    <xf numFmtId="0" fontId="10" fillId="33" borderId="18" xfId="56" applyNumberFormat="1" applyFont="1" applyFill="1" applyBorder="1" applyAlignment="1">
      <alignment horizontal="center" vertical="top" wrapText="1"/>
      <protection/>
    </xf>
    <xf numFmtId="4" fontId="11" fillId="33" borderId="18" xfId="56" applyNumberFormat="1" applyFont="1" applyFill="1" applyBorder="1" applyAlignment="1">
      <alignment horizontal="right" vertical="top" wrapText="1"/>
      <protection/>
    </xf>
    <xf numFmtId="0" fontId="10" fillId="33" borderId="18" xfId="56" applyNumberFormat="1" applyFont="1" applyFill="1" applyBorder="1" applyAlignment="1">
      <alignment horizontal="left" vertical="top" wrapText="1"/>
      <protection/>
    </xf>
    <xf numFmtId="4" fontId="10" fillId="33" borderId="18" xfId="56" applyNumberFormat="1" applyFont="1" applyFill="1" applyBorder="1" applyAlignment="1">
      <alignment horizontal="right" vertical="top" wrapText="1"/>
      <protection/>
    </xf>
    <xf numFmtId="0" fontId="10" fillId="33" borderId="18" xfId="56" applyNumberFormat="1" applyFont="1" applyFill="1" applyBorder="1" applyAlignment="1">
      <alignment horizontal="right" vertical="top" wrapText="1"/>
      <protection/>
    </xf>
    <xf numFmtId="0" fontId="11" fillId="33" borderId="18" xfId="56" applyNumberFormat="1" applyFont="1" applyFill="1" applyBorder="1" applyAlignment="1">
      <alignment horizontal="center" vertical="center" wrapText="1"/>
      <protection/>
    </xf>
    <xf numFmtId="0" fontId="4" fillId="33" borderId="0" xfId="0" applyNumberFormat="1" applyFont="1" applyFill="1" applyAlignment="1">
      <alignment horizontal="left" vertical="top" wrapText="1"/>
    </xf>
    <xf numFmtId="0" fontId="12" fillId="0" borderId="0" xfId="0" applyFont="1" applyAlignment="1">
      <alignment/>
    </xf>
    <xf numFmtId="0" fontId="11" fillId="33" borderId="18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top" wrapText="1"/>
    </xf>
    <xf numFmtId="0" fontId="10" fillId="33" borderId="18" xfId="0" applyNumberFormat="1" applyFont="1" applyFill="1" applyBorder="1" applyAlignment="1">
      <alignment horizontal="left" vertical="top" wrapText="1"/>
    </xf>
    <xf numFmtId="4" fontId="10" fillId="33" borderId="18" xfId="0" applyNumberFormat="1" applyFont="1" applyFill="1" applyBorder="1" applyAlignment="1">
      <alignment horizontal="right" vertical="top" wrapText="1"/>
    </xf>
    <xf numFmtId="0" fontId="12" fillId="0" borderId="0" xfId="65" applyFont="1" applyFill="1">
      <alignment/>
      <protection/>
    </xf>
    <xf numFmtId="0" fontId="12" fillId="0" borderId="0" xfId="65" applyFont="1" applyFill="1" applyBorder="1">
      <alignment/>
      <protection/>
    </xf>
    <xf numFmtId="164" fontId="12" fillId="0" borderId="19" xfId="65" applyNumberFormat="1" applyFont="1" applyFill="1" applyBorder="1">
      <alignment/>
      <protection/>
    </xf>
    <xf numFmtId="0" fontId="12" fillId="0" borderId="19" xfId="65" applyFont="1" applyFill="1" applyBorder="1">
      <alignment/>
      <protection/>
    </xf>
    <xf numFmtId="0" fontId="12" fillId="0" borderId="19" xfId="65" applyFont="1" applyFill="1" applyBorder="1" applyAlignment="1">
      <alignment horizontal="right" vertical="center"/>
      <protection/>
    </xf>
    <xf numFmtId="0" fontId="12" fillId="0" borderId="20" xfId="65" applyFont="1" applyFill="1" applyBorder="1">
      <alignment/>
      <protection/>
    </xf>
    <xf numFmtId="43" fontId="12" fillId="0" borderId="21" xfId="65" applyNumberFormat="1" applyFont="1" applyFill="1" applyBorder="1" applyAlignment="1">
      <alignment horizontal="center"/>
      <protection/>
    </xf>
    <xf numFmtId="43" fontId="12" fillId="0" borderId="20" xfId="86" applyNumberFormat="1" applyFont="1" applyFill="1" applyBorder="1" applyAlignment="1">
      <alignment horizontal="center"/>
    </xf>
    <xf numFmtId="43" fontId="12" fillId="0" borderId="21" xfId="86" applyNumberFormat="1" applyFont="1" applyFill="1" applyBorder="1" applyAlignment="1" applyProtection="1">
      <alignment horizontal="center" wrapText="1"/>
      <protection locked="0"/>
    </xf>
    <xf numFmtId="43" fontId="9" fillId="0" borderId="21" xfId="64" applyNumberFormat="1" applyFont="1" applyBorder="1" applyAlignment="1">
      <alignment horizontal="center"/>
      <protection/>
    </xf>
    <xf numFmtId="43" fontId="12" fillId="0" borderId="18" xfId="86" applyNumberFormat="1" applyFont="1" applyFill="1" applyBorder="1" applyAlignment="1">
      <alignment horizontal="center"/>
    </xf>
    <xf numFmtId="0" fontId="12" fillId="6" borderId="20" xfId="65" applyFont="1" applyFill="1" applyBorder="1">
      <alignment/>
      <protection/>
    </xf>
    <xf numFmtId="0" fontId="12" fillId="6" borderId="0" xfId="65" applyFont="1" applyFill="1" applyBorder="1">
      <alignment/>
      <protection/>
    </xf>
    <xf numFmtId="43" fontId="12" fillId="6" borderId="21" xfId="65" applyNumberFormat="1" applyFont="1" applyFill="1" applyBorder="1" applyAlignment="1">
      <alignment horizontal="center"/>
      <protection/>
    </xf>
    <xf numFmtId="43" fontId="12" fillId="6" borderId="20" xfId="86" applyNumberFormat="1" applyFont="1" applyFill="1" applyBorder="1" applyAlignment="1">
      <alignment horizontal="center"/>
    </xf>
    <xf numFmtId="43" fontId="12" fillId="6" borderId="21" xfId="86" applyNumberFormat="1" applyFont="1" applyFill="1" applyBorder="1" applyAlignment="1" applyProtection="1">
      <alignment horizontal="center" wrapText="1"/>
      <protection locked="0"/>
    </xf>
    <xf numFmtId="43" fontId="12" fillId="6" borderId="21" xfId="64" applyNumberFormat="1" applyFont="1" applyFill="1" applyBorder="1" applyAlignment="1">
      <alignment horizontal="center"/>
      <protection/>
    </xf>
    <xf numFmtId="43" fontId="12" fillId="6" borderId="18" xfId="86" applyNumberFormat="1" applyFont="1" applyFill="1" applyBorder="1" applyAlignment="1">
      <alignment horizontal="center"/>
    </xf>
    <xf numFmtId="0" fontId="13" fillId="0" borderId="20" xfId="65" applyFont="1" applyFill="1" applyBorder="1">
      <alignment/>
      <protection/>
    </xf>
    <xf numFmtId="0" fontId="13" fillId="0" borderId="0" xfId="65" applyFont="1" applyFill="1" applyBorder="1">
      <alignment/>
      <protection/>
    </xf>
    <xf numFmtId="43" fontId="13" fillId="0" borderId="21" xfId="86" applyNumberFormat="1" applyFont="1" applyFill="1" applyBorder="1" applyAlignment="1" applyProtection="1">
      <alignment horizontal="center" wrapText="1"/>
      <protection locked="0"/>
    </xf>
    <xf numFmtId="43" fontId="13" fillId="0" borderId="21" xfId="64" applyNumberFormat="1" applyFont="1" applyBorder="1" applyAlignment="1">
      <alignment horizontal="center"/>
      <protection/>
    </xf>
    <xf numFmtId="43" fontId="9" fillId="6" borderId="22" xfId="86" applyNumberFormat="1" applyFont="1" applyFill="1" applyBorder="1" applyAlignment="1" applyProtection="1">
      <alignment wrapText="1"/>
      <protection locked="0"/>
    </xf>
    <xf numFmtId="43" fontId="9" fillId="6" borderId="22" xfId="64" applyNumberFormat="1" applyFont="1" applyFill="1" applyBorder="1" applyAlignment="1">
      <alignment horizontal="right"/>
      <protection/>
    </xf>
    <xf numFmtId="43" fontId="12" fillId="0" borderId="23" xfId="65" applyNumberFormat="1" applyFont="1" applyFill="1" applyBorder="1" applyAlignment="1">
      <alignment/>
      <protection/>
    </xf>
    <xf numFmtId="43" fontId="12" fillId="0" borderId="20" xfId="86" applyNumberFormat="1" applyFont="1" applyFill="1" applyBorder="1" applyAlignment="1">
      <alignment/>
    </xf>
    <xf numFmtId="43" fontId="12" fillId="0" borderId="20" xfId="86" applyNumberFormat="1" applyFont="1" applyFill="1" applyBorder="1" applyAlignment="1" applyProtection="1">
      <alignment wrapText="1"/>
      <protection locked="0"/>
    </xf>
    <xf numFmtId="0" fontId="12" fillId="0" borderId="0" xfId="64" applyFont="1">
      <alignment/>
      <protection/>
    </xf>
    <xf numFmtId="1" fontId="12" fillId="0" borderId="0" xfId="64" applyNumberFormat="1" applyFont="1">
      <alignment/>
      <protection/>
    </xf>
    <xf numFmtId="43" fontId="12" fillId="0" borderId="18" xfId="64" applyNumberFormat="1" applyFont="1" applyBorder="1">
      <alignment/>
      <protection/>
    </xf>
    <xf numFmtId="43" fontId="12" fillId="33" borderId="24" xfId="64" applyNumberFormat="1" applyFont="1" applyFill="1" applyBorder="1" applyAlignment="1">
      <alignment horizontal="center"/>
      <protection/>
    </xf>
    <xf numFmtId="43" fontId="10" fillId="33" borderId="24" xfId="64" applyNumberFormat="1" applyFont="1" applyFill="1" applyBorder="1" applyAlignment="1">
      <alignment horizontal="center"/>
      <protection/>
    </xf>
    <xf numFmtId="43" fontId="12" fillId="0" borderId="24" xfId="64" applyNumberFormat="1" applyFont="1" applyBorder="1" applyAlignment="1">
      <alignment horizontal="center"/>
      <protection/>
    </xf>
    <xf numFmtId="0" fontId="12" fillId="0" borderId="25" xfId="65" applyFont="1" applyFill="1" applyBorder="1">
      <alignment/>
      <protection/>
    </xf>
    <xf numFmtId="43" fontId="9" fillId="34" borderId="22" xfId="65" applyNumberFormat="1" applyFont="1" applyFill="1" applyBorder="1" applyAlignment="1">
      <alignment horizontal="center" vertical="center" wrapText="1"/>
      <protection/>
    </xf>
    <xf numFmtId="43" fontId="12" fillId="0" borderId="25" xfId="64" applyNumberFormat="1" applyFont="1" applyFill="1" applyBorder="1">
      <alignment/>
      <protection/>
    </xf>
    <xf numFmtId="43" fontId="12" fillId="0" borderId="25" xfId="64" applyNumberFormat="1" applyFont="1" applyFill="1" applyBorder="1" applyAlignment="1">
      <alignment horizontal="center"/>
      <protection/>
    </xf>
    <xf numFmtId="0" fontId="9" fillId="6" borderId="0" xfId="64" applyFont="1" applyFill="1" applyAlignment="1">
      <alignment vertical="center"/>
      <protection/>
    </xf>
    <xf numFmtId="43" fontId="9" fillId="6" borderId="22" xfId="64" applyNumberFormat="1" applyFont="1" applyFill="1" applyBorder="1" applyAlignment="1">
      <alignment horizontal="center" vertical="center"/>
      <protection/>
    </xf>
    <xf numFmtId="43" fontId="12" fillId="0" borderId="21" xfId="64" applyNumberFormat="1" applyFont="1" applyBorder="1">
      <alignment/>
      <protection/>
    </xf>
    <xf numFmtId="43" fontId="12" fillId="33" borderId="21" xfId="64" applyNumberFormat="1" applyFont="1" applyFill="1" applyBorder="1" applyAlignment="1">
      <alignment horizontal="center"/>
      <protection/>
    </xf>
    <xf numFmtId="43" fontId="12" fillId="0" borderId="21" xfId="64" applyNumberFormat="1" applyFont="1" applyBorder="1" applyAlignment="1">
      <alignment horizontal="center"/>
      <protection/>
    </xf>
    <xf numFmtId="0" fontId="12" fillId="34" borderId="20" xfId="65" applyFont="1" applyFill="1" applyBorder="1">
      <alignment/>
      <protection/>
    </xf>
    <xf numFmtId="0" fontId="12" fillId="34" borderId="0" xfId="65" applyFont="1" applyFill="1" applyBorder="1">
      <alignment/>
      <protection/>
    </xf>
    <xf numFmtId="43" fontId="9" fillId="34" borderId="22" xfId="86" applyNumberFormat="1" applyFont="1" applyFill="1" applyBorder="1" applyAlignment="1" applyProtection="1">
      <alignment vertical="center" wrapText="1"/>
      <protection locked="0"/>
    </xf>
    <xf numFmtId="0" fontId="14" fillId="0" borderId="0" xfId="64" applyFont="1">
      <alignment/>
      <protection/>
    </xf>
    <xf numFmtId="0" fontId="12" fillId="0" borderId="26" xfId="64" applyFont="1" applyBorder="1">
      <alignment/>
      <protection/>
    </xf>
    <xf numFmtId="0" fontId="12" fillId="0" borderId="27" xfId="64" applyFont="1" applyBorder="1" applyAlignment="1">
      <alignment horizontal="center"/>
      <protection/>
    </xf>
    <xf numFmtId="0" fontId="12" fillId="0" borderId="28" xfId="64" applyFont="1" applyBorder="1" applyAlignment="1">
      <alignment horizontal="center"/>
      <protection/>
    </xf>
    <xf numFmtId="0" fontId="12" fillId="0" borderId="29" xfId="64" applyFont="1" applyBorder="1" applyAlignment="1">
      <alignment horizontal="center"/>
      <protection/>
    </xf>
    <xf numFmtId="0" fontId="12" fillId="0" borderId="30" xfId="65" applyFont="1" applyFill="1" applyBorder="1">
      <alignment/>
      <protection/>
    </xf>
    <xf numFmtId="0" fontId="9" fillId="0" borderId="0" xfId="65" applyFont="1" applyFill="1" applyBorder="1" applyAlignment="1">
      <alignment/>
      <protection/>
    </xf>
    <xf numFmtId="0" fontId="9" fillId="0" borderId="0" xfId="65" applyFont="1" applyFill="1" applyBorder="1" applyAlignment="1">
      <alignment horizontal="right" vertical="center"/>
      <protection/>
    </xf>
    <xf numFmtId="0" fontId="9" fillId="0" borderId="0" xfId="64" applyFont="1" applyFill="1" applyBorder="1" applyAlignment="1">
      <alignment horizontal="center" vertical="top"/>
      <protection/>
    </xf>
    <xf numFmtId="0" fontId="9" fillId="0" borderId="0" xfId="64" applyFont="1" applyFill="1" applyBorder="1" applyAlignment="1">
      <alignment horizontal="center" vertical="top" wrapText="1"/>
      <protection/>
    </xf>
    <xf numFmtId="0" fontId="12" fillId="0" borderId="0" xfId="59" applyFont="1" applyAlignment="1">
      <alignment horizontal="center" wrapText="1"/>
      <protection/>
    </xf>
    <xf numFmtId="0" fontId="9" fillId="0" borderId="0" xfId="64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0" fontId="12" fillId="0" borderId="0" xfId="65" applyFont="1" applyFill="1" applyBorder="1" applyAlignment="1">
      <alignment/>
      <protection/>
    </xf>
    <xf numFmtId="164" fontId="12" fillId="0" borderId="0" xfId="65" applyNumberFormat="1" applyFont="1" applyFill="1" applyBorder="1">
      <alignment/>
      <protection/>
    </xf>
    <xf numFmtId="167" fontId="12" fillId="6" borderId="21" xfId="86" applyNumberFormat="1" applyFont="1" applyFill="1" applyBorder="1" applyAlignment="1" applyProtection="1">
      <alignment horizontal="center" wrapText="1"/>
      <protection locked="0"/>
    </xf>
    <xf numFmtId="43" fontId="12" fillId="0" borderId="0" xfId="65" applyNumberFormat="1" applyFont="1" applyFill="1">
      <alignment/>
      <protection/>
    </xf>
    <xf numFmtId="0" fontId="15" fillId="0" borderId="0" xfId="68" applyFont="1" applyAlignment="1">
      <alignment horizontal="center"/>
      <protection/>
    </xf>
    <xf numFmtId="0" fontId="8" fillId="0" borderId="0" xfId="68" applyFont="1" applyAlignment="1">
      <alignment horizontal="left" wrapText="1"/>
      <protection/>
    </xf>
    <xf numFmtId="0" fontId="0" fillId="0" borderId="0" xfId="54">
      <alignment/>
      <protection/>
    </xf>
    <xf numFmtId="0" fontId="0" fillId="0" borderId="0" xfId="54" applyAlignment="1">
      <alignment wrapText="1"/>
      <protection/>
    </xf>
    <xf numFmtId="0" fontId="8" fillId="0" borderId="0" xfId="68" applyFont="1">
      <alignment/>
      <protection/>
    </xf>
    <xf numFmtId="0" fontId="8" fillId="0" borderId="0" xfId="68" applyAlignment="1">
      <alignment/>
      <protection/>
    </xf>
    <xf numFmtId="0" fontId="18" fillId="0" borderId="0" xfId="68" applyFont="1" applyBorder="1" applyAlignment="1">
      <alignment vertical="top" wrapText="1"/>
      <protection/>
    </xf>
    <xf numFmtId="0" fontId="0" fillId="0" borderId="0" xfId="54" applyFont="1">
      <alignment/>
      <protection/>
    </xf>
    <xf numFmtId="3" fontId="20" fillId="33" borderId="18" xfId="68" applyNumberFormat="1" applyFont="1" applyFill="1" applyBorder="1" applyAlignment="1">
      <alignment horizontal="center" vertical="center" wrapText="1"/>
      <protection/>
    </xf>
    <xf numFmtId="0" fontId="15" fillId="0" borderId="18" xfId="68" applyFont="1" applyBorder="1" applyAlignment="1">
      <alignment horizontal="center" vertical="center" wrapText="1"/>
      <protection/>
    </xf>
    <xf numFmtId="0" fontId="20" fillId="0" borderId="18" xfId="68" applyFont="1" applyBorder="1" applyAlignment="1">
      <alignment horizontal="center" vertical="center" wrapText="1"/>
      <protection/>
    </xf>
    <xf numFmtId="4" fontId="20" fillId="33" borderId="18" xfId="68" applyNumberFormat="1" applyFont="1" applyFill="1" applyBorder="1" applyAlignment="1">
      <alignment horizontal="center" vertical="center" wrapText="1"/>
      <protection/>
    </xf>
    <xf numFmtId="4" fontId="20" fillId="0" borderId="18" xfId="68" applyNumberFormat="1" applyFont="1" applyBorder="1" applyAlignment="1">
      <alignment horizontal="center" vertical="center" wrapText="1"/>
      <protection/>
    </xf>
    <xf numFmtId="0" fontId="17" fillId="0" borderId="18" xfId="68" applyFont="1" applyBorder="1" applyAlignment="1">
      <alignment horizontal="center" vertical="center" wrapText="1"/>
      <protection/>
    </xf>
    <xf numFmtId="2" fontId="20" fillId="0" borderId="18" xfId="68" applyNumberFormat="1" applyFont="1" applyFill="1" applyBorder="1" applyAlignment="1">
      <alignment horizontal="right" vertical="center" wrapText="1"/>
      <protection/>
    </xf>
    <xf numFmtId="2" fontId="20" fillId="35" borderId="18" xfId="68" applyNumberFormat="1" applyFont="1" applyFill="1" applyBorder="1" applyAlignment="1">
      <alignment horizontal="right" vertical="center" wrapText="1"/>
      <protection/>
    </xf>
    <xf numFmtId="49" fontId="17" fillId="0" borderId="18" xfId="68" applyNumberFormat="1" applyFont="1" applyFill="1" applyBorder="1" applyAlignment="1">
      <alignment horizontal="center" vertical="center" wrapText="1"/>
      <protection/>
    </xf>
    <xf numFmtId="0" fontId="21" fillId="0" borderId="18" xfId="68" applyFont="1" applyFill="1" applyBorder="1" applyAlignment="1">
      <alignment horizontal="left" vertical="center" wrapText="1"/>
      <protection/>
    </xf>
    <xf numFmtId="2" fontId="22" fillId="0" borderId="18" xfId="54" applyNumberFormat="1" applyFont="1" applyFill="1" applyBorder="1" applyAlignment="1">
      <alignment horizontal="right" wrapText="1"/>
      <protection/>
    </xf>
    <xf numFmtId="2" fontId="23" fillId="0" borderId="18" xfId="54" applyNumberFormat="1" applyFont="1" applyFill="1" applyBorder="1" applyAlignment="1">
      <alignment horizontal="right" wrapText="1"/>
      <protection/>
    </xf>
    <xf numFmtId="2" fontId="0" fillId="0" borderId="31" xfId="54" applyNumberFormat="1" applyFont="1" applyFill="1" applyBorder="1">
      <alignment/>
      <protection/>
    </xf>
    <xf numFmtId="2" fontId="0" fillId="0" borderId="18" xfId="54" applyNumberFormat="1" applyFont="1" applyFill="1" applyBorder="1">
      <alignment/>
      <protection/>
    </xf>
    <xf numFmtId="0" fontId="0" fillId="0" borderId="0" xfId="54" applyFont="1" applyFill="1">
      <alignment/>
      <protection/>
    </xf>
    <xf numFmtId="0" fontId="17" fillId="0" borderId="18" xfId="68" applyFont="1" applyFill="1" applyBorder="1" applyAlignment="1">
      <alignment horizontal="center"/>
      <protection/>
    </xf>
    <xf numFmtId="0" fontId="15" fillId="0" borderId="18" xfId="69" applyFont="1" applyFill="1" applyBorder="1" applyAlignment="1">
      <alignment horizontal="center" wrapText="1"/>
      <protection/>
    </xf>
    <xf numFmtId="2" fontId="15" fillId="0" borderId="18" xfId="68" applyNumberFormat="1" applyFont="1" applyFill="1" applyBorder="1" applyAlignment="1">
      <alignment horizontal="right" vertical="center"/>
      <protection/>
    </xf>
    <xf numFmtId="2" fontId="15" fillId="0" borderId="18" xfId="68" applyNumberFormat="1" applyFont="1" applyFill="1" applyBorder="1" applyAlignment="1">
      <alignment horizontal="right"/>
      <protection/>
    </xf>
    <xf numFmtId="0" fontId="0" fillId="0" borderId="0" xfId="54" applyFill="1">
      <alignment/>
      <protection/>
    </xf>
    <xf numFmtId="49" fontId="17" fillId="0" borderId="18" xfId="68" applyNumberFormat="1" applyFont="1" applyBorder="1" applyAlignment="1">
      <alignment horizontal="center"/>
      <protection/>
    </xf>
    <xf numFmtId="0" fontId="24" fillId="0" borderId="18" xfId="54" applyFont="1" applyBorder="1" applyAlignment="1">
      <alignment vertical="top" wrapText="1"/>
      <protection/>
    </xf>
    <xf numFmtId="2" fontId="9" fillId="0" borderId="18" xfId="54" applyNumberFormat="1" applyFont="1" applyBorder="1" applyAlignment="1">
      <alignment horizontal="right" wrapText="1"/>
      <protection/>
    </xf>
    <xf numFmtId="2" fontId="24" fillId="0" borderId="18" xfId="54" applyNumberFormat="1" applyFont="1" applyBorder="1" applyAlignment="1">
      <alignment horizontal="right" wrapText="1"/>
      <protection/>
    </xf>
    <xf numFmtId="2" fontId="24" fillId="0" borderId="32" xfId="54" applyNumberFormat="1" applyFont="1" applyBorder="1" applyAlignment="1">
      <alignment horizontal="center" wrapText="1"/>
      <protection/>
    </xf>
    <xf numFmtId="2" fontId="0" fillId="0" borderId="18" xfId="54" applyNumberFormat="1" applyBorder="1">
      <alignment/>
      <protection/>
    </xf>
    <xf numFmtId="0" fontId="23" fillId="0" borderId="18" xfId="54" applyFont="1" applyBorder="1" applyAlignment="1">
      <alignment vertical="top" wrapText="1"/>
      <protection/>
    </xf>
    <xf numFmtId="2" fontId="25" fillId="0" borderId="18" xfId="68" applyNumberFormat="1" applyFont="1" applyFill="1" applyBorder="1" applyAlignment="1">
      <alignment horizontal="right"/>
      <protection/>
    </xf>
    <xf numFmtId="2" fontId="15" fillId="0" borderId="31" xfId="68" applyNumberFormat="1" applyFont="1" applyFill="1" applyBorder="1">
      <alignment/>
      <protection/>
    </xf>
    <xf numFmtId="2" fontId="0" fillId="0" borderId="18" xfId="54" applyNumberFormat="1" applyFill="1" applyBorder="1">
      <alignment/>
      <protection/>
    </xf>
    <xf numFmtId="49" fontId="17" fillId="0" borderId="18" xfId="68" applyNumberFormat="1" applyFont="1" applyFill="1" applyBorder="1" applyAlignment="1">
      <alignment horizontal="center"/>
      <protection/>
    </xf>
    <xf numFmtId="0" fontId="24" fillId="0" borderId="18" xfId="54" applyFont="1" applyBorder="1" applyAlignment="1">
      <alignment wrapText="1"/>
      <protection/>
    </xf>
    <xf numFmtId="2" fontId="9" fillId="0" borderId="18" xfId="54" applyNumberFormat="1" applyFont="1" applyFill="1" applyBorder="1" applyAlignment="1">
      <alignment horizontal="right" wrapText="1"/>
      <protection/>
    </xf>
    <xf numFmtId="0" fontId="26" fillId="0" borderId="18" xfId="54" applyFont="1" applyBorder="1" applyAlignment="1">
      <alignment vertical="top" wrapText="1"/>
      <protection/>
    </xf>
    <xf numFmtId="2" fontId="12" fillId="0" borderId="18" xfId="54" applyNumberFormat="1" applyFont="1" applyFill="1" applyBorder="1" applyAlignment="1">
      <alignment horizontal="right" wrapText="1"/>
      <protection/>
    </xf>
    <xf numFmtId="0" fontId="26" fillId="0" borderId="18" xfId="54" applyFont="1" applyBorder="1" applyAlignment="1">
      <alignment horizontal="left" wrapText="1"/>
      <protection/>
    </xf>
    <xf numFmtId="2" fontId="8" fillId="0" borderId="31" xfId="68" applyNumberFormat="1" applyFont="1" applyFill="1" applyBorder="1">
      <alignment/>
      <protection/>
    </xf>
    <xf numFmtId="0" fontId="23" fillId="0" borderId="18" xfId="68" applyFont="1" applyFill="1" applyBorder="1" applyAlignment="1">
      <alignment horizontal="left" vertical="center" wrapText="1"/>
      <protection/>
    </xf>
    <xf numFmtId="0" fontId="23" fillId="0" borderId="18" xfId="54" applyFont="1" applyFill="1" applyBorder="1" applyAlignment="1">
      <alignment vertical="top" wrapText="1"/>
      <protection/>
    </xf>
    <xf numFmtId="0" fontId="26" fillId="0" borderId="18" xfId="54" applyFont="1" applyFill="1" applyBorder="1" applyAlignment="1">
      <alignment vertical="top" wrapText="1"/>
      <protection/>
    </xf>
    <xf numFmtId="2" fontId="15" fillId="0" borderId="0" xfId="68" applyNumberFormat="1" applyFont="1" applyFill="1" applyBorder="1">
      <alignment/>
      <protection/>
    </xf>
    <xf numFmtId="0" fontId="26" fillId="0" borderId="18" xfId="63" applyFont="1" applyBorder="1" applyAlignment="1">
      <alignment vertical="top" wrapText="1"/>
      <protection/>
    </xf>
    <xf numFmtId="0" fontId="23" fillId="0" borderId="18" xfId="63" applyFont="1" applyBorder="1" applyAlignment="1">
      <alignment vertical="top" wrapText="1"/>
      <protection/>
    </xf>
    <xf numFmtId="49" fontId="17" fillId="0" borderId="32" xfId="68" applyNumberFormat="1" applyFont="1" applyFill="1" applyBorder="1" applyAlignment="1">
      <alignment horizontal="center"/>
      <protection/>
    </xf>
    <xf numFmtId="0" fontId="23" fillId="0" borderId="33" xfId="54" applyFont="1" applyBorder="1" applyAlignment="1">
      <alignment vertical="top" wrapText="1"/>
      <protection/>
    </xf>
    <xf numFmtId="0" fontId="27" fillId="0" borderId="0" xfId="68" applyFont="1" applyBorder="1" applyAlignment="1">
      <alignment horizontal="left"/>
      <protection/>
    </xf>
    <xf numFmtId="0" fontId="15" fillId="0" borderId="0" xfId="68" applyFont="1" applyBorder="1" applyAlignment="1">
      <alignment horizontal="left"/>
      <protection/>
    </xf>
    <xf numFmtId="164" fontId="15" fillId="0" borderId="0" xfId="68" applyNumberFormat="1" applyFont="1" applyBorder="1">
      <alignment/>
      <protection/>
    </xf>
    <xf numFmtId="164" fontId="0" fillId="0" borderId="0" xfId="54" applyNumberFormat="1">
      <alignment/>
      <protection/>
    </xf>
    <xf numFmtId="171" fontId="0" fillId="0" borderId="0" xfId="54" applyNumberFormat="1">
      <alignment/>
      <protection/>
    </xf>
    <xf numFmtId="4" fontId="11" fillId="33" borderId="18" xfId="56" applyNumberFormat="1" applyFont="1" applyFill="1" applyBorder="1" applyAlignment="1">
      <alignment horizontal="right" vertical="center" wrapText="1"/>
      <protection/>
    </xf>
    <xf numFmtId="49" fontId="9" fillId="0" borderId="18" xfId="67" applyNumberFormat="1" applyFont="1" applyBorder="1" applyAlignment="1">
      <alignment horizontal="center" vertical="center"/>
      <protection/>
    </xf>
    <xf numFmtId="49" fontId="9" fillId="0" borderId="0" xfId="67" applyNumberFormat="1" applyFont="1" applyBorder="1" applyAlignment="1">
      <alignment horizontal="center"/>
      <protection/>
    </xf>
    <xf numFmtId="0" fontId="9" fillId="0" borderId="18" xfId="67" applyFont="1" applyBorder="1" applyAlignment="1">
      <alignment horizontal="center" vertical="center" wrapText="1"/>
      <protection/>
    </xf>
    <xf numFmtId="0" fontId="12" fillId="0" borderId="18" xfId="67" applyFont="1" applyBorder="1" applyAlignment="1">
      <alignment/>
      <protection/>
    </xf>
    <xf numFmtId="49" fontId="10" fillId="33" borderId="18" xfId="56" applyNumberFormat="1" applyFont="1" applyFill="1" applyBorder="1" applyAlignment="1">
      <alignment horizontal="center" vertical="top" wrapText="1"/>
      <protection/>
    </xf>
    <xf numFmtId="0" fontId="12" fillId="0" borderId="18" xfId="67" applyFont="1" applyBorder="1" applyAlignment="1">
      <alignment wrapText="1"/>
      <protection/>
    </xf>
    <xf numFmtId="0" fontId="0" fillId="0" borderId="18" xfId="56" applyNumberFormat="1" applyBorder="1">
      <alignment/>
      <protection/>
    </xf>
    <xf numFmtId="2" fontId="7" fillId="0" borderId="18" xfId="56" applyNumberFormat="1" applyFont="1" applyBorder="1">
      <alignment/>
      <protection/>
    </xf>
    <xf numFmtId="2" fontId="0" fillId="0" borderId="18" xfId="56" applyNumberFormat="1" applyFont="1" applyBorder="1">
      <alignment/>
      <protection/>
    </xf>
    <xf numFmtId="4" fontId="11" fillId="33" borderId="18" xfId="56" applyNumberFormat="1" applyFont="1" applyFill="1" applyBorder="1" applyAlignment="1">
      <alignment wrapText="1"/>
      <protection/>
    </xf>
    <xf numFmtId="0" fontId="10" fillId="33" borderId="18" xfId="56" applyNumberFormat="1" applyFont="1" applyFill="1" applyBorder="1" applyAlignment="1">
      <alignment wrapText="1"/>
      <protection/>
    </xf>
    <xf numFmtId="171" fontId="9" fillId="0" borderId="18" xfId="67" applyNumberFormat="1" applyFont="1" applyBorder="1" applyAlignment="1">
      <alignment horizontal="center" vertical="center" wrapText="1"/>
      <protection/>
    </xf>
    <xf numFmtId="171" fontId="9" fillId="0" borderId="18" xfId="55" applyNumberFormat="1" applyFont="1" applyBorder="1" applyAlignment="1">
      <alignment horizontal="center" vertical="center" wrapText="1"/>
      <protection/>
    </xf>
    <xf numFmtId="0" fontId="26" fillId="0" borderId="0" xfId="65" applyFont="1" applyFill="1" applyBorder="1">
      <alignment/>
      <protection/>
    </xf>
    <xf numFmtId="164" fontId="28" fillId="0" borderId="0" xfId="65" applyNumberFormat="1" applyFont="1" applyFill="1" applyBorder="1">
      <alignment/>
      <protection/>
    </xf>
    <xf numFmtId="0" fontId="28" fillId="0" borderId="0" xfId="65" applyFont="1" applyFill="1" applyBorder="1">
      <alignment/>
      <protection/>
    </xf>
    <xf numFmtId="49" fontId="29" fillId="0" borderId="0" xfId="57" applyNumberFormat="1" applyFont="1" applyAlignment="1">
      <alignment horizontal="right"/>
      <protection/>
    </xf>
    <xf numFmtId="0" fontId="78" fillId="0" borderId="0" xfId="57" applyFont="1">
      <alignment/>
      <protection/>
    </xf>
    <xf numFmtId="0" fontId="79" fillId="0" borderId="18" xfId="57" applyFont="1" applyBorder="1" applyAlignment="1">
      <alignment horizontal="center" vertical="center"/>
      <protection/>
    </xf>
    <xf numFmtId="0" fontId="78" fillId="0" borderId="18" xfId="57" applyFont="1" applyBorder="1" applyAlignment="1">
      <alignment horizontal="center" vertical="center"/>
      <protection/>
    </xf>
    <xf numFmtId="0" fontId="78" fillId="0" borderId="18" xfId="57" applyFont="1" applyBorder="1" applyAlignment="1">
      <alignment horizontal="center"/>
      <protection/>
    </xf>
    <xf numFmtId="0" fontId="79" fillId="0" borderId="18" xfId="57" applyFont="1" applyBorder="1" applyAlignment="1">
      <alignment horizontal="center"/>
      <protection/>
    </xf>
    <xf numFmtId="0" fontId="79" fillId="0" borderId="18" xfId="57" applyFont="1" applyBorder="1" applyAlignment="1">
      <alignment vertical="center" wrapText="1"/>
      <protection/>
    </xf>
    <xf numFmtId="0" fontId="79" fillId="0" borderId="18" xfId="57" applyFont="1" applyBorder="1" applyAlignment="1">
      <alignment horizontal="center" vertical="center" wrapText="1"/>
      <protection/>
    </xf>
    <xf numFmtId="2" fontId="79" fillId="0" borderId="18" xfId="57" applyNumberFormat="1" applyFont="1" applyBorder="1" applyAlignment="1">
      <alignment horizontal="center" vertical="center"/>
      <protection/>
    </xf>
    <xf numFmtId="0" fontId="79" fillId="0" borderId="0" xfId="57" applyFont="1" applyAlignment="1">
      <alignment vertical="center"/>
      <protection/>
    </xf>
    <xf numFmtId="0" fontId="79" fillId="0" borderId="18" xfId="57" applyFont="1" applyBorder="1" applyAlignment="1">
      <alignment vertical="center"/>
      <protection/>
    </xf>
    <xf numFmtId="0" fontId="79" fillId="0" borderId="0" xfId="57" applyFont="1">
      <alignment/>
      <protection/>
    </xf>
    <xf numFmtId="0" fontId="80" fillId="0" borderId="0" xfId="65" applyFont="1" applyFill="1" applyBorder="1">
      <alignment/>
      <protection/>
    </xf>
    <xf numFmtId="0" fontId="81" fillId="0" borderId="18" xfId="57" applyFont="1" applyBorder="1" applyAlignment="1">
      <alignment horizontal="center"/>
      <protection/>
    </xf>
    <xf numFmtId="0" fontId="82" fillId="0" borderId="18" xfId="57" applyFont="1" applyBorder="1" applyAlignment="1">
      <alignment horizontal="center" vertical="center" wrapText="1"/>
      <protection/>
    </xf>
    <xf numFmtId="0" fontId="81" fillId="0" borderId="0" xfId="57" applyFont="1">
      <alignment/>
      <protection/>
    </xf>
    <xf numFmtId="0" fontId="0" fillId="0" borderId="21" xfId="0" applyBorder="1" applyAlignment="1">
      <alignment horizontal="center" vertical="top" wrapText="1"/>
    </xf>
    <xf numFmtId="49" fontId="79" fillId="0" borderId="0" xfId="57" applyNumberFormat="1" applyFont="1" applyAlignment="1">
      <alignment horizontal="right"/>
      <protection/>
    </xf>
    <xf numFmtId="0" fontId="79" fillId="0" borderId="18" xfId="57" applyFont="1" applyBorder="1" applyAlignment="1">
      <alignment horizontal="left" wrapText="1"/>
      <protection/>
    </xf>
    <xf numFmtId="2" fontId="79" fillId="0" borderId="18" xfId="57" applyNumberFormat="1" applyFont="1" applyBorder="1" applyAlignment="1">
      <alignment horizontal="center"/>
      <protection/>
    </xf>
    <xf numFmtId="0" fontId="79" fillId="0" borderId="18" xfId="57" applyFont="1" applyBorder="1" applyAlignment="1">
      <alignment horizontal="left" vertical="center" wrapText="1"/>
      <protection/>
    </xf>
    <xf numFmtId="0" fontId="12" fillId="0" borderId="0" xfId="59" applyFont="1" applyAlignment="1">
      <alignment horizontal="center" vertical="top"/>
      <protection/>
    </xf>
    <xf numFmtId="0" fontId="12" fillId="0" borderId="26" xfId="64" applyFont="1" applyBorder="1" applyAlignment="1">
      <alignment horizontal="center"/>
      <protection/>
    </xf>
    <xf numFmtId="0" fontId="9" fillId="0" borderId="0" xfId="64" applyFont="1" applyBorder="1" applyAlignment="1">
      <alignment horizontal="center" wrapText="1"/>
      <protection/>
    </xf>
    <xf numFmtId="0" fontId="12" fillId="0" borderId="18" xfId="66" applyFont="1" applyBorder="1" applyAlignment="1">
      <alignment horizontal="center" vertical="center" wrapText="1"/>
      <protection/>
    </xf>
    <xf numFmtId="43" fontId="13" fillId="0" borderId="18" xfId="86" applyNumberFormat="1" applyFont="1" applyFill="1" applyBorder="1" applyAlignment="1">
      <alignment horizontal="center"/>
    </xf>
    <xf numFmtId="43" fontId="13" fillId="0" borderId="21" xfId="65" applyNumberFormat="1" applyFont="1" applyFill="1" applyBorder="1" applyAlignment="1">
      <alignment horizontal="center"/>
      <protection/>
    </xf>
    <xf numFmtId="164" fontId="9" fillId="0" borderId="30" xfId="65" applyNumberFormat="1" applyFont="1" applyFill="1" applyBorder="1" applyAlignment="1">
      <alignment/>
      <protection/>
    </xf>
    <xf numFmtId="0" fontId="12" fillId="0" borderId="34" xfId="64" applyFont="1" applyBorder="1" applyAlignment="1">
      <alignment horizontal="center" vertical="center"/>
      <protection/>
    </xf>
    <xf numFmtId="0" fontId="12" fillId="0" borderId="35" xfId="64" applyFont="1" applyBorder="1">
      <alignment/>
      <protection/>
    </xf>
    <xf numFmtId="0" fontId="9" fillId="34" borderId="36" xfId="65" applyFont="1" applyFill="1" applyBorder="1" applyAlignment="1">
      <alignment horizontal="justify" vertical="center" wrapText="1"/>
      <protection/>
    </xf>
    <xf numFmtId="0" fontId="12" fillId="0" borderId="37" xfId="66" applyFont="1" applyBorder="1" applyAlignment="1">
      <alignment wrapText="1"/>
      <protection/>
    </xf>
    <xf numFmtId="0" fontId="9" fillId="6" borderId="36" xfId="64" applyFont="1" applyFill="1" applyBorder="1" applyAlignment="1">
      <alignment horizontal="justify" vertical="center"/>
      <protection/>
    </xf>
    <xf numFmtId="0" fontId="12" fillId="0" borderId="28" xfId="64" applyFont="1" applyBorder="1" applyAlignment="1">
      <alignment horizontal="justify"/>
      <protection/>
    </xf>
    <xf numFmtId="0" fontId="12" fillId="0" borderId="38" xfId="64" applyFont="1" applyBorder="1" applyAlignment="1">
      <alignment horizontal="justify" wrapText="1"/>
      <protection/>
    </xf>
    <xf numFmtId="1" fontId="12" fillId="0" borderId="35" xfId="65" applyNumberFormat="1" applyFont="1" applyFill="1" applyBorder="1" applyAlignment="1" applyProtection="1">
      <alignment horizontal="justify" vertical="center" wrapText="1"/>
      <protection locked="0"/>
    </xf>
    <xf numFmtId="1" fontId="9" fillId="6" borderId="36" xfId="65" applyNumberFormat="1" applyFont="1" applyFill="1" applyBorder="1" applyAlignment="1" applyProtection="1">
      <alignment horizontal="justify" vertical="center" wrapText="1"/>
      <protection locked="0"/>
    </xf>
    <xf numFmtId="0" fontId="13" fillId="0" borderId="39" xfId="64" applyFont="1" applyBorder="1" applyAlignment="1">
      <alignment horizontal="justify" wrapText="1"/>
      <protection/>
    </xf>
    <xf numFmtId="0" fontId="12" fillId="6" borderId="39" xfId="64" applyFont="1" applyFill="1" applyBorder="1" applyAlignment="1">
      <alignment horizontal="justify" wrapText="1"/>
      <protection/>
    </xf>
    <xf numFmtId="49" fontId="13" fillId="0" borderId="33" xfId="82" applyNumberFormat="1" applyFont="1" applyFill="1" applyBorder="1" applyAlignment="1">
      <alignment horizontal="left" vertical="center" wrapText="1"/>
    </xf>
    <xf numFmtId="49" fontId="13" fillId="0" borderId="33" xfId="56" applyNumberFormat="1" applyFont="1" applyFill="1" applyBorder="1" applyAlignment="1">
      <alignment horizontal="left" wrapText="1" shrinkToFit="1"/>
      <protection/>
    </xf>
    <xf numFmtId="0" fontId="12" fillId="0" borderId="39" xfId="64" applyFont="1" applyBorder="1" applyAlignment="1">
      <alignment horizontal="justify" wrapText="1"/>
      <protection/>
    </xf>
    <xf numFmtId="49" fontId="14" fillId="0" borderId="18" xfId="64" applyNumberFormat="1" applyFont="1" applyBorder="1" applyAlignment="1">
      <alignment horizontal="right" vertical="center"/>
      <protection/>
    </xf>
    <xf numFmtId="49" fontId="9" fillId="34" borderId="18" xfId="65" applyNumberFormat="1" applyFont="1" applyFill="1" applyBorder="1" applyAlignment="1">
      <alignment horizontal="right" vertical="center"/>
      <protection/>
    </xf>
    <xf numFmtId="49" fontId="12" fillId="0" borderId="18" xfId="64" applyNumberFormat="1" applyFont="1" applyBorder="1" applyAlignment="1">
      <alignment horizontal="right" vertical="center"/>
      <protection/>
    </xf>
    <xf numFmtId="49" fontId="9" fillId="6" borderId="18" xfId="64" applyNumberFormat="1" applyFont="1" applyFill="1" applyBorder="1" applyAlignment="1">
      <alignment horizontal="right" vertical="center"/>
      <protection/>
    </xf>
    <xf numFmtId="49" fontId="12" fillId="0" borderId="18" xfId="65" applyNumberFormat="1" applyFont="1" applyFill="1" applyBorder="1" applyAlignment="1">
      <alignment horizontal="right" vertical="center"/>
      <protection/>
    </xf>
    <xf numFmtId="49" fontId="9" fillId="6" borderId="18" xfId="65" applyNumberFormat="1" applyFont="1" applyFill="1" applyBorder="1" applyAlignment="1">
      <alignment horizontal="right" vertical="center"/>
      <protection/>
    </xf>
    <xf numFmtId="49" fontId="13" fillId="0" borderId="18" xfId="65" applyNumberFormat="1" applyFont="1" applyFill="1" applyBorder="1" applyAlignment="1">
      <alignment horizontal="right" vertical="center"/>
      <protection/>
    </xf>
    <xf numFmtId="49" fontId="12" fillId="6" borderId="18" xfId="65" applyNumberFormat="1" applyFont="1" applyFill="1" applyBorder="1" applyAlignment="1">
      <alignment horizontal="right" vertical="center"/>
      <protection/>
    </xf>
    <xf numFmtId="0" fontId="26" fillId="0" borderId="0" xfId="53" applyFont="1">
      <alignment/>
      <protection/>
    </xf>
    <xf numFmtId="0" fontId="0" fillId="0" borderId="20" xfId="0" applyBorder="1" applyAlignment="1">
      <alignment horizontal="center" vertical="top" wrapText="1"/>
    </xf>
    <xf numFmtId="0" fontId="8" fillId="0" borderId="0" xfId="53" applyFill="1">
      <alignment/>
      <protection/>
    </xf>
    <xf numFmtId="0" fontId="8" fillId="0" borderId="0" xfId="53">
      <alignment/>
      <protection/>
    </xf>
    <xf numFmtId="49" fontId="26" fillId="0" borderId="0" xfId="53" applyNumberFormat="1" applyFont="1" applyAlignment="1">
      <alignment horizontal="right"/>
      <protection/>
    </xf>
    <xf numFmtId="49" fontId="24" fillId="0" borderId="32" xfId="53" applyNumberFormat="1" applyFont="1" applyBorder="1" applyAlignment="1">
      <alignment horizontal="right"/>
      <protection/>
    </xf>
    <xf numFmtId="0" fontId="24" fillId="0" borderId="18" xfId="53" applyFont="1" applyFill="1" applyBorder="1" applyAlignment="1">
      <alignment horizontal="center" wrapText="1"/>
      <protection/>
    </xf>
    <xf numFmtId="0" fontId="8" fillId="0" borderId="18" xfId="53" applyFill="1" applyBorder="1" applyAlignment="1">
      <alignment horizontal="center"/>
      <protection/>
    </xf>
    <xf numFmtId="0" fontId="24" fillId="0" borderId="18" xfId="53" applyFont="1" applyBorder="1" applyAlignment="1">
      <alignment vertical="top" wrapText="1"/>
      <protection/>
    </xf>
    <xf numFmtId="0" fontId="24" fillId="0" borderId="18" xfId="53" applyFont="1" applyFill="1" applyBorder="1" applyAlignment="1">
      <alignment horizontal="center" vertical="center" wrapText="1"/>
      <protection/>
    </xf>
    <xf numFmtId="49" fontId="26" fillId="0" borderId="18" xfId="53" applyNumberFormat="1" applyFont="1" applyBorder="1" applyAlignment="1">
      <alignment horizontal="right"/>
      <protection/>
    </xf>
    <xf numFmtId="43" fontId="26" fillId="0" borderId="18" xfId="53" applyNumberFormat="1" applyFont="1" applyBorder="1" applyAlignment="1">
      <alignment wrapText="1"/>
      <protection/>
    </xf>
    <xf numFmtId="0" fontId="26" fillId="36" borderId="18" xfId="58" applyFont="1" applyFill="1" applyBorder="1" applyAlignment="1">
      <alignment horizontal="justify" vertical="center" wrapText="1"/>
      <protection/>
    </xf>
    <xf numFmtId="0" fontId="26" fillId="0" borderId="18" xfId="53" applyFont="1" applyFill="1" applyBorder="1" applyAlignment="1">
      <alignment horizontal="justify" vertical="center" wrapText="1"/>
      <protection/>
    </xf>
    <xf numFmtId="0" fontId="26" fillId="0" borderId="18" xfId="58" applyFont="1" applyFill="1" applyBorder="1" applyAlignment="1">
      <alignment horizontal="justify" vertical="top" wrapText="1" shrinkToFit="1"/>
      <protection/>
    </xf>
    <xf numFmtId="0" fontId="24" fillId="0" borderId="18" xfId="53" applyFont="1" applyBorder="1" applyAlignment="1">
      <alignment vertical="top"/>
      <protection/>
    </xf>
    <xf numFmtId="49" fontId="24" fillId="0" borderId="18" xfId="53" applyNumberFormat="1" applyFont="1" applyBorder="1" applyAlignment="1">
      <alignment horizontal="right"/>
      <protection/>
    </xf>
    <xf numFmtId="43" fontId="24" fillId="0" borderId="18" xfId="53" applyNumberFormat="1" applyFont="1" applyBorder="1" applyAlignment="1">
      <alignment wrapText="1"/>
      <protection/>
    </xf>
    <xf numFmtId="0" fontId="24" fillId="0" borderId="18" xfId="53" applyFont="1" applyBorder="1" applyAlignment="1">
      <alignment horizontal="center" vertical="center"/>
      <protection/>
    </xf>
    <xf numFmtId="0" fontId="24" fillId="0" borderId="18" xfId="53" applyFont="1" applyBorder="1" applyAlignment="1">
      <alignment horizontal="center"/>
      <protection/>
    </xf>
    <xf numFmtId="43" fontId="24" fillId="0" borderId="18" xfId="53" applyNumberFormat="1" applyFont="1" applyBorder="1" applyAlignment="1">
      <alignment horizontal="center"/>
      <protection/>
    </xf>
    <xf numFmtId="0" fontId="31" fillId="0" borderId="0" xfId="53" applyFont="1">
      <alignment/>
      <protection/>
    </xf>
    <xf numFmtId="0" fontId="31" fillId="0" borderId="0" xfId="53" applyFont="1" applyAlignment="1">
      <alignment vertical="center"/>
      <protection/>
    </xf>
    <xf numFmtId="166" fontId="8" fillId="0" borderId="0" xfId="53" applyNumberFormat="1">
      <alignment/>
      <protection/>
    </xf>
    <xf numFmtId="2" fontId="79" fillId="0" borderId="18" xfId="57" applyNumberFormat="1" applyFont="1" applyBorder="1" applyAlignment="1">
      <alignment horizontal="center" vertical="center" wrapText="1"/>
      <protection/>
    </xf>
    <xf numFmtId="0" fontId="79" fillId="0" borderId="18" xfId="57" applyFont="1" applyFill="1" applyBorder="1" applyAlignment="1">
      <alignment vertical="center" wrapText="1"/>
      <protection/>
    </xf>
    <xf numFmtId="2" fontId="79" fillId="0" borderId="18" xfId="57" applyNumberFormat="1" applyFont="1" applyFill="1" applyBorder="1" applyAlignment="1">
      <alignment horizontal="center" vertical="center" wrapText="1"/>
      <protection/>
    </xf>
    <xf numFmtId="0" fontId="79" fillId="0" borderId="18" xfId="57" applyFont="1" applyFill="1" applyBorder="1" applyAlignment="1">
      <alignment horizontal="left" vertical="center" wrapText="1"/>
      <protection/>
    </xf>
    <xf numFmtId="2" fontId="79" fillId="0" borderId="18" xfId="57" applyNumberFormat="1" applyFont="1" applyFill="1" applyBorder="1" applyAlignment="1">
      <alignment horizontal="center" vertical="center"/>
      <protection/>
    </xf>
    <xf numFmtId="0" fontId="79" fillId="0" borderId="0" xfId="57" applyFont="1" applyFill="1" applyAlignment="1">
      <alignment vertical="center"/>
      <protection/>
    </xf>
    <xf numFmtId="0" fontId="82" fillId="0" borderId="0" xfId="57" applyFont="1" applyBorder="1" applyAlignment="1">
      <alignment vertical="center"/>
      <protection/>
    </xf>
    <xf numFmtId="2" fontId="79" fillId="0" borderId="0" xfId="57" applyNumberFormat="1" applyFont="1" applyBorder="1" applyAlignment="1">
      <alignment horizontal="center" vertical="center"/>
      <protection/>
    </xf>
    <xf numFmtId="0" fontId="33" fillId="0" borderId="18" xfId="57" applyFont="1" applyBorder="1" applyAlignment="1">
      <alignment horizontal="center" vertical="center" wrapText="1"/>
      <protection/>
    </xf>
    <xf numFmtId="0" fontId="12" fillId="0" borderId="0" xfId="59" applyFont="1" applyAlignment="1">
      <alignment vertical="top"/>
      <protection/>
    </xf>
    <xf numFmtId="0" fontId="26" fillId="0" borderId="0" xfId="65" applyFont="1" applyFill="1" applyBorder="1" applyAlignment="1">
      <alignment horizontal="left"/>
      <protection/>
    </xf>
    <xf numFmtId="43" fontId="9" fillId="6" borderId="22" xfId="64" applyNumberFormat="1" applyFont="1" applyFill="1" applyBorder="1" applyAlignment="1">
      <alignment horizontal="center"/>
      <protection/>
    </xf>
    <xf numFmtId="43" fontId="9" fillId="0" borderId="22" xfId="64" applyNumberFormat="1" applyFont="1" applyBorder="1" applyAlignment="1">
      <alignment horizontal="center"/>
      <protection/>
    </xf>
    <xf numFmtId="49" fontId="34" fillId="34" borderId="18" xfId="65" applyNumberFormat="1" applyFont="1" applyFill="1" applyBorder="1" applyAlignment="1">
      <alignment horizontal="right" vertical="center"/>
      <protection/>
    </xf>
    <xf numFmtId="1" fontId="34" fillId="34" borderId="34" xfId="65" applyNumberFormat="1" applyFont="1" applyFill="1" applyBorder="1" applyAlignment="1" applyProtection="1">
      <alignment horizontal="justify" vertical="center"/>
      <protection locked="0"/>
    </xf>
    <xf numFmtId="43" fontId="34" fillId="34" borderId="24" xfId="65" applyNumberFormat="1" applyFont="1" applyFill="1" applyBorder="1" applyAlignment="1" applyProtection="1">
      <alignment horizontal="center" vertical="center"/>
      <protection locked="0"/>
    </xf>
    <xf numFmtId="0" fontId="34" fillId="0" borderId="0" xfId="65" applyFont="1" applyFill="1" applyBorder="1">
      <alignment/>
      <protection/>
    </xf>
    <xf numFmtId="0" fontId="34" fillId="0" borderId="20" xfId="65" applyFont="1" applyFill="1" applyBorder="1">
      <alignment/>
      <protection/>
    </xf>
    <xf numFmtId="0" fontId="16" fillId="0" borderId="0" xfId="68" applyFont="1" applyAlignment="1">
      <alignment horizontal="left" wrapText="1"/>
      <protection/>
    </xf>
    <xf numFmtId="0" fontId="16" fillId="0" borderId="0" xfId="54" applyFont="1" applyAlignment="1">
      <alignment wrapText="1"/>
      <protection/>
    </xf>
    <xf numFmtId="0" fontId="15" fillId="0" borderId="0" xfId="68" applyFont="1" applyAlignment="1">
      <alignment horizontal="center" wrapText="1"/>
      <protection/>
    </xf>
    <xf numFmtId="2" fontId="7" fillId="0" borderId="18" xfId="54" applyNumberFormat="1" applyFont="1" applyBorder="1">
      <alignment/>
      <protection/>
    </xf>
    <xf numFmtId="170" fontId="22" fillId="35" borderId="18" xfId="83" applyFont="1" applyFill="1" applyBorder="1" applyAlignment="1">
      <alignment horizontal="center" wrapText="1"/>
    </xf>
    <xf numFmtId="170" fontId="23" fillId="0" borderId="18" xfId="83" applyFont="1" applyFill="1" applyBorder="1" applyAlignment="1">
      <alignment horizontal="center" wrapText="1"/>
    </xf>
    <xf numFmtId="2" fontId="0" fillId="0" borderId="18" xfId="54" applyNumberFormat="1" applyFont="1" applyBorder="1" applyAlignment="1">
      <alignment/>
      <protection/>
    </xf>
    <xf numFmtId="170" fontId="15" fillId="35" borderId="18" xfId="83" applyFont="1" applyFill="1" applyBorder="1" applyAlignment="1">
      <alignment horizontal="center"/>
    </xf>
    <xf numFmtId="170" fontId="15" fillId="0" borderId="18" xfId="83" applyFont="1" applyFill="1" applyBorder="1" applyAlignment="1">
      <alignment horizontal="center"/>
    </xf>
    <xf numFmtId="2" fontId="7" fillId="0" borderId="18" xfId="54" applyNumberFormat="1" applyFont="1" applyBorder="1" applyAlignment="1">
      <alignment/>
      <protection/>
    </xf>
    <xf numFmtId="170" fontId="9" fillId="35" borderId="18" xfId="83" applyFont="1" applyFill="1" applyBorder="1" applyAlignment="1">
      <alignment horizontal="center" wrapText="1"/>
    </xf>
    <xf numFmtId="170" fontId="24" fillId="0" borderId="18" xfId="83" applyFont="1" applyBorder="1" applyAlignment="1">
      <alignment horizontal="center" wrapText="1"/>
    </xf>
    <xf numFmtId="170" fontId="25" fillId="35" borderId="18" xfId="83" applyFont="1" applyFill="1" applyBorder="1" applyAlignment="1">
      <alignment horizontal="center"/>
    </xf>
    <xf numFmtId="170" fontId="25" fillId="0" borderId="18" xfId="83" applyFont="1" applyFill="1" applyBorder="1" applyAlignment="1">
      <alignment horizontal="center"/>
    </xf>
    <xf numFmtId="170" fontId="9" fillId="0" borderId="18" xfId="83" applyFont="1" applyFill="1" applyBorder="1" applyAlignment="1">
      <alignment horizontal="center" wrapText="1"/>
    </xf>
    <xf numFmtId="170" fontId="12" fillId="35" borderId="18" xfId="83" applyFont="1" applyFill="1" applyBorder="1" applyAlignment="1">
      <alignment horizontal="center" wrapText="1"/>
    </xf>
    <xf numFmtId="170" fontId="12" fillId="0" borderId="18" xfId="83" applyFont="1" applyFill="1" applyBorder="1" applyAlignment="1">
      <alignment horizontal="center" wrapText="1"/>
    </xf>
    <xf numFmtId="170" fontId="22" fillId="0" borderId="18" xfId="83" applyFont="1" applyFill="1" applyBorder="1" applyAlignment="1">
      <alignment horizontal="center" wrapText="1"/>
    </xf>
    <xf numFmtId="170" fontId="9" fillId="0" borderId="18" xfId="83" applyFont="1" applyBorder="1" applyAlignment="1">
      <alignment horizontal="center" wrapText="1"/>
    </xf>
    <xf numFmtId="4" fontId="11" fillId="33" borderId="18" xfId="56" applyNumberFormat="1" applyFont="1" applyFill="1" applyBorder="1" applyAlignment="1">
      <alignment horizontal="right" wrapText="1"/>
      <protection/>
    </xf>
    <xf numFmtId="2" fontId="7" fillId="0" borderId="18" xfId="56" applyNumberFormat="1" applyFont="1" applyBorder="1" applyAlignment="1">
      <alignment horizontal="right"/>
      <protection/>
    </xf>
    <xf numFmtId="0" fontId="12" fillId="0" borderId="18" xfId="67" applyFont="1" applyBorder="1" applyAlignment="1">
      <alignment horizontal="right"/>
      <protection/>
    </xf>
    <xf numFmtId="2" fontId="0" fillId="0" borderId="18" xfId="56" applyNumberFormat="1" applyFont="1" applyBorder="1" applyAlignment="1">
      <alignment horizontal="right"/>
      <protection/>
    </xf>
    <xf numFmtId="4" fontId="10" fillId="33" borderId="18" xfId="56" applyNumberFormat="1" applyFont="1" applyFill="1" applyBorder="1" applyAlignment="1">
      <alignment horizontal="right" wrapText="1"/>
      <protection/>
    </xf>
    <xf numFmtId="0" fontId="10" fillId="33" borderId="18" xfId="0" applyNumberFormat="1" applyFont="1" applyFill="1" applyBorder="1" applyAlignment="1">
      <alignment horizontal="right" vertical="top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9" fontId="12" fillId="0" borderId="18" xfId="64" applyNumberFormat="1" applyFont="1" applyBorder="1" applyAlignment="1">
      <alignment horizontal="right" vertical="center" wrapText="1"/>
      <protection/>
    </xf>
    <xf numFmtId="0" fontId="0" fillId="0" borderId="18" xfId="0" applyBorder="1" applyAlignment="1">
      <alignment horizontal="right" vertical="center" wrapText="1"/>
    </xf>
    <xf numFmtId="0" fontId="9" fillId="0" borderId="32" xfId="64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9" fillId="0" borderId="40" xfId="64" applyFont="1" applyBorder="1" applyAlignment="1">
      <alignment horizontal="center" vertical="center" wrapText="1"/>
      <protection/>
    </xf>
    <xf numFmtId="0" fontId="9" fillId="0" borderId="39" xfId="64" applyFont="1" applyBorder="1" applyAlignment="1">
      <alignment horizontal="center" vertical="center" wrapText="1"/>
      <protection/>
    </xf>
    <xf numFmtId="1" fontId="9" fillId="0" borderId="41" xfId="64" applyNumberFormat="1" applyFont="1" applyBorder="1" applyAlignment="1">
      <alignment horizontal="center" vertical="center" wrapText="1"/>
      <protection/>
    </xf>
    <xf numFmtId="1" fontId="9" fillId="0" borderId="38" xfId="64" applyNumberFormat="1" applyFont="1" applyBorder="1" applyAlignment="1">
      <alignment horizontal="center" vertical="center" wrapText="1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12" fillId="0" borderId="18" xfId="66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9" fillId="0" borderId="42" xfId="64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9" fillId="0" borderId="0" xfId="64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9" fillId="0" borderId="0" xfId="64" applyFont="1" applyFill="1" applyBorder="1" applyAlignment="1">
      <alignment horizontal="center" vertical="center" wrapText="1"/>
      <protection/>
    </xf>
    <xf numFmtId="0" fontId="10" fillId="33" borderId="18" xfId="56" applyNumberFormat="1" applyFont="1" applyFill="1" applyBorder="1" applyAlignment="1">
      <alignment horizontal="right" vertical="top" wrapText="1"/>
      <protection/>
    </xf>
    <xf numFmtId="0" fontId="0" fillId="0" borderId="37" xfId="56" applyFont="1" applyBorder="1" applyAlignment="1">
      <alignment horizontal="center" wrapText="1"/>
      <protection/>
    </xf>
    <xf numFmtId="0" fontId="0" fillId="0" borderId="37" xfId="0" applyBorder="1" applyAlignment="1">
      <alignment wrapText="1"/>
    </xf>
    <xf numFmtId="0" fontId="7" fillId="0" borderId="0" xfId="56" applyNumberFormat="1" applyFont="1" applyBorder="1" applyAlignment="1">
      <alignment horizontal="center" wrapText="1"/>
      <protection/>
    </xf>
    <xf numFmtId="0" fontId="7" fillId="0" borderId="0" xfId="56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7" fillId="0" borderId="43" xfId="56" applyNumberFormat="1" applyFont="1" applyBorder="1" applyAlignment="1">
      <alignment horizontal="center" wrapText="1"/>
      <protection/>
    </xf>
    <xf numFmtId="0" fontId="7" fillId="0" borderId="43" xfId="56" applyFont="1" applyBorder="1" applyAlignment="1">
      <alignment horizontal="center" wrapText="1"/>
      <protection/>
    </xf>
    <xf numFmtId="0" fontId="4" fillId="33" borderId="14" xfId="56" applyNumberFormat="1" applyFont="1" applyFill="1" applyBorder="1" applyAlignment="1">
      <alignment horizontal="right" vertical="top" wrapText="1"/>
      <protection/>
    </xf>
    <xf numFmtId="0" fontId="15" fillId="0" borderId="32" xfId="68" applyFont="1" applyBorder="1" applyAlignment="1">
      <alignment horizontal="left"/>
      <protection/>
    </xf>
    <xf numFmtId="0" fontId="15" fillId="0" borderId="33" xfId="68" applyFont="1" applyBorder="1" applyAlignment="1">
      <alignment horizontal="left"/>
      <protection/>
    </xf>
    <xf numFmtId="0" fontId="16" fillId="0" borderId="0" xfId="68" applyFont="1" applyAlignment="1">
      <alignment horizontal="left" wrapText="1"/>
      <protection/>
    </xf>
    <xf numFmtId="0" fontId="16" fillId="0" borderId="0" xfId="54" applyFont="1" applyAlignment="1">
      <alignment wrapText="1"/>
      <protection/>
    </xf>
    <xf numFmtId="3" fontId="19" fillId="33" borderId="18" xfId="68" applyNumberFormat="1" applyFont="1" applyFill="1" applyBorder="1" applyAlignment="1">
      <alignment horizontal="center" vertical="center" wrapText="1"/>
      <protection/>
    </xf>
    <xf numFmtId="0" fontId="8" fillId="0" borderId="18" xfId="68" applyFont="1" applyBorder="1" applyAlignment="1">
      <alignment horizontal="center" vertical="center" wrapText="1"/>
      <protection/>
    </xf>
    <xf numFmtId="3" fontId="20" fillId="33" borderId="18" xfId="68" applyNumberFormat="1" applyFont="1" applyFill="1" applyBorder="1" applyAlignment="1">
      <alignment horizontal="center" vertical="center" wrapText="1"/>
      <protection/>
    </xf>
    <xf numFmtId="0" fontId="15" fillId="0" borderId="18" xfId="68" applyFont="1" applyBorder="1" applyAlignment="1">
      <alignment horizontal="center" vertical="center" wrapText="1"/>
      <protection/>
    </xf>
    <xf numFmtId="0" fontId="0" fillId="0" borderId="18" xfId="54" applyBorder="1" applyAlignment="1">
      <alignment horizontal="center" vertical="center" wrapText="1"/>
      <protection/>
    </xf>
    <xf numFmtId="0" fontId="7" fillId="0" borderId="38" xfId="54" applyFont="1" applyBorder="1" applyAlignment="1">
      <alignment horizontal="center" wrapText="1"/>
      <protection/>
    </xf>
    <xf numFmtId="0" fontId="7" fillId="0" borderId="44" xfId="54" applyFont="1" applyBorder="1" applyAlignment="1">
      <alignment horizontal="center" wrapText="1"/>
      <protection/>
    </xf>
    <xf numFmtId="0" fontId="7" fillId="35" borderId="18" xfId="54" applyFont="1" applyFill="1" applyBorder="1" applyAlignment="1">
      <alignment horizontal="center" vertical="center" wrapText="1"/>
      <protection/>
    </xf>
    <xf numFmtId="0" fontId="15" fillId="0" borderId="0" xfId="68" applyFont="1" applyAlignment="1">
      <alignment horizontal="center" wrapText="1"/>
      <protection/>
    </xf>
    <xf numFmtId="0" fontId="7" fillId="0" borderId="23" xfId="54" applyFont="1" applyBorder="1" applyAlignment="1">
      <alignment horizontal="center" wrapText="1"/>
      <protection/>
    </xf>
    <xf numFmtId="0" fontId="7" fillId="0" borderId="21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79" fillId="0" borderId="18" xfId="57" applyFont="1" applyFill="1" applyBorder="1" applyAlignment="1">
      <alignment horizontal="center" vertical="top" wrapText="1"/>
      <protection/>
    </xf>
    <xf numFmtId="0" fontId="0" fillId="0" borderId="18" xfId="0" applyFill="1" applyBorder="1" applyAlignment="1">
      <alignment horizontal="center" vertical="top" wrapText="1"/>
    </xf>
    <xf numFmtId="0" fontId="79" fillId="0" borderId="23" xfId="57" applyFont="1" applyBorder="1" applyAlignment="1">
      <alignment horizontal="center" vertical="top" wrapText="1"/>
      <protection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9" fillId="0" borderId="23" xfId="57" applyFont="1" applyFill="1" applyBorder="1" applyAlignment="1">
      <alignment horizontal="center" vertical="top" wrapText="1"/>
      <protection/>
    </xf>
    <xf numFmtId="0" fontId="0" fillId="0" borderId="20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83" fillId="0" borderId="0" xfId="57" applyFont="1" applyAlignment="1">
      <alignment horizontal="center" wrapText="1"/>
      <protection/>
    </xf>
    <xf numFmtId="0" fontId="84" fillId="0" borderId="37" xfId="57" applyFont="1" applyBorder="1" applyAlignment="1">
      <alignment vertical="center" wrapText="1"/>
      <protection/>
    </xf>
    <xf numFmtId="0" fontId="78" fillId="0" borderId="23" xfId="57" applyFont="1" applyBorder="1" applyAlignment="1">
      <alignment horizontal="center" vertical="center" wrapText="1"/>
      <protection/>
    </xf>
    <xf numFmtId="0" fontId="78" fillId="0" borderId="21" xfId="57" applyFont="1" applyBorder="1" applyAlignment="1">
      <alignment horizontal="center" vertical="center" wrapText="1"/>
      <protection/>
    </xf>
    <xf numFmtId="0" fontId="78" fillId="0" borderId="32" xfId="57" applyFont="1" applyBorder="1" applyAlignment="1">
      <alignment horizontal="center" vertical="center" wrapText="1"/>
      <protection/>
    </xf>
    <xf numFmtId="0" fontId="78" fillId="0" borderId="33" xfId="57" applyFont="1" applyBorder="1" applyAlignment="1">
      <alignment horizontal="center" vertical="center" wrapText="1"/>
      <protection/>
    </xf>
    <xf numFmtId="0" fontId="30" fillId="0" borderId="0" xfId="53" applyFont="1" applyAlignment="1">
      <alignment horizontal="center" wrapText="1"/>
      <protection/>
    </xf>
    <xf numFmtId="0" fontId="24" fillId="0" borderId="23" xfId="53" applyFont="1" applyBorder="1" applyAlignment="1">
      <alignment horizontal="justify" vertical="center"/>
      <protection/>
    </xf>
    <xf numFmtId="0" fontId="8" fillId="0" borderId="20" xfId="53" applyBorder="1">
      <alignment/>
      <protection/>
    </xf>
    <xf numFmtId="0" fontId="8" fillId="0" borderId="21" xfId="53" applyBorder="1">
      <alignment/>
      <protection/>
    </xf>
    <xf numFmtId="0" fontId="24" fillId="0" borderId="20" xfId="53" applyFont="1" applyBorder="1" applyAlignment="1">
      <alignment horizontal="justify" vertical="center"/>
      <protection/>
    </xf>
    <xf numFmtId="0" fontId="24" fillId="0" borderId="21" xfId="53" applyFont="1" applyBorder="1" applyAlignment="1">
      <alignment horizontal="justify" vertical="center"/>
      <protection/>
    </xf>
    <xf numFmtId="0" fontId="31" fillId="0" borderId="20" xfId="53" applyFont="1" applyBorder="1">
      <alignment/>
      <protection/>
    </xf>
    <xf numFmtId="0" fontId="31" fillId="0" borderId="21" xfId="53" applyFont="1" applyBorder="1">
      <alignment/>
      <protection/>
    </xf>
    <xf numFmtId="0" fontId="24" fillId="0" borderId="32" xfId="53" applyFont="1" applyBorder="1" applyAlignment="1">
      <alignment horizontal="center" wrapText="1"/>
      <protection/>
    </xf>
    <xf numFmtId="0" fontId="24" fillId="0" borderId="31" xfId="53" applyFont="1" applyBorder="1" applyAlignment="1">
      <alignment horizontal="center" wrapText="1"/>
      <protection/>
    </xf>
    <xf numFmtId="0" fontId="24" fillId="0" borderId="33" xfId="53" applyFont="1" applyBorder="1" applyAlignment="1">
      <alignment horizontal="center" wrapText="1"/>
      <protection/>
    </xf>
    <xf numFmtId="0" fontId="24" fillId="0" borderId="32" xfId="53" applyFont="1" applyFill="1" applyBorder="1" applyAlignment="1">
      <alignment horizontal="center" wrapText="1"/>
      <protection/>
    </xf>
    <xf numFmtId="0" fontId="8" fillId="0" borderId="31" xfId="53" applyFill="1" applyBorder="1" applyAlignment="1">
      <alignment horizontal="center"/>
      <protection/>
    </xf>
    <xf numFmtId="0" fontId="8" fillId="0" borderId="33" xfId="53" applyFill="1" applyBorder="1" applyAlignment="1">
      <alignment horizontal="center"/>
      <protection/>
    </xf>
    <xf numFmtId="49" fontId="24" fillId="0" borderId="23" xfId="53" applyNumberFormat="1" applyFont="1" applyBorder="1" applyAlignment="1">
      <alignment horizontal="center" vertical="top" wrapText="1"/>
      <protection/>
    </xf>
    <xf numFmtId="49" fontId="24" fillId="0" borderId="21" xfId="53" applyNumberFormat="1" applyFont="1" applyBorder="1" applyAlignment="1">
      <alignment horizontal="center" vertical="top" wrapText="1"/>
      <protection/>
    </xf>
    <xf numFmtId="0" fontId="32" fillId="0" borderId="0" xfId="67" applyFont="1" applyBorder="1" applyAlignment="1">
      <alignment horizontal="center" wrapText="1"/>
      <protection/>
    </xf>
    <xf numFmtId="0" fontId="33" fillId="0" borderId="0" xfId="67" applyFont="1" applyAlignment="1">
      <alignment wrapText="1"/>
      <protection/>
    </xf>
    <xf numFmtId="0" fontId="24" fillId="0" borderId="23" xfId="53" applyFont="1" applyBorder="1" applyAlignment="1">
      <alignment horizontal="center" vertical="center" wrapText="1"/>
      <protection/>
    </xf>
    <xf numFmtId="0" fontId="24" fillId="0" borderId="21" xfId="53" applyFont="1" applyBorder="1" applyAlignment="1">
      <alignment horizontal="center" vertical="center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20" xfId="53" applyFont="1" applyBorder="1" applyAlignment="1">
      <alignment horizontal="center" vertical="center" wrapText="1"/>
      <protection/>
    </xf>
    <xf numFmtId="0" fontId="8" fillId="0" borderId="21" xfId="53" applyBorder="1" applyAlignment="1">
      <alignment horizontal="center" vertical="center" wrapText="1"/>
      <protection/>
    </xf>
    <xf numFmtId="0" fontId="24" fillId="0" borderId="32" xfId="53" applyFont="1" applyBorder="1" applyAlignment="1">
      <alignment horizontal="center" vertical="center"/>
      <protection/>
    </xf>
    <xf numFmtId="0" fontId="24" fillId="0" borderId="33" xfId="53" applyFont="1" applyBorder="1" applyAlignment="1">
      <alignment horizontal="center" vertical="center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6" xfId="54"/>
    <cellStyle name="Обычный 17" xfId="55"/>
    <cellStyle name="Обычный 2" xfId="56"/>
    <cellStyle name="Обычный 2 2" xfId="57"/>
    <cellStyle name="Обычный 2 3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_ПР 13 фин.помощь1" xfId="64"/>
    <cellStyle name="Обычный_Прил 22,23,24" xfId="65"/>
    <cellStyle name="Обычный_Прил 5,6,8,18" xfId="66"/>
    <cellStyle name="Обычный_прилож 8,10 -2008г." xfId="67"/>
    <cellStyle name="Обычный_Прилож.№9 кап.стр." xfId="68"/>
    <cellStyle name="Обычный_Район 2006г.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перечис.11" xfId="77"/>
    <cellStyle name="Тысячи_перечис.11" xfId="78"/>
    <cellStyle name="Comma" xfId="79"/>
    <cellStyle name="Comma [0]" xfId="80"/>
    <cellStyle name="Финансовый 13" xfId="81"/>
    <cellStyle name="Финансовый 2" xfId="82"/>
    <cellStyle name="Финансовый 3" xfId="83"/>
    <cellStyle name="Финансовый 7" xfId="84"/>
    <cellStyle name="Финансовый 9" xfId="85"/>
    <cellStyle name="Финансовый_Прилож_МР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81\&#1076;&#1083;&#1103;%20&#1086;&#1073;&#1084;&#1077;&#1085;&#1072;\&#1076;&#1083;&#1103;%20&#1086;&#1073;&#1084;&#1077;&#1085;&#1072;\&#1080;&#1079;&#1084;&#1077;&#1085;%20&#1076;&#1077;&#1082;&#1072;&#1073;&#1088;&#1100;\&#1055;&#1088;&#1080;&#1083;&#1086;&#1078;&#1077;&#1085;&#1080;&#1103;%2017%20(&#1057;&#105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81\&#1076;&#1083;&#1103;%20&#1086;&#1073;&#1084;&#1077;&#1085;&#1072;\Users\finOtdeL\Documents\NetSpeakerphone\Received%20Files\&#1059;&#1069;&#1060;_&#1041;&#1086;&#1082;&#1090;&#1091;&#1085;&#1086;&#1074;%20&#1041;_&#1042;_\&#1050;&#1072;&#1087;.&#1089;&#1090;&#1086;&#1080;&#1090;&#1077;&#1083;&#1100;&#1089;&#1090;&#1074;&#1086;%202014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81\&#1076;&#1083;&#1103;%20&#1086;&#1073;&#1084;&#1077;&#1085;&#1072;\%20&#1076;&#1086;&#1082;&#1091;&#1084;&#1077;&#1085;&#1090;&#1099;\RABOTA%202013\&#1041;&#1102;&#1076;&#1078;&#1077;&#1090;%202013&#1075;\&#1050;%20&#1075;&#1086;&#1076;%20&#1086;&#1090;&#1095;&#1077;&#1090;&#1091;%202013&#1075;%20&#1056;&#1072;&#1081;&#1057;&#1054;&#1074;&#1077;&#1090;\&#1056;&#1072;&#1081;&#1057;&#1086;&#1074;&#1077;&#1090;%20&#1080;&#1089;&#1087;&#1086;&#1083;&#1085;%20-%202%20&#1095;&#1090;&#1077;&#1085;\&#1087;&#1086;&#1103;&#1089;&#1085;&#1080;&#1090;%20,%20&#1090;&#1072;&#1073;&#1083;&#1080;&#1094;&#1099;\&#1057;&#1087;&#1088;&#1072;&#1074;.&#1090;&#1072;&#1073;&#1083;%202013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7 (2014)"/>
      <sheetName val="Пр 17 справ. на 26.06.2014г"/>
      <sheetName val="Пр 17 справ. на01.10.2014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14 20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ЦП"/>
      <sheetName val="Фин СП"/>
      <sheetName val="Кап.стр 2013г"/>
      <sheetName val="Софин-ние 2013г "/>
      <sheetName val="Резервн фонд"/>
      <sheetName val="Прил 8 (2013)"/>
      <sheetName val="Публ.обяз"/>
      <sheetName val="Конс.бюдж.разд, подр с уч 251"/>
      <sheetName val="Кап и тек рем"/>
      <sheetName val="Кап и ттек  рем дсады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0"/>
  <sheetViews>
    <sheetView view="pageBreakPreview" zoomScaleSheetLayoutView="100" zoomScalePageLayoutView="0" workbookViewId="0" topLeftCell="A47">
      <selection activeCell="B60" sqref="B60"/>
    </sheetView>
  </sheetViews>
  <sheetFormatPr defaultColWidth="9.140625" defaultRowHeight="12.75"/>
  <cols>
    <col min="1" max="1" width="16.00390625" style="1" customWidth="1"/>
    <col min="2" max="2" width="63.140625" style="1" customWidth="1"/>
    <col min="3" max="5" width="12.140625" style="1" customWidth="1"/>
    <col min="6" max="6" width="12.140625" style="0" customWidth="1"/>
  </cols>
  <sheetData>
    <row r="1" ht="12.75" hidden="1"/>
    <row r="2" spans="2:4" ht="36.75" customHeight="1" hidden="1">
      <c r="B2" s="305" t="s">
        <v>86</v>
      </c>
      <c r="C2" s="306"/>
      <c r="D2" s="306"/>
    </row>
    <row r="3" spans="1:5" s="1" customFormat="1" ht="13.5" customHeight="1" hidden="1" thickBot="1">
      <c r="A3" s="11" t="s">
        <v>0</v>
      </c>
      <c r="B3" s="11"/>
      <c r="C3" s="11"/>
      <c r="D3" s="11"/>
      <c r="E3" s="11"/>
    </row>
    <row r="4" spans="1:5" s="1" customFormat="1" ht="55.5" customHeight="1" hidden="1">
      <c r="A4" s="3" t="s">
        <v>1</v>
      </c>
      <c r="B4" s="3" t="s">
        <v>2</v>
      </c>
      <c r="C4" s="3" t="s">
        <v>3</v>
      </c>
      <c r="D4" s="3" t="s">
        <v>4</v>
      </c>
      <c r="E4" s="2" t="s">
        <v>5</v>
      </c>
    </row>
    <row r="5" spans="1:5" s="1" customFormat="1" ht="13.5" customHeight="1" hidden="1" thickBot="1">
      <c r="A5" s="4" t="s">
        <v>6</v>
      </c>
      <c r="B5" s="4" t="s">
        <v>7</v>
      </c>
      <c r="C5" s="4" t="s">
        <v>8</v>
      </c>
      <c r="D5" s="4" t="s">
        <v>9</v>
      </c>
      <c r="E5" s="8" t="s">
        <v>10</v>
      </c>
    </row>
    <row r="6" spans="1:5" s="1" customFormat="1" ht="27" customHeight="1" hidden="1">
      <c r="A6" s="5" t="s">
        <v>11</v>
      </c>
      <c r="B6" s="12" t="s">
        <v>12</v>
      </c>
      <c r="C6" s="6">
        <f>298148</f>
        <v>298148</v>
      </c>
      <c r="D6" s="6">
        <f>288599</f>
        <v>288599</v>
      </c>
      <c r="E6" s="9">
        <f>96.8</f>
        <v>96.8</v>
      </c>
    </row>
    <row r="7" spans="1:5" s="1" customFormat="1" ht="13.5" customHeight="1" hidden="1">
      <c r="A7" s="5" t="s">
        <v>13</v>
      </c>
      <c r="B7" s="12" t="s">
        <v>14</v>
      </c>
      <c r="C7" s="6">
        <f>10248941.24</f>
        <v>10248941.24</v>
      </c>
      <c r="D7" s="6">
        <f>10248941.24</f>
        <v>10248941.24</v>
      </c>
      <c r="E7" s="9">
        <f>100</f>
        <v>100</v>
      </c>
    </row>
    <row r="8" spans="1:5" s="1" customFormat="1" ht="18.75" customHeight="1" hidden="1">
      <c r="A8" s="5" t="s">
        <v>15</v>
      </c>
      <c r="B8" s="12" t="s">
        <v>16</v>
      </c>
      <c r="C8" s="6">
        <f>4352551</f>
        <v>4352551</v>
      </c>
      <c r="D8" s="6">
        <f>4352551</f>
        <v>4352551</v>
      </c>
      <c r="E8" s="9">
        <f>100</f>
        <v>100</v>
      </c>
    </row>
    <row r="9" spans="1:5" s="1" customFormat="1" ht="33.75" customHeight="1" hidden="1">
      <c r="A9" s="5" t="s">
        <v>17</v>
      </c>
      <c r="B9" s="12" t="s">
        <v>18</v>
      </c>
      <c r="C9" s="6">
        <f>700000</f>
        <v>700000</v>
      </c>
      <c r="D9" s="6">
        <f>700000</f>
        <v>700000</v>
      </c>
      <c r="E9" s="9">
        <f>100</f>
        <v>100</v>
      </c>
    </row>
    <row r="10" spans="1:5" s="1" customFormat="1" ht="33.75" customHeight="1" hidden="1">
      <c r="A10" s="5" t="s">
        <v>19</v>
      </c>
      <c r="B10" s="12" t="s">
        <v>20</v>
      </c>
      <c r="C10" s="6">
        <f>1159118.95</f>
        <v>1159118.95</v>
      </c>
      <c r="D10" s="6">
        <f>1159118.95</f>
        <v>1159118.95</v>
      </c>
      <c r="E10" s="9">
        <f>100</f>
        <v>100</v>
      </c>
    </row>
    <row r="11" spans="1:5" s="1" customFormat="1" ht="33.75" customHeight="1" hidden="1">
      <c r="A11" s="5" t="s">
        <v>21</v>
      </c>
      <c r="B11" s="12" t="s">
        <v>22</v>
      </c>
      <c r="C11" s="6">
        <f>35054104.08</f>
        <v>35054104.08</v>
      </c>
      <c r="D11" s="6">
        <f>33585809.73</f>
        <v>33585809.73</v>
      </c>
      <c r="E11" s="9">
        <f>95.81</f>
        <v>95.81</v>
      </c>
    </row>
    <row r="12" spans="1:5" s="1" customFormat="1" ht="13.5" customHeight="1" hidden="1">
      <c r="A12" s="5" t="s">
        <v>23</v>
      </c>
      <c r="B12" s="12" t="s">
        <v>24</v>
      </c>
      <c r="C12" s="6">
        <f>514800</f>
        <v>514800</v>
      </c>
      <c r="D12" s="6">
        <f>514050</f>
        <v>514050</v>
      </c>
      <c r="E12" s="9">
        <f>99.85</f>
        <v>99.85</v>
      </c>
    </row>
    <row r="13" spans="1:5" s="1" customFormat="1" ht="45" customHeight="1" hidden="1">
      <c r="A13" s="5" t="s">
        <v>25</v>
      </c>
      <c r="B13" s="12" t="s">
        <v>26</v>
      </c>
      <c r="C13" s="6">
        <f>200000</f>
        <v>200000</v>
      </c>
      <c r="D13" s="6">
        <f>88435</f>
        <v>88435</v>
      </c>
      <c r="E13" s="9">
        <f>44.22</f>
        <v>44.22</v>
      </c>
    </row>
    <row r="14" spans="1:5" s="1" customFormat="1" ht="33.75" customHeight="1" hidden="1">
      <c r="A14" s="5" t="s">
        <v>27</v>
      </c>
      <c r="B14" s="12" t="s">
        <v>28</v>
      </c>
      <c r="C14" s="6">
        <f>4900000</f>
        <v>4900000</v>
      </c>
      <c r="D14" s="6">
        <f>4900000</f>
        <v>4900000</v>
      </c>
      <c r="E14" s="9">
        <f>100</f>
        <v>100</v>
      </c>
    </row>
    <row r="15" spans="1:5" s="1" customFormat="1" ht="33.75" customHeight="1" hidden="1">
      <c r="A15" s="5" t="s">
        <v>29</v>
      </c>
      <c r="B15" s="12" t="s">
        <v>30</v>
      </c>
      <c r="C15" s="6">
        <f>996000</f>
        <v>996000</v>
      </c>
      <c r="D15" s="6">
        <f>920558.4</f>
        <v>920558.4</v>
      </c>
      <c r="E15" s="9">
        <f>92.43</f>
        <v>92.43</v>
      </c>
    </row>
    <row r="16" spans="1:5" s="1" customFormat="1" ht="33.75" customHeight="1" hidden="1">
      <c r="A16" s="5" t="s">
        <v>31</v>
      </c>
      <c r="B16" s="12" t="s">
        <v>32</v>
      </c>
      <c r="C16" s="6">
        <f>4706605.48</f>
        <v>4706605.48</v>
      </c>
      <c r="D16" s="6">
        <f>4706605.48</f>
        <v>4706605.48</v>
      </c>
      <c r="E16" s="9">
        <f>100</f>
        <v>100</v>
      </c>
    </row>
    <row r="17" spans="1:5" s="1" customFormat="1" ht="33.75" customHeight="1" hidden="1">
      <c r="A17" s="5" t="s">
        <v>33</v>
      </c>
      <c r="B17" s="12" t="s">
        <v>34</v>
      </c>
      <c r="C17" s="6">
        <f>4911600</f>
        <v>4911600</v>
      </c>
      <c r="D17" s="6">
        <f>4911600</f>
        <v>4911600</v>
      </c>
      <c r="E17" s="9">
        <f>100</f>
        <v>100</v>
      </c>
    </row>
    <row r="18" spans="1:5" s="1" customFormat="1" ht="33.75" customHeight="1" hidden="1">
      <c r="A18" s="5" t="s">
        <v>35</v>
      </c>
      <c r="B18" s="12" t="s">
        <v>36</v>
      </c>
      <c r="C18" s="6">
        <f>11517110</f>
        <v>11517110</v>
      </c>
      <c r="D18" s="6">
        <f>11033640.11</f>
        <v>11033640.11</v>
      </c>
      <c r="E18" s="9">
        <f>95.8</f>
        <v>95.8</v>
      </c>
    </row>
    <row r="19" spans="1:5" s="1" customFormat="1" ht="45" customHeight="1" hidden="1">
      <c r="A19" s="5" t="s">
        <v>37</v>
      </c>
      <c r="B19" s="12" t="s">
        <v>38</v>
      </c>
      <c r="C19" s="6">
        <f>1350710</f>
        <v>1350710</v>
      </c>
      <c r="D19" s="6">
        <f>1283301.2</f>
        <v>1283301.2</v>
      </c>
      <c r="E19" s="9">
        <f>95.01</f>
        <v>95.01</v>
      </c>
    </row>
    <row r="20" spans="1:5" s="1" customFormat="1" ht="33.75" customHeight="1" hidden="1">
      <c r="A20" s="5" t="s">
        <v>39</v>
      </c>
      <c r="B20" s="12" t="s">
        <v>40</v>
      </c>
      <c r="C20" s="6">
        <f>800000</f>
        <v>800000</v>
      </c>
      <c r="D20" s="6">
        <f>800000</f>
        <v>800000</v>
      </c>
      <c r="E20" s="9">
        <f aca="true" t="shared" si="0" ref="E20:E27">100</f>
        <v>100</v>
      </c>
    </row>
    <row r="21" spans="1:5" s="1" customFormat="1" ht="45" customHeight="1" hidden="1">
      <c r="A21" s="5" t="s">
        <v>41</v>
      </c>
      <c r="B21" s="12" t="s">
        <v>42</v>
      </c>
      <c r="C21" s="6">
        <f>20000</f>
        <v>20000</v>
      </c>
      <c r="D21" s="6">
        <f>20000</f>
        <v>20000</v>
      </c>
      <c r="E21" s="9">
        <f t="shared" si="0"/>
        <v>100</v>
      </c>
    </row>
    <row r="22" spans="1:5" s="1" customFormat="1" ht="33.75" customHeight="1" hidden="1">
      <c r="A22" s="5" t="s">
        <v>43</v>
      </c>
      <c r="B22" s="12" t="s">
        <v>44</v>
      </c>
      <c r="C22" s="6">
        <f>15000</f>
        <v>15000</v>
      </c>
      <c r="D22" s="6">
        <f>15000</f>
        <v>15000</v>
      </c>
      <c r="E22" s="9">
        <f t="shared" si="0"/>
        <v>100</v>
      </c>
    </row>
    <row r="23" spans="1:5" s="1" customFormat="1" ht="33.75" customHeight="1" hidden="1">
      <c r="A23" s="5" t="s">
        <v>45</v>
      </c>
      <c r="B23" s="12" t="s">
        <v>46</v>
      </c>
      <c r="C23" s="6">
        <f>50000</f>
        <v>50000</v>
      </c>
      <c r="D23" s="6">
        <f>50000</f>
        <v>50000</v>
      </c>
      <c r="E23" s="9">
        <f t="shared" si="0"/>
        <v>100</v>
      </c>
    </row>
    <row r="24" spans="1:5" s="1" customFormat="1" ht="24" customHeight="1" hidden="1">
      <c r="A24" s="5" t="s">
        <v>47</v>
      </c>
      <c r="B24" s="12" t="s">
        <v>48</v>
      </c>
      <c r="C24" s="6">
        <f>50000</f>
        <v>50000</v>
      </c>
      <c r="D24" s="6">
        <f>50000</f>
        <v>50000</v>
      </c>
      <c r="E24" s="9">
        <f t="shared" si="0"/>
        <v>100</v>
      </c>
    </row>
    <row r="25" spans="1:5" s="1" customFormat="1" ht="33.75" customHeight="1" hidden="1">
      <c r="A25" s="5" t="s">
        <v>49</v>
      </c>
      <c r="B25" s="12" t="s">
        <v>50</v>
      </c>
      <c r="C25" s="6">
        <f>90000</f>
        <v>90000</v>
      </c>
      <c r="D25" s="6">
        <f>90000</f>
        <v>90000</v>
      </c>
      <c r="E25" s="9">
        <f t="shared" si="0"/>
        <v>100</v>
      </c>
    </row>
    <row r="26" spans="1:5" s="1" customFormat="1" ht="33.75" customHeight="1" hidden="1">
      <c r="A26" s="5" t="s">
        <v>51</v>
      </c>
      <c r="B26" s="12" t="s">
        <v>52</v>
      </c>
      <c r="C26" s="6">
        <f>296200</f>
        <v>296200</v>
      </c>
      <c r="D26" s="6">
        <f>296200</f>
        <v>296200</v>
      </c>
      <c r="E26" s="9">
        <f t="shared" si="0"/>
        <v>100</v>
      </c>
    </row>
    <row r="27" spans="1:5" s="1" customFormat="1" ht="33.75" customHeight="1" hidden="1">
      <c r="A27" s="5" t="s">
        <v>53</v>
      </c>
      <c r="B27" s="12" t="s">
        <v>54</v>
      </c>
      <c r="C27" s="6">
        <f>176030</f>
        <v>176030</v>
      </c>
      <c r="D27" s="6">
        <f>176030</f>
        <v>176030</v>
      </c>
      <c r="E27" s="9">
        <f t="shared" si="0"/>
        <v>100</v>
      </c>
    </row>
    <row r="28" spans="1:5" s="1" customFormat="1" ht="24" customHeight="1" hidden="1">
      <c r="A28" s="5" t="s">
        <v>55</v>
      </c>
      <c r="B28" s="12" t="s">
        <v>56</v>
      </c>
      <c r="C28" s="6">
        <f>492220</f>
        <v>492220</v>
      </c>
      <c r="D28" s="6">
        <f>454626</f>
        <v>454626</v>
      </c>
      <c r="E28" s="9">
        <f>92.36</f>
        <v>92.36</v>
      </c>
    </row>
    <row r="29" spans="1:5" s="1" customFormat="1" ht="13.5" customHeight="1" hidden="1">
      <c r="A29" s="5" t="s">
        <v>57</v>
      </c>
      <c r="B29" s="12" t="s">
        <v>58</v>
      </c>
      <c r="C29" s="6">
        <f>1150000</f>
        <v>1150000</v>
      </c>
      <c r="D29" s="6">
        <f>858668.17</f>
        <v>858668.17</v>
      </c>
      <c r="E29" s="9">
        <f>74.67</f>
        <v>74.67</v>
      </c>
    </row>
    <row r="30" spans="1:5" s="1" customFormat="1" ht="13.5" customHeight="1" hidden="1">
      <c r="A30" s="5" t="s">
        <v>59</v>
      </c>
      <c r="B30" s="12" t="s">
        <v>60</v>
      </c>
      <c r="C30" s="6">
        <f>1820560</f>
        <v>1820560</v>
      </c>
      <c r="D30" s="6">
        <f>1820558</f>
        <v>1820558</v>
      </c>
      <c r="E30" s="9">
        <f>100</f>
        <v>100</v>
      </c>
    </row>
    <row r="31" spans="1:5" s="1" customFormat="1" ht="24" customHeight="1" hidden="1">
      <c r="A31" s="5" t="s">
        <v>61</v>
      </c>
      <c r="B31" s="12" t="s">
        <v>62</v>
      </c>
      <c r="C31" s="6">
        <f>11386996.5</f>
        <v>11386996.5</v>
      </c>
      <c r="D31" s="6">
        <f>2560866</f>
        <v>2560866</v>
      </c>
      <c r="E31" s="9">
        <f>22.49</f>
        <v>22.49</v>
      </c>
    </row>
    <row r="32" spans="1:5" s="1" customFormat="1" ht="33.75" customHeight="1" hidden="1">
      <c r="A32" s="5" t="s">
        <v>63</v>
      </c>
      <c r="B32" s="12" t="s">
        <v>64</v>
      </c>
      <c r="C32" s="6">
        <f>329440</f>
        <v>329440</v>
      </c>
      <c r="D32" s="6">
        <f>328600</f>
        <v>328600</v>
      </c>
      <c r="E32" s="9">
        <f>99.75</f>
        <v>99.75</v>
      </c>
    </row>
    <row r="33" spans="1:5" s="1" customFormat="1" ht="24" customHeight="1" hidden="1">
      <c r="A33" s="5" t="s">
        <v>65</v>
      </c>
      <c r="B33" s="12" t="s">
        <v>66</v>
      </c>
      <c r="C33" s="6">
        <f>242900</f>
        <v>242900</v>
      </c>
      <c r="D33" s="6">
        <f>242900</f>
        <v>242900</v>
      </c>
      <c r="E33" s="9">
        <f>100</f>
        <v>100</v>
      </c>
    </row>
    <row r="34" spans="1:5" s="1" customFormat="1" ht="33.75" customHeight="1" hidden="1">
      <c r="A34" s="5" t="s">
        <v>67</v>
      </c>
      <c r="B34" s="12" t="s">
        <v>68</v>
      </c>
      <c r="C34" s="6">
        <f>1293350</f>
        <v>1293350</v>
      </c>
      <c r="D34" s="6">
        <f>1293350</f>
        <v>1293350</v>
      </c>
      <c r="E34" s="9">
        <f>100</f>
        <v>100</v>
      </c>
    </row>
    <row r="35" spans="1:5" s="1" customFormat="1" ht="45" customHeight="1" hidden="1">
      <c r="A35" s="5" t="s">
        <v>69</v>
      </c>
      <c r="B35" s="12" t="s">
        <v>70</v>
      </c>
      <c r="C35" s="6">
        <f>9759760</f>
        <v>9759760</v>
      </c>
      <c r="D35" s="6">
        <f>9184890.24</f>
        <v>9184890.24</v>
      </c>
      <c r="E35" s="9">
        <f>94.11</f>
        <v>94.11</v>
      </c>
    </row>
    <row r="36" spans="1:5" s="1" customFormat="1" ht="24" customHeight="1" hidden="1">
      <c r="A36" s="5" t="s">
        <v>71</v>
      </c>
      <c r="B36" s="12" t="s">
        <v>72</v>
      </c>
      <c r="C36" s="6">
        <f>965800</f>
        <v>965800</v>
      </c>
      <c r="D36" s="6">
        <f>906621</f>
        <v>906621</v>
      </c>
      <c r="E36" s="9">
        <f>93.87</f>
        <v>93.87</v>
      </c>
    </row>
    <row r="37" spans="1:5" s="1" customFormat="1" ht="24" customHeight="1" hidden="1">
      <c r="A37" s="5" t="s">
        <v>73</v>
      </c>
      <c r="B37" s="12" t="s">
        <v>74</v>
      </c>
      <c r="C37" s="6">
        <f>316179.4</f>
        <v>316179.4</v>
      </c>
      <c r="D37" s="6">
        <f>312890.2</f>
        <v>312890.2</v>
      </c>
      <c r="E37" s="9">
        <f>98.96</f>
        <v>98.96</v>
      </c>
    </row>
    <row r="38" spans="1:5" s="1" customFormat="1" ht="24" customHeight="1" hidden="1">
      <c r="A38" s="5" t="s">
        <v>75</v>
      </c>
      <c r="B38" s="12" t="s">
        <v>76</v>
      </c>
      <c r="C38" s="6">
        <f>9249770</f>
        <v>9249770</v>
      </c>
      <c r="D38" s="6">
        <f>6745823.86</f>
        <v>6745823.86</v>
      </c>
      <c r="E38" s="9">
        <f>72.93</f>
        <v>72.93</v>
      </c>
    </row>
    <row r="39" spans="1:5" s="1" customFormat="1" ht="24" customHeight="1" hidden="1">
      <c r="A39" s="5" t="s">
        <v>77</v>
      </c>
      <c r="B39" s="12" t="s">
        <v>78</v>
      </c>
      <c r="C39" s="6">
        <f>1323760</f>
        <v>1323760</v>
      </c>
      <c r="D39" s="6">
        <f>1323760</f>
        <v>1323760</v>
      </c>
      <c r="E39" s="9">
        <f>100</f>
        <v>100</v>
      </c>
    </row>
    <row r="40" spans="1:5" s="1" customFormat="1" ht="45" customHeight="1" hidden="1">
      <c r="A40" s="5" t="s">
        <v>79</v>
      </c>
      <c r="B40" s="12" t="s">
        <v>80</v>
      </c>
      <c r="C40" s="6">
        <f>7283464.36</f>
        <v>7283464.36</v>
      </c>
      <c r="D40" s="6">
        <f>6761924.15</f>
        <v>6761924.15</v>
      </c>
      <c r="E40" s="9">
        <f>92.84</f>
        <v>92.84</v>
      </c>
    </row>
    <row r="41" spans="1:5" s="1" customFormat="1" ht="33.75" customHeight="1" hidden="1">
      <c r="A41" s="5" t="s">
        <v>81</v>
      </c>
      <c r="B41" s="12" t="s">
        <v>82</v>
      </c>
      <c r="C41" s="6">
        <f>30000</f>
        <v>30000</v>
      </c>
      <c r="D41" s="6">
        <f>30000</f>
        <v>30000</v>
      </c>
      <c r="E41" s="9">
        <f>100</f>
        <v>100</v>
      </c>
    </row>
    <row r="42" spans="1:5" s="1" customFormat="1" ht="33.75" customHeight="1" hidden="1" thickBot="1">
      <c r="A42" s="5" t="s">
        <v>83</v>
      </c>
      <c r="B42" s="12" t="s">
        <v>84</v>
      </c>
      <c r="C42" s="6">
        <f>20000</f>
        <v>20000</v>
      </c>
      <c r="D42" s="6">
        <f>20000</f>
        <v>20000</v>
      </c>
      <c r="E42" s="9">
        <f>100</f>
        <v>100</v>
      </c>
    </row>
    <row r="43" spans="1:5" s="1" customFormat="1" ht="15" customHeight="1" hidden="1" thickBot="1">
      <c r="A43" s="304" t="s">
        <v>85</v>
      </c>
      <c r="B43" s="304"/>
      <c r="C43" s="7">
        <f>128071119.01</f>
        <v>128071119.01</v>
      </c>
      <c r="D43" s="7">
        <f>113035917.73</f>
        <v>113035917.73</v>
      </c>
      <c r="E43" s="10">
        <f>88.26</f>
        <v>88.26</v>
      </c>
    </row>
    <row r="44" ht="12.75" hidden="1"/>
    <row r="45" ht="12.75" hidden="1">
      <c r="C45" s="1">
        <v>1000</v>
      </c>
    </row>
    <row r="46" ht="12.75" hidden="1"/>
    <row r="47" ht="15.75">
      <c r="A47" s="180" t="s">
        <v>409</v>
      </c>
    </row>
    <row r="48" spans="1:5" ht="12.75">
      <c r="A48" s="302" t="s">
        <v>180</v>
      </c>
      <c r="B48" s="303"/>
      <c r="C48" s="303"/>
      <c r="D48" s="303"/>
      <c r="E48" s="303"/>
    </row>
    <row r="49" spans="1:5" ht="32.25" customHeight="1">
      <c r="A49" s="300" t="s">
        <v>408</v>
      </c>
      <c r="B49" s="301"/>
      <c r="C49" s="301"/>
      <c r="D49" s="301"/>
      <c r="E49" s="301"/>
    </row>
    <row r="50" spans="1:5" ht="12.75">
      <c r="A50" s="11" t="s">
        <v>0</v>
      </c>
      <c r="B50" s="11"/>
      <c r="C50" s="11"/>
      <c r="D50" s="11"/>
      <c r="E50" s="40" t="s">
        <v>178</v>
      </c>
    </row>
    <row r="51" spans="1:5" s="41" customFormat="1" ht="38.25">
      <c r="A51" s="42" t="s">
        <v>181</v>
      </c>
      <c r="B51" s="42" t="s">
        <v>2</v>
      </c>
      <c r="C51" s="42" t="s">
        <v>405</v>
      </c>
      <c r="D51" s="42" t="s">
        <v>406</v>
      </c>
      <c r="E51" s="42" t="s">
        <v>407</v>
      </c>
    </row>
    <row r="52" spans="1:5" s="41" customFormat="1" ht="12.75">
      <c r="A52" s="43" t="s">
        <v>6</v>
      </c>
      <c r="B52" s="43" t="s">
        <v>7</v>
      </c>
      <c r="C52" s="43" t="s">
        <v>8</v>
      </c>
      <c r="D52" s="43" t="s">
        <v>9</v>
      </c>
      <c r="E52" s="43" t="s">
        <v>10</v>
      </c>
    </row>
    <row r="53" spans="1:5" s="41" customFormat="1" ht="12.75">
      <c r="A53" s="43" t="s">
        <v>11</v>
      </c>
      <c r="B53" s="44" t="s">
        <v>12</v>
      </c>
      <c r="C53" s="45">
        <f aca="true" t="shared" si="1" ref="C53:D72">C6/$C$45</f>
        <v>298.148</v>
      </c>
      <c r="D53" s="45">
        <f t="shared" si="1"/>
        <v>288.599</v>
      </c>
      <c r="E53" s="45">
        <f>96.8</f>
        <v>96.8</v>
      </c>
    </row>
    <row r="54" spans="1:5" s="41" customFormat="1" ht="12.75">
      <c r="A54" s="43" t="s">
        <v>13</v>
      </c>
      <c r="B54" s="44" t="s">
        <v>14</v>
      </c>
      <c r="C54" s="45">
        <f t="shared" si="1"/>
        <v>10248.94124</v>
      </c>
      <c r="D54" s="45">
        <f t="shared" si="1"/>
        <v>10248.94124</v>
      </c>
      <c r="E54" s="45">
        <f>100</f>
        <v>100</v>
      </c>
    </row>
    <row r="55" spans="1:5" s="41" customFormat="1" ht="12.75">
      <c r="A55" s="43" t="s">
        <v>15</v>
      </c>
      <c r="B55" s="44" t="s">
        <v>16</v>
      </c>
      <c r="C55" s="45">
        <f t="shared" si="1"/>
        <v>4352.551</v>
      </c>
      <c r="D55" s="45">
        <f t="shared" si="1"/>
        <v>4352.551</v>
      </c>
      <c r="E55" s="45">
        <f>100</f>
        <v>100</v>
      </c>
    </row>
    <row r="56" spans="1:5" s="41" customFormat="1" ht="25.5">
      <c r="A56" s="43" t="s">
        <v>17</v>
      </c>
      <c r="B56" s="44" t="s">
        <v>18</v>
      </c>
      <c r="C56" s="45">
        <f t="shared" si="1"/>
        <v>700</v>
      </c>
      <c r="D56" s="45">
        <f t="shared" si="1"/>
        <v>700</v>
      </c>
      <c r="E56" s="45">
        <f>100</f>
        <v>100</v>
      </c>
    </row>
    <row r="57" spans="1:5" s="41" customFormat="1" ht="25.5">
      <c r="A57" s="43" t="s">
        <v>19</v>
      </c>
      <c r="B57" s="44" t="s">
        <v>20</v>
      </c>
      <c r="C57" s="45">
        <f t="shared" si="1"/>
        <v>1159.11895</v>
      </c>
      <c r="D57" s="45">
        <f t="shared" si="1"/>
        <v>1159.11895</v>
      </c>
      <c r="E57" s="45">
        <f>100</f>
        <v>100</v>
      </c>
    </row>
    <row r="58" spans="1:5" s="41" customFormat="1" ht="25.5">
      <c r="A58" s="43" t="s">
        <v>21</v>
      </c>
      <c r="B58" s="44" t="s">
        <v>22</v>
      </c>
      <c r="C58" s="45">
        <f t="shared" si="1"/>
        <v>35054.10408</v>
      </c>
      <c r="D58" s="45">
        <f t="shared" si="1"/>
        <v>33585.80972999999</v>
      </c>
      <c r="E58" s="45">
        <f>95.81</f>
        <v>95.81</v>
      </c>
    </row>
    <row r="59" spans="1:5" s="41" customFormat="1" ht="12.75">
      <c r="A59" s="43" t="s">
        <v>23</v>
      </c>
      <c r="B59" s="44" t="s">
        <v>24</v>
      </c>
      <c r="C59" s="45">
        <f t="shared" si="1"/>
        <v>514.8</v>
      </c>
      <c r="D59" s="45">
        <f t="shared" si="1"/>
        <v>514.05</v>
      </c>
      <c r="E59" s="45">
        <f>99.85</f>
        <v>99.85</v>
      </c>
    </row>
    <row r="60" spans="1:5" s="41" customFormat="1" ht="38.25">
      <c r="A60" s="43" t="s">
        <v>25</v>
      </c>
      <c r="B60" s="44" t="s">
        <v>26</v>
      </c>
      <c r="C60" s="45">
        <f t="shared" si="1"/>
        <v>200</v>
      </c>
      <c r="D60" s="45">
        <f t="shared" si="1"/>
        <v>88.435</v>
      </c>
      <c r="E60" s="45">
        <f>44.22</f>
        <v>44.22</v>
      </c>
    </row>
    <row r="61" spans="1:5" s="41" customFormat="1" ht="25.5">
      <c r="A61" s="43" t="s">
        <v>27</v>
      </c>
      <c r="B61" s="44" t="s">
        <v>28</v>
      </c>
      <c r="C61" s="45">
        <f t="shared" si="1"/>
        <v>4900</v>
      </c>
      <c r="D61" s="45">
        <f t="shared" si="1"/>
        <v>4900</v>
      </c>
      <c r="E61" s="45">
        <f>100</f>
        <v>100</v>
      </c>
    </row>
    <row r="62" spans="1:5" s="41" customFormat="1" ht="25.5">
      <c r="A62" s="43" t="s">
        <v>29</v>
      </c>
      <c r="B62" s="44" t="s">
        <v>30</v>
      </c>
      <c r="C62" s="45">
        <f t="shared" si="1"/>
        <v>996</v>
      </c>
      <c r="D62" s="45">
        <f t="shared" si="1"/>
        <v>920.5584</v>
      </c>
      <c r="E62" s="45">
        <f>92.43</f>
        <v>92.43</v>
      </c>
    </row>
    <row r="63" spans="1:5" s="41" customFormat="1" ht="25.5">
      <c r="A63" s="43" t="s">
        <v>31</v>
      </c>
      <c r="B63" s="44" t="s">
        <v>32</v>
      </c>
      <c r="C63" s="45">
        <f t="shared" si="1"/>
        <v>4706.60548</v>
      </c>
      <c r="D63" s="45">
        <f t="shared" si="1"/>
        <v>4706.60548</v>
      </c>
      <c r="E63" s="45">
        <f>100</f>
        <v>100</v>
      </c>
    </row>
    <row r="64" spans="1:5" s="41" customFormat="1" ht="38.25">
      <c r="A64" s="43" t="s">
        <v>33</v>
      </c>
      <c r="B64" s="44" t="s">
        <v>34</v>
      </c>
      <c r="C64" s="45">
        <f t="shared" si="1"/>
        <v>4911.6</v>
      </c>
      <c r="D64" s="45">
        <f t="shared" si="1"/>
        <v>4911.6</v>
      </c>
      <c r="E64" s="45">
        <f>100</f>
        <v>100</v>
      </c>
    </row>
    <row r="65" spans="1:5" s="41" customFormat="1" ht="38.25">
      <c r="A65" s="43" t="s">
        <v>35</v>
      </c>
      <c r="B65" s="44" t="s">
        <v>36</v>
      </c>
      <c r="C65" s="45">
        <f t="shared" si="1"/>
        <v>11517.11</v>
      </c>
      <c r="D65" s="45">
        <f t="shared" si="1"/>
        <v>11033.64011</v>
      </c>
      <c r="E65" s="45">
        <f>95.8</f>
        <v>95.8</v>
      </c>
    </row>
    <row r="66" spans="1:5" s="41" customFormat="1" ht="38.25">
      <c r="A66" s="43" t="s">
        <v>37</v>
      </c>
      <c r="B66" s="44" t="s">
        <v>38</v>
      </c>
      <c r="C66" s="45">
        <f t="shared" si="1"/>
        <v>1350.71</v>
      </c>
      <c r="D66" s="45">
        <f t="shared" si="1"/>
        <v>1283.3011999999999</v>
      </c>
      <c r="E66" s="45">
        <f>95.01</f>
        <v>95.01</v>
      </c>
    </row>
    <row r="67" spans="1:5" s="41" customFormat="1" ht="38.25">
      <c r="A67" s="43" t="s">
        <v>39</v>
      </c>
      <c r="B67" s="44" t="s">
        <v>40</v>
      </c>
      <c r="C67" s="45">
        <f t="shared" si="1"/>
        <v>800</v>
      </c>
      <c r="D67" s="45">
        <f t="shared" si="1"/>
        <v>800</v>
      </c>
      <c r="E67" s="45">
        <f aca="true" t="shared" si="2" ref="E67:E74">100</f>
        <v>100</v>
      </c>
    </row>
    <row r="68" spans="1:5" s="41" customFormat="1" ht="38.25">
      <c r="A68" s="43" t="s">
        <v>41</v>
      </c>
      <c r="B68" s="44" t="s">
        <v>42</v>
      </c>
      <c r="C68" s="45">
        <f t="shared" si="1"/>
        <v>20</v>
      </c>
      <c r="D68" s="45">
        <f t="shared" si="1"/>
        <v>20</v>
      </c>
      <c r="E68" s="45">
        <f t="shared" si="2"/>
        <v>100</v>
      </c>
    </row>
    <row r="69" spans="1:5" s="41" customFormat="1" ht="25.5">
      <c r="A69" s="43" t="s">
        <v>43</v>
      </c>
      <c r="B69" s="44" t="s">
        <v>44</v>
      </c>
      <c r="C69" s="45">
        <f t="shared" si="1"/>
        <v>15</v>
      </c>
      <c r="D69" s="45">
        <f t="shared" si="1"/>
        <v>15</v>
      </c>
      <c r="E69" s="45">
        <f t="shared" si="2"/>
        <v>100</v>
      </c>
    </row>
    <row r="70" spans="1:5" s="41" customFormat="1" ht="25.5">
      <c r="A70" s="43" t="s">
        <v>45</v>
      </c>
      <c r="B70" s="44" t="s">
        <v>46</v>
      </c>
      <c r="C70" s="45">
        <f t="shared" si="1"/>
        <v>50</v>
      </c>
      <c r="D70" s="45">
        <f t="shared" si="1"/>
        <v>50</v>
      </c>
      <c r="E70" s="45">
        <f t="shared" si="2"/>
        <v>100</v>
      </c>
    </row>
    <row r="71" spans="1:5" s="41" customFormat="1" ht="25.5">
      <c r="A71" s="43" t="s">
        <v>47</v>
      </c>
      <c r="B71" s="44" t="s">
        <v>48</v>
      </c>
      <c r="C71" s="45">
        <f t="shared" si="1"/>
        <v>50</v>
      </c>
      <c r="D71" s="45">
        <f t="shared" si="1"/>
        <v>50</v>
      </c>
      <c r="E71" s="45">
        <f t="shared" si="2"/>
        <v>100</v>
      </c>
    </row>
    <row r="72" spans="1:5" s="41" customFormat="1" ht="25.5">
      <c r="A72" s="43" t="s">
        <v>49</v>
      </c>
      <c r="B72" s="44" t="s">
        <v>50</v>
      </c>
      <c r="C72" s="45">
        <f t="shared" si="1"/>
        <v>90</v>
      </c>
      <c r="D72" s="45">
        <f t="shared" si="1"/>
        <v>90</v>
      </c>
      <c r="E72" s="45">
        <f t="shared" si="2"/>
        <v>100</v>
      </c>
    </row>
    <row r="73" spans="1:5" s="41" customFormat="1" ht="38.25">
      <c r="A73" s="43" t="s">
        <v>51</v>
      </c>
      <c r="B73" s="44" t="s">
        <v>52</v>
      </c>
      <c r="C73" s="45">
        <f aca="true" t="shared" si="3" ref="C73:D89">C26/$C$45</f>
        <v>296.2</v>
      </c>
      <c r="D73" s="45">
        <f t="shared" si="3"/>
        <v>296.2</v>
      </c>
      <c r="E73" s="45">
        <f t="shared" si="2"/>
        <v>100</v>
      </c>
    </row>
    <row r="74" spans="1:5" s="41" customFormat="1" ht="38.25">
      <c r="A74" s="43" t="s">
        <v>53</v>
      </c>
      <c r="B74" s="44" t="s">
        <v>54</v>
      </c>
      <c r="C74" s="45">
        <f t="shared" si="3"/>
        <v>176.03</v>
      </c>
      <c r="D74" s="45">
        <f t="shared" si="3"/>
        <v>176.03</v>
      </c>
      <c r="E74" s="45">
        <f t="shared" si="2"/>
        <v>100</v>
      </c>
    </row>
    <row r="75" spans="1:5" s="41" customFormat="1" ht="25.5">
      <c r="A75" s="43" t="s">
        <v>55</v>
      </c>
      <c r="B75" s="44" t="s">
        <v>56</v>
      </c>
      <c r="C75" s="45">
        <f t="shared" si="3"/>
        <v>492.22</v>
      </c>
      <c r="D75" s="45">
        <f t="shared" si="3"/>
        <v>454.626</v>
      </c>
      <c r="E75" s="45">
        <f>92.36</f>
        <v>92.36</v>
      </c>
    </row>
    <row r="76" spans="1:5" s="41" customFormat="1" ht="12.75">
      <c r="A76" s="43" t="s">
        <v>57</v>
      </c>
      <c r="B76" s="44" t="s">
        <v>58</v>
      </c>
      <c r="C76" s="45">
        <f t="shared" si="3"/>
        <v>1150</v>
      </c>
      <c r="D76" s="45">
        <f t="shared" si="3"/>
        <v>858.66817</v>
      </c>
      <c r="E76" s="45">
        <f>74.67</f>
        <v>74.67</v>
      </c>
    </row>
    <row r="77" spans="1:5" s="41" customFormat="1" ht="12.75">
      <c r="A77" s="43" t="s">
        <v>59</v>
      </c>
      <c r="B77" s="44" t="s">
        <v>60</v>
      </c>
      <c r="C77" s="45">
        <f t="shared" si="3"/>
        <v>1820.56</v>
      </c>
      <c r="D77" s="45">
        <f t="shared" si="3"/>
        <v>1820.558</v>
      </c>
      <c r="E77" s="45">
        <f>100</f>
        <v>100</v>
      </c>
    </row>
    <row r="78" spans="1:5" s="41" customFormat="1" ht="12.75">
      <c r="A78" s="43" t="s">
        <v>61</v>
      </c>
      <c r="B78" s="44" t="s">
        <v>62</v>
      </c>
      <c r="C78" s="45">
        <f t="shared" si="3"/>
        <v>11386.9965</v>
      </c>
      <c r="D78" s="45">
        <f t="shared" si="3"/>
        <v>2560.866</v>
      </c>
      <c r="E78" s="45">
        <f>22.49</f>
        <v>22.49</v>
      </c>
    </row>
    <row r="79" spans="1:5" s="41" customFormat="1" ht="25.5">
      <c r="A79" s="43" t="s">
        <v>63</v>
      </c>
      <c r="B79" s="44" t="s">
        <v>64</v>
      </c>
      <c r="C79" s="45">
        <f t="shared" si="3"/>
        <v>329.44</v>
      </c>
      <c r="D79" s="45">
        <f t="shared" si="3"/>
        <v>328.6</v>
      </c>
      <c r="E79" s="45">
        <f>99.75</f>
        <v>99.75</v>
      </c>
    </row>
    <row r="80" spans="1:5" s="41" customFormat="1" ht="25.5">
      <c r="A80" s="43" t="s">
        <v>65</v>
      </c>
      <c r="B80" s="44" t="s">
        <v>66</v>
      </c>
      <c r="C80" s="45">
        <f t="shared" si="3"/>
        <v>242.9</v>
      </c>
      <c r="D80" s="45">
        <f t="shared" si="3"/>
        <v>242.9</v>
      </c>
      <c r="E80" s="45">
        <f>100</f>
        <v>100</v>
      </c>
    </row>
    <row r="81" spans="1:5" s="41" customFormat="1" ht="25.5">
      <c r="A81" s="43" t="s">
        <v>67</v>
      </c>
      <c r="B81" s="44" t="s">
        <v>68</v>
      </c>
      <c r="C81" s="45">
        <f t="shared" si="3"/>
        <v>1293.35</v>
      </c>
      <c r="D81" s="45">
        <f t="shared" si="3"/>
        <v>1293.35</v>
      </c>
      <c r="E81" s="45">
        <f>100</f>
        <v>100</v>
      </c>
    </row>
    <row r="82" spans="1:5" s="41" customFormat="1" ht="38.25">
      <c r="A82" s="43" t="s">
        <v>69</v>
      </c>
      <c r="B82" s="44" t="s">
        <v>70</v>
      </c>
      <c r="C82" s="45">
        <f t="shared" si="3"/>
        <v>9759.76</v>
      </c>
      <c r="D82" s="45">
        <f t="shared" si="3"/>
        <v>9184.89024</v>
      </c>
      <c r="E82" s="45">
        <f>94.11</f>
        <v>94.11</v>
      </c>
    </row>
    <row r="83" spans="1:5" s="41" customFormat="1" ht="25.5">
      <c r="A83" s="43" t="s">
        <v>71</v>
      </c>
      <c r="B83" s="44" t="s">
        <v>72</v>
      </c>
      <c r="C83" s="45">
        <f t="shared" si="3"/>
        <v>965.8</v>
      </c>
      <c r="D83" s="45">
        <f t="shared" si="3"/>
        <v>906.621</v>
      </c>
      <c r="E83" s="45">
        <f>93.87</f>
        <v>93.87</v>
      </c>
    </row>
    <row r="84" spans="1:5" s="41" customFormat="1" ht="25.5">
      <c r="A84" s="43" t="s">
        <v>73</v>
      </c>
      <c r="B84" s="44" t="s">
        <v>74</v>
      </c>
      <c r="C84" s="45">
        <f t="shared" si="3"/>
        <v>316.17940000000004</v>
      </c>
      <c r="D84" s="45">
        <f t="shared" si="3"/>
        <v>312.8902</v>
      </c>
      <c r="E84" s="45">
        <f>98.96</f>
        <v>98.96</v>
      </c>
    </row>
    <row r="85" spans="1:5" s="41" customFormat="1" ht="12.75">
      <c r="A85" s="43" t="s">
        <v>75</v>
      </c>
      <c r="B85" s="44" t="s">
        <v>76</v>
      </c>
      <c r="C85" s="45">
        <f t="shared" si="3"/>
        <v>9249.77</v>
      </c>
      <c r="D85" s="45">
        <f t="shared" si="3"/>
        <v>6745.82386</v>
      </c>
      <c r="E85" s="45">
        <f>72.93</f>
        <v>72.93</v>
      </c>
    </row>
    <row r="86" spans="1:5" s="41" customFormat="1" ht="25.5">
      <c r="A86" s="43" t="s">
        <v>77</v>
      </c>
      <c r="B86" s="44" t="s">
        <v>78</v>
      </c>
      <c r="C86" s="45">
        <f t="shared" si="3"/>
        <v>1323.76</v>
      </c>
      <c r="D86" s="45">
        <f t="shared" si="3"/>
        <v>1323.76</v>
      </c>
      <c r="E86" s="45">
        <f>100</f>
        <v>100</v>
      </c>
    </row>
    <row r="87" spans="1:5" s="41" customFormat="1" ht="38.25">
      <c r="A87" s="43" t="s">
        <v>79</v>
      </c>
      <c r="B87" s="44" t="s">
        <v>80</v>
      </c>
      <c r="C87" s="45">
        <f t="shared" si="3"/>
        <v>7283.46436</v>
      </c>
      <c r="D87" s="45">
        <f t="shared" si="3"/>
        <v>6761.924150000001</v>
      </c>
      <c r="E87" s="45">
        <f>92.84</f>
        <v>92.84</v>
      </c>
    </row>
    <row r="88" spans="1:5" s="41" customFormat="1" ht="38.25">
      <c r="A88" s="43" t="s">
        <v>81</v>
      </c>
      <c r="B88" s="44" t="s">
        <v>82</v>
      </c>
      <c r="C88" s="45">
        <f t="shared" si="3"/>
        <v>30</v>
      </c>
      <c r="D88" s="45">
        <f t="shared" si="3"/>
        <v>30</v>
      </c>
      <c r="E88" s="45">
        <f>100</f>
        <v>100</v>
      </c>
    </row>
    <row r="89" spans="1:5" s="41" customFormat="1" ht="25.5">
      <c r="A89" s="43" t="s">
        <v>83</v>
      </c>
      <c r="B89" s="44" t="s">
        <v>84</v>
      </c>
      <c r="C89" s="45">
        <f t="shared" si="3"/>
        <v>20</v>
      </c>
      <c r="D89" s="45">
        <f t="shared" si="3"/>
        <v>20</v>
      </c>
      <c r="E89" s="45">
        <f>100</f>
        <v>100</v>
      </c>
    </row>
    <row r="90" spans="1:5" s="41" customFormat="1" ht="12.75">
      <c r="A90" s="299" t="s">
        <v>85</v>
      </c>
      <c r="B90" s="299"/>
      <c r="C90" s="45">
        <f>SUM(C53:C89)</f>
        <v>128071.11901</v>
      </c>
      <c r="D90" s="45">
        <f>SUM(D53:D89)</f>
        <v>113035.91773000002</v>
      </c>
      <c r="E90" s="45">
        <f>88.26</f>
        <v>88.26</v>
      </c>
    </row>
  </sheetData>
  <sheetProtection/>
  <mergeCells count="5">
    <mergeCell ref="A90:B90"/>
    <mergeCell ref="A49:E49"/>
    <mergeCell ref="A48:E48"/>
    <mergeCell ref="A43:B43"/>
    <mergeCell ref="B2:D2"/>
  </mergeCells>
  <printOptions/>
  <pageMargins left="0.3937007874015748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5"/>
  <sheetViews>
    <sheetView tabSelected="1" view="pageBreakPreview" zoomScaleNormal="75" zoomScaleSheetLayoutView="100" zoomScalePageLayoutView="0" workbookViewId="0" topLeftCell="A1">
      <selection activeCell="E5" sqref="E5:W5"/>
    </sheetView>
  </sheetViews>
  <sheetFormatPr defaultColWidth="8.00390625" defaultRowHeight="12.75"/>
  <cols>
    <col min="1" max="1" width="6.00390625" style="50" customWidth="1"/>
    <col min="2" max="2" width="51.140625" style="49" customWidth="1"/>
    <col min="3" max="3" width="16.140625" style="48" customWidth="1"/>
    <col min="4" max="4" width="14.140625" style="105" customWidth="1"/>
    <col min="5" max="9" width="11.140625" style="46" customWidth="1"/>
    <col min="10" max="10" width="12.57421875" style="46" customWidth="1"/>
    <col min="11" max="22" width="11.140625" style="46" customWidth="1"/>
    <col min="23" max="24" width="11.8515625" style="47" customWidth="1"/>
    <col min="25" max="51" width="8.00390625" style="47" customWidth="1"/>
    <col min="52" max="16384" width="8.00390625" style="46" customWidth="1"/>
  </cols>
  <sheetData>
    <row r="1" spans="1:3" ht="15.75">
      <c r="A1" s="267" t="s">
        <v>410</v>
      </c>
      <c r="B1" s="1"/>
      <c r="C1" s="1"/>
    </row>
    <row r="2" spans="1:22" s="47" customFormat="1" ht="15.75" customHeight="1">
      <c r="A2" s="102"/>
      <c r="B2" s="321" t="s">
        <v>411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266"/>
      <c r="O2" s="266"/>
      <c r="P2" s="266"/>
      <c r="Q2" s="266"/>
      <c r="R2" s="266"/>
      <c r="S2" s="266"/>
      <c r="T2" s="266"/>
      <c r="U2" s="266"/>
      <c r="V2" s="204"/>
    </row>
    <row r="3" spans="1:22" s="47" customFormat="1" ht="16.5" customHeight="1">
      <c r="A3" s="103"/>
      <c r="B3" s="323" t="s">
        <v>412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101"/>
      <c r="O3" s="100"/>
      <c r="P3" s="100"/>
      <c r="Q3" s="99"/>
      <c r="R3" s="99"/>
      <c r="S3" s="99"/>
      <c r="T3" s="99"/>
      <c r="U3" s="99"/>
      <c r="V3" s="99"/>
    </row>
    <row r="4" spans="1:24" s="47" customFormat="1" ht="12.75" customHeight="1" thickBot="1">
      <c r="A4" s="98"/>
      <c r="B4" s="97"/>
      <c r="C4" s="210"/>
      <c r="D4" s="210"/>
      <c r="E4" s="97"/>
      <c r="F4" s="97"/>
      <c r="G4" s="97"/>
      <c r="H4" s="97"/>
      <c r="I4" s="97"/>
      <c r="J4" s="97"/>
      <c r="K4" s="97"/>
      <c r="L4" s="97"/>
      <c r="N4" s="97"/>
      <c r="P4" s="97"/>
      <c r="Q4" s="97"/>
      <c r="R4" s="97"/>
      <c r="S4" s="97" t="s">
        <v>404</v>
      </c>
      <c r="T4" s="97"/>
      <c r="W4" s="96"/>
      <c r="X4" s="96" t="s">
        <v>222</v>
      </c>
    </row>
    <row r="5" spans="1:24" s="73" customFormat="1" ht="15" customHeight="1">
      <c r="A5" s="307"/>
      <c r="B5" s="311" t="s">
        <v>221</v>
      </c>
      <c r="C5" s="315" t="s">
        <v>220</v>
      </c>
      <c r="D5" s="316"/>
      <c r="E5" s="313" t="s">
        <v>219</v>
      </c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211"/>
    </row>
    <row r="6" spans="1:24" s="73" customFormat="1" ht="18" customHeight="1">
      <c r="A6" s="308"/>
      <c r="B6" s="312"/>
      <c r="C6" s="317"/>
      <c r="D6" s="318"/>
      <c r="E6" s="309" t="s">
        <v>218</v>
      </c>
      <c r="F6" s="310"/>
      <c r="G6" s="309" t="s">
        <v>217</v>
      </c>
      <c r="H6" s="310"/>
      <c r="I6" s="309" t="s">
        <v>216</v>
      </c>
      <c r="J6" s="310"/>
      <c r="K6" s="309" t="s">
        <v>215</v>
      </c>
      <c r="L6" s="310"/>
      <c r="M6" s="309" t="s">
        <v>214</v>
      </c>
      <c r="N6" s="310"/>
      <c r="O6" s="309" t="s">
        <v>213</v>
      </c>
      <c r="P6" s="310"/>
      <c r="Q6" s="309" t="s">
        <v>212</v>
      </c>
      <c r="R6" s="310"/>
      <c r="S6" s="309" t="s">
        <v>211</v>
      </c>
      <c r="T6" s="310"/>
      <c r="U6" s="309" t="s">
        <v>210</v>
      </c>
      <c r="V6" s="310"/>
      <c r="W6" s="319" t="s">
        <v>209</v>
      </c>
      <c r="X6" s="320"/>
    </row>
    <row r="7" spans="1:24" s="73" customFormat="1" ht="18" customHeight="1">
      <c r="A7" s="308"/>
      <c r="B7" s="206"/>
      <c r="C7" s="207" t="s">
        <v>366</v>
      </c>
      <c r="D7" s="207" t="s">
        <v>367</v>
      </c>
      <c r="E7" s="207" t="s">
        <v>366</v>
      </c>
      <c r="F7" s="207" t="s">
        <v>367</v>
      </c>
      <c r="G7" s="207" t="s">
        <v>366</v>
      </c>
      <c r="H7" s="207" t="s">
        <v>367</v>
      </c>
      <c r="I7" s="207" t="s">
        <v>366</v>
      </c>
      <c r="J7" s="207" t="s">
        <v>367</v>
      </c>
      <c r="K7" s="207" t="s">
        <v>366</v>
      </c>
      <c r="L7" s="207" t="s">
        <v>367</v>
      </c>
      <c r="M7" s="207" t="s">
        <v>366</v>
      </c>
      <c r="N7" s="207" t="s">
        <v>367</v>
      </c>
      <c r="O7" s="207" t="s">
        <v>366</v>
      </c>
      <c r="P7" s="207" t="s">
        <v>367</v>
      </c>
      <c r="Q7" s="207" t="s">
        <v>366</v>
      </c>
      <c r="R7" s="207" t="s">
        <v>367</v>
      </c>
      <c r="S7" s="207" t="s">
        <v>366</v>
      </c>
      <c r="T7" s="207" t="s">
        <v>367</v>
      </c>
      <c r="U7" s="207" t="s">
        <v>366</v>
      </c>
      <c r="V7" s="207" t="s">
        <v>367</v>
      </c>
      <c r="W7" s="207" t="s">
        <v>366</v>
      </c>
      <c r="X7" s="207" t="s">
        <v>367</v>
      </c>
    </row>
    <row r="8" spans="1:61" s="91" customFormat="1" ht="13.5" thickBot="1">
      <c r="A8" s="225" t="s">
        <v>208</v>
      </c>
      <c r="B8" s="95" t="s">
        <v>207</v>
      </c>
      <c r="C8" s="94">
        <v>1</v>
      </c>
      <c r="D8" s="94"/>
      <c r="E8" s="93">
        <v>2</v>
      </c>
      <c r="F8" s="93"/>
      <c r="G8" s="93">
        <f>E8+1</f>
        <v>3</v>
      </c>
      <c r="H8" s="93"/>
      <c r="I8" s="93">
        <f>G8+1</f>
        <v>4</v>
      </c>
      <c r="J8" s="93"/>
      <c r="K8" s="93">
        <f>I8+1</f>
        <v>5</v>
      </c>
      <c r="L8" s="93"/>
      <c r="M8" s="93">
        <f>K8+1</f>
        <v>6</v>
      </c>
      <c r="N8" s="93"/>
      <c r="O8" s="93">
        <f>M8+1</f>
        <v>7</v>
      </c>
      <c r="P8" s="93"/>
      <c r="Q8" s="93">
        <f>O8+1</f>
        <v>8</v>
      </c>
      <c r="R8" s="93"/>
      <c r="S8" s="93">
        <f>Q8+1</f>
        <v>9</v>
      </c>
      <c r="T8" s="93"/>
      <c r="U8" s="93">
        <f>S8+1</f>
        <v>10</v>
      </c>
      <c r="V8" s="205"/>
      <c r="W8" s="92">
        <v>11</v>
      </c>
      <c r="X8" s="212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</row>
    <row r="9" spans="1:51" s="88" customFormat="1" ht="28.5" customHeight="1" thickBot="1">
      <c r="A9" s="226" t="s">
        <v>6</v>
      </c>
      <c r="B9" s="213" t="s">
        <v>206</v>
      </c>
      <c r="C9" s="268">
        <f aca="true" t="shared" si="0" ref="C9:D12">E9+G9+I9+K9+M9+O9+Q9+S9+U9+W9</f>
        <v>9309</v>
      </c>
      <c r="D9" s="268">
        <f t="shared" si="0"/>
        <v>9309</v>
      </c>
      <c r="E9" s="90">
        <f aca="true" t="shared" si="1" ref="E9:X9">SUM(E10:E10)</f>
        <v>808.2</v>
      </c>
      <c r="F9" s="90">
        <f t="shared" si="1"/>
        <v>808.2</v>
      </c>
      <c r="G9" s="90">
        <f t="shared" si="1"/>
        <v>1125.1</v>
      </c>
      <c r="H9" s="90">
        <f t="shared" si="1"/>
        <v>1125.1</v>
      </c>
      <c r="I9" s="90">
        <f t="shared" si="1"/>
        <v>471.4</v>
      </c>
      <c r="J9" s="90">
        <f t="shared" si="1"/>
        <v>471.4</v>
      </c>
      <c r="K9" s="90">
        <f t="shared" si="1"/>
        <v>663.2</v>
      </c>
      <c r="L9" s="90">
        <f t="shared" si="1"/>
        <v>663.2</v>
      </c>
      <c r="M9" s="90">
        <f t="shared" si="1"/>
        <v>331</v>
      </c>
      <c r="N9" s="90">
        <f t="shared" si="1"/>
        <v>331</v>
      </c>
      <c r="O9" s="90">
        <f t="shared" si="1"/>
        <v>460.5</v>
      </c>
      <c r="P9" s="90">
        <f t="shared" si="1"/>
        <v>460.5</v>
      </c>
      <c r="Q9" s="90">
        <f t="shared" si="1"/>
        <v>334.8</v>
      </c>
      <c r="R9" s="90">
        <f t="shared" si="1"/>
        <v>334.8</v>
      </c>
      <c r="S9" s="90">
        <f t="shared" si="1"/>
        <v>509.9</v>
      </c>
      <c r="T9" s="90">
        <f t="shared" si="1"/>
        <v>509.9</v>
      </c>
      <c r="U9" s="90">
        <f t="shared" si="1"/>
        <v>1055.1</v>
      </c>
      <c r="V9" s="90">
        <f t="shared" si="1"/>
        <v>1055.1</v>
      </c>
      <c r="W9" s="90">
        <f t="shared" si="1"/>
        <v>3549.8</v>
      </c>
      <c r="X9" s="90">
        <f t="shared" si="1"/>
        <v>3549.8</v>
      </c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</row>
    <row r="10" spans="1:24" s="73" customFormat="1" ht="51.75" thickBot="1">
      <c r="A10" s="227" t="s">
        <v>205</v>
      </c>
      <c r="B10" s="214" t="s">
        <v>204</v>
      </c>
      <c r="C10" s="269">
        <f t="shared" si="0"/>
        <v>9309</v>
      </c>
      <c r="D10" s="269">
        <f t="shared" si="0"/>
        <v>9309</v>
      </c>
      <c r="E10" s="87">
        <v>808.2</v>
      </c>
      <c r="F10" s="87">
        <v>808.2</v>
      </c>
      <c r="G10" s="87">
        <v>1125.1</v>
      </c>
      <c r="H10" s="87">
        <v>1125.1</v>
      </c>
      <c r="I10" s="87">
        <v>471.4</v>
      </c>
      <c r="J10" s="87">
        <v>471.4</v>
      </c>
      <c r="K10" s="87">
        <v>663.2</v>
      </c>
      <c r="L10" s="87">
        <v>663.2</v>
      </c>
      <c r="M10" s="87">
        <v>331</v>
      </c>
      <c r="N10" s="87">
        <v>331</v>
      </c>
      <c r="O10" s="86">
        <v>460.5</v>
      </c>
      <c r="P10" s="86">
        <v>460.5</v>
      </c>
      <c r="Q10" s="86">
        <v>334.8</v>
      </c>
      <c r="R10" s="86">
        <v>334.8</v>
      </c>
      <c r="S10" s="86">
        <v>509.9</v>
      </c>
      <c r="T10" s="86">
        <v>509.9</v>
      </c>
      <c r="U10" s="86">
        <v>1055.1</v>
      </c>
      <c r="V10" s="86">
        <v>1055.1</v>
      </c>
      <c r="W10" s="85">
        <v>3549.8</v>
      </c>
      <c r="X10" s="85">
        <v>3549.8</v>
      </c>
    </row>
    <row r="11" spans="1:24" s="83" customFormat="1" ht="13.5" thickBot="1">
      <c r="A11" s="228" t="s">
        <v>7</v>
      </c>
      <c r="B11" s="215" t="s">
        <v>203</v>
      </c>
      <c r="C11" s="268">
        <f t="shared" si="0"/>
        <v>529.8999999999999</v>
      </c>
      <c r="D11" s="268">
        <f t="shared" si="0"/>
        <v>529.8999999999999</v>
      </c>
      <c r="E11" s="84">
        <f aca="true" t="shared" si="2" ref="E11:X11">E12</f>
        <v>57.1</v>
      </c>
      <c r="F11" s="84">
        <f t="shared" si="2"/>
        <v>57.1</v>
      </c>
      <c r="G11" s="84">
        <f t="shared" si="2"/>
        <v>144.1</v>
      </c>
      <c r="H11" s="84">
        <f t="shared" si="2"/>
        <v>144.1</v>
      </c>
      <c r="I11" s="84">
        <f t="shared" si="2"/>
        <v>42.9</v>
      </c>
      <c r="J11" s="84">
        <f t="shared" si="2"/>
        <v>42.9</v>
      </c>
      <c r="K11" s="84">
        <f t="shared" si="2"/>
        <v>57.1</v>
      </c>
      <c r="L11" s="84">
        <f t="shared" si="2"/>
        <v>57.1</v>
      </c>
      <c r="M11" s="84">
        <f t="shared" si="2"/>
        <v>42.9</v>
      </c>
      <c r="N11" s="84">
        <f t="shared" si="2"/>
        <v>42.9</v>
      </c>
      <c r="O11" s="84">
        <f t="shared" si="2"/>
        <v>42.9</v>
      </c>
      <c r="P11" s="84">
        <f t="shared" si="2"/>
        <v>42.9</v>
      </c>
      <c r="Q11" s="84">
        <f t="shared" si="2"/>
        <v>42.9</v>
      </c>
      <c r="R11" s="84">
        <f t="shared" si="2"/>
        <v>42.9</v>
      </c>
      <c r="S11" s="84">
        <f t="shared" si="2"/>
        <v>42.9</v>
      </c>
      <c r="T11" s="84">
        <f t="shared" si="2"/>
        <v>42.9</v>
      </c>
      <c r="U11" s="84">
        <f t="shared" si="2"/>
        <v>57.1</v>
      </c>
      <c r="V11" s="84">
        <f t="shared" si="2"/>
        <v>57.1</v>
      </c>
      <c r="W11" s="84">
        <f t="shared" si="2"/>
        <v>0</v>
      </c>
      <c r="X11" s="84">
        <f t="shared" si="2"/>
        <v>0</v>
      </c>
    </row>
    <row r="12" spans="1:24" s="73" customFormat="1" ht="36" customHeight="1" thickBot="1">
      <c r="A12" s="227" t="s">
        <v>202</v>
      </c>
      <c r="B12" s="216" t="s">
        <v>201</v>
      </c>
      <c r="C12" s="55">
        <f t="shared" si="0"/>
        <v>529.8999999999999</v>
      </c>
      <c r="D12" s="55">
        <f t="shared" si="0"/>
        <v>529.8999999999999</v>
      </c>
      <c r="E12" s="82">
        <f>54.4+2.7</f>
        <v>57.1</v>
      </c>
      <c r="F12" s="82">
        <f>54.4+2.7</f>
        <v>57.1</v>
      </c>
      <c r="G12" s="82">
        <f>137.2+6.9</f>
        <v>144.1</v>
      </c>
      <c r="H12" s="82">
        <f>137.2+6.9</f>
        <v>144.1</v>
      </c>
      <c r="I12" s="82">
        <f>40.8+2.1</f>
        <v>42.9</v>
      </c>
      <c r="J12" s="82">
        <f>40.8+2.1</f>
        <v>42.9</v>
      </c>
      <c r="K12" s="82">
        <f>54.4+2.7</f>
        <v>57.1</v>
      </c>
      <c r="L12" s="82">
        <f>54.4+2.7</f>
        <v>57.1</v>
      </c>
      <c r="M12" s="82">
        <f aca="true" t="shared" si="3" ref="M12:T12">40.8+2.1</f>
        <v>42.9</v>
      </c>
      <c r="N12" s="82">
        <f t="shared" si="3"/>
        <v>42.9</v>
      </c>
      <c r="O12" s="82">
        <f t="shared" si="3"/>
        <v>42.9</v>
      </c>
      <c r="P12" s="82">
        <f t="shared" si="3"/>
        <v>42.9</v>
      </c>
      <c r="Q12" s="82">
        <f t="shared" si="3"/>
        <v>42.9</v>
      </c>
      <c r="R12" s="82">
        <f t="shared" si="3"/>
        <v>42.9</v>
      </c>
      <c r="S12" s="82">
        <f t="shared" si="3"/>
        <v>42.9</v>
      </c>
      <c r="T12" s="82">
        <f t="shared" si="3"/>
        <v>42.9</v>
      </c>
      <c r="U12" s="82">
        <f>54.4+2.7</f>
        <v>57.1</v>
      </c>
      <c r="V12" s="82">
        <f>54.4+2.7</f>
        <v>57.1</v>
      </c>
      <c r="W12" s="81"/>
      <c r="X12" s="81"/>
    </row>
    <row r="13" spans="1:51" s="79" customFormat="1" ht="26.25" thickBot="1">
      <c r="A13" s="226" t="s">
        <v>8</v>
      </c>
      <c r="B13" s="213" t="s">
        <v>200</v>
      </c>
      <c r="C13" s="80">
        <f aca="true" t="shared" si="4" ref="C13:W13">C14+C15</f>
        <v>21960.024999999998</v>
      </c>
      <c r="D13" s="80">
        <f>D14+D15</f>
        <v>21960.024999999998</v>
      </c>
      <c r="E13" s="80">
        <f t="shared" si="4"/>
        <v>2443.8</v>
      </c>
      <c r="F13" s="80">
        <f>F14+F15</f>
        <v>2443.8</v>
      </c>
      <c r="G13" s="80">
        <f t="shared" si="4"/>
        <v>2286.9</v>
      </c>
      <c r="H13" s="80">
        <f>H14+H15</f>
        <v>2286.9</v>
      </c>
      <c r="I13" s="80">
        <f t="shared" si="4"/>
        <v>2276.5</v>
      </c>
      <c r="J13" s="80">
        <f>J14+J15</f>
        <v>2276.5</v>
      </c>
      <c r="K13" s="80">
        <f t="shared" si="4"/>
        <v>3059.9</v>
      </c>
      <c r="L13" s="80">
        <f>L14+L15</f>
        <v>3059.9</v>
      </c>
      <c r="M13" s="80">
        <f t="shared" si="4"/>
        <v>2430.9</v>
      </c>
      <c r="N13" s="80">
        <f>N14+N15</f>
        <v>2430.9</v>
      </c>
      <c r="O13" s="80">
        <f t="shared" si="4"/>
        <v>1921.905</v>
      </c>
      <c r="P13" s="80">
        <f>P14+P15</f>
        <v>1921.905</v>
      </c>
      <c r="Q13" s="80">
        <f t="shared" si="4"/>
        <v>1755.6</v>
      </c>
      <c r="R13" s="80">
        <f>R14+R15</f>
        <v>1755.6</v>
      </c>
      <c r="S13" s="80">
        <f t="shared" si="4"/>
        <v>2204.92</v>
      </c>
      <c r="T13" s="80">
        <f>T14+T15</f>
        <v>2204.92</v>
      </c>
      <c r="U13" s="80">
        <f t="shared" si="4"/>
        <v>3429.6</v>
      </c>
      <c r="V13" s="80">
        <f>V14+V15</f>
        <v>3429.6</v>
      </c>
      <c r="W13" s="80">
        <f t="shared" si="4"/>
        <v>150</v>
      </c>
      <c r="X13" s="80">
        <f>X14+X15</f>
        <v>150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25" s="73" customFormat="1" ht="32.25" customHeight="1">
      <c r="A14" s="227" t="s">
        <v>199</v>
      </c>
      <c r="B14" s="217" t="s">
        <v>198</v>
      </c>
      <c r="C14" s="55">
        <f>E14+G14+I14+K14+M14+O14+Q14+S14+U14+W14</f>
        <v>20857.12</v>
      </c>
      <c r="D14" s="55">
        <f>F14+H14+J14+L14+N14+P14+R14+T14+V14+X14</f>
        <v>20857.12</v>
      </c>
      <c r="E14" s="78">
        <v>2305.8</v>
      </c>
      <c r="F14" s="78">
        <v>2305.8</v>
      </c>
      <c r="G14" s="78">
        <v>2092.9</v>
      </c>
      <c r="H14" s="78">
        <v>2092.9</v>
      </c>
      <c r="I14" s="78">
        <v>2276.5</v>
      </c>
      <c r="J14" s="78">
        <v>2276.5</v>
      </c>
      <c r="K14" s="78">
        <v>3059.9</v>
      </c>
      <c r="L14" s="78">
        <v>3059.9</v>
      </c>
      <c r="M14" s="77">
        <v>2373.9</v>
      </c>
      <c r="N14" s="77">
        <v>2373.9</v>
      </c>
      <c r="O14" s="76">
        <v>1688</v>
      </c>
      <c r="P14" s="76">
        <v>1688</v>
      </c>
      <c r="Q14" s="76">
        <v>1694.6</v>
      </c>
      <c r="R14" s="76">
        <v>1694.6</v>
      </c>
      <c r="S14" s="76">
        <v>2118.92</v>
      </c>
      <c r="T14" s="76">
        <v>2118.92</v>
      </c>
      <c r="U14" s="76">
        <v>3246.6</v>
      </c>
      <c r="V14" s="76">
        <v>3246.6</v>
      </c>
      <c r="W14" s="75">
        <v>0</v>
      </c>
      <c r="X14" s="75">
        <v>0</v>
      </c>
      <c r="Y14" s="74"/>
    </row>
    <row r="15" spans="1:51" s="51" customFormat="1" ht="13.5" thickBot="1">
      <c r="A15" s="229" t="s">
        <v>197</v>
      </c>
      <c r="B15" s="218" t="s">
        <v>196</v>
      </c>
      <c r="C15" s="55">
        <f>E15+G15+I15+K15+M15+O15+Q15+S15+U15+W15</f>
        <v>1102.905</v>
      </c>
      <c r="D15" s="55">
        <f>F15+H15+J15+L15+N15+P15+R15+T15+V15+X15</f>
        <v>1102.905</v>
      </c>
      <c r="E15" s="72">
        <v>138</v>
      </c>
      <c r="F15" s="72">
        <v>138</v>
      </c>
      <c r="G15" s="72">
        <v>194</v>
      </c>
      <c r="H15" s="72">
        <v>194</v>
      </c>
      <c r="I15" s="72">
        <f>87-87</f>
        <v>0</v>
      </c>
      <c r="J15" s="72">
        <f>87-87</f>
        <v>0</v>
      </c>
      <c r="K15" s="72">
        <f>114-114</f>
        <v>0</v>
      </c>
      <c r="L15" s="72">
        <f>114-114</f>
        <v>0</v>
      </c>
      <c r="M15" s="72">
        <v>57</v>
      </c>
      <c r="N15" s="72">
        <v>57</v>
      </c>
      <c r="O15" s="72">
        <f>300-66.095</f>
        <v>233.905</v>
      </c>
      <c r="P15" s="72">
        <f>300-66.095</f>
        <v>233.905</v>
      </c>
      <c r="Q15" s="72">
        <v>61</v>
      </c>
      <c r="R15" s="72">
        <v>61</v>
      </c>
      <c r="S15" s="72">
        <v>86</v>
      </c>
      <c r="T15" s="72">
        <v>86</v>
      </c>
      <c r="U15" s="71">
        <v>183</v>
      </c>
      <c r="V15" s="71">
        <v>183</v>
      </c>
      <c r="W15" s="70">
        <f>300-150</f>
        <v>150</v>
      </c>
      <c r="X15" s="70">
        <f>300-150</f>
        <v>150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51" customFormat="1" ht="13.5" thickBot="1">
      <c r="A16" s="230" t="s">
        <v>9</v>
      </c>
      <c r="B16" s="219" t="s">
        <v>196</v>
      </c>
      <c r="C16" s="69">
        <f>SUM(E16:W16)</f>
        <v>268664.3129</v>
      </c>
      <c r="D16" s="69">
        <f>SUM(F16:X16)</f>
        <v>327310.64193000004</v>
      </c>
      <c r="E16" s="68">
        <f>E17+E33+E34+E35</f>
        <v>3449.4080000000004</v>
      </c>
      <c r="F16" s="68">
        <f>F17+F33+F34+F35</f>
        <v>3449.4080000000004</v>
      </c>
      <c r="G16" s="68">
        <f aca="true" t="shared" si="5" ref="G16:W16">G17+G33+G34+G35</f>
        <v>8413.61004</v>
      </c>
      <c r="H16" s="68">
        <f>H17+H33+H34+H35</f>
        <v>8413.61004</v>
      </c>
      <c r="I16" s="68">
        <f t="shared" si="5"/>
        <v>6621.393</v>
      </c>
      <c r="J16" s="68">
        <f>J17+J33+J34+J35</f>
        <v>6600.93</v>
      </c>
      <c r="K16" s="68">
        <f t="shared" si="5"/>
        <v>20686.965</v>
      </c>
      <c r="L16" s="68">
        <f>L17+L33+L34+L35</f>
        <v>20535.902</v>
      </c>
      <c r="M16" s="68">
        <f t="shared" si="5"/>
        <v>23436.543</v>
      </c>
      <c r="N16" s="68">
        <f>N17+N33+N34+N35</f>
        <v>23436.543</v>
      </c>
      <c r="O16" s="68">
        <f t="shared" si="5"/>
        <v>3287.0122</v>
      </c>
      <c r="P16" s="68">
        <f>P17+P33+P34+P35</f>
        <v>3287.0113100000003</v>
      </c>
      <c r="Q16" s="68">
        <f t="shared" si="5"/>
        <v>7852.70108</v>
      </c>
      <c r="R16" s="68">
        <f>R17+R33+R34+R35</f>
        <v>7670.32308</v>
      </c>
      <c r="S16" s="68">
        <f t="shared" si="5"/>
        <v>19053.650999999998</v>
      </c>
      <c r="T16" s="68">
        <f>T17+T33+T34+T35</f>
        <v>18998.696</v>
      </c>
      <c r="U16" s="68">
        <f t="shared" si="5"/>
        <v>11381.2904</v>
      </c>
      <c r="V16" s="68">
        <f>V17+V33+V34+V35</f>
        <v>9874.3554</v>
      </c>
      <c r="W16" s="68">
        <f t="shared" si="5"/>
        <v>62214.960349999994</v>
      </c>
      <c r="X16" s="68">
        <f>X17+X33+X34+X35</f>
        <v>62095.73703</v>
      </c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1:51" s="64" customFormat="1" ht="40.5">
      <c r="A17" s="231" t="s">
        <v>195</v>
      </c>
      <c r="B17" s="220" t="s">
        <v>194</v>
      </c>
      <c r="C17" s="55">
        <f>E17+G17+I17+K17+M17+O17+Q17+S17+U17+W17</f>
        <v>9934.605999999998</v>
      </c>
      <c r="D17" s="55">
        <f>F17+H17+J17+L17+N17+P17+R17+T17+V17+X17</f>
        <v>9934.605999999998</v>
      </c>
      <c r="E17" s="66">
        <f>SUM(E18:E32)</f>
        <v>2023.7440000000001</v>
      </c>
      <c r="F17" s="66">
        <f>SUM(F18:F32)</f>
        <v>2023.7440000000001</v>
      </c>
      <c r="G17" s="66">
        <f aca="true" t="shared" si="6" ref="G17:W17">SUM(G18:G32)</f>
        <v>652.577</v>
      </c>
      <c r="H17" s="66">
        <f>SUM(H18:H32)</f>
        <v>652.577</v>
      </c>
      <c r="I17" s="66">
        <f t="shared" si="6"/>
        <v>0</v>
      </c>
      <c r="J17" s="66">
        <f>SUM(J18:J32)</f>
        <v>0</v>
      </c>
      <c r="K17" s="66">
        <f t="shared" si="6"/>
        <v>725</v>
      </c>
      <c r="L17" s="66">
        <f>SUM(L18:L32)</f>
        <v>725</v>
      </c>
      <c r="M17" s="66">
        <f t="shared" si="6"/>
        <v>465</v>
      </c>
      <c r="N17" s="66">
        <f>SUM(N18:N32)</f>
        <v>465</v>
      </c>
      <c r="O17" s="66">
        <f t="shared" si="6"/>
        <v>444.8539999999998</v>
      </c>
      <c r="P17" s="66">
        <f>SUM(P18:P32)</f>
        <v>444.8539999999998</v>
      </c>
      <c r="Q17" s="66">
        <f t="shared" si="6"/>
        <v>46.5</v>
      </c>
      <c r="R17" s="66">
        <f>SUM(R18:R32)</f>
        <v>46.5</v>
      </c>
      <c r="S17" s="66">
        <f t="shared" si="6"/>
        <v>1556.496</v>
      </c>
      <c r="T17" s="66">
        <f>SUM(T18:T32)</f>
        <v>1556.496</v>
      </c>
      <c r="U17" s="66">
        <f t="shared" si="6"/>
        <v>3094.5</v>
      </c>
      <c r="V17" s="66">
        <f>SUM(V18:V32)</f>
        <v>3094.5</v>
      </c>
      <c r="W17" s="66">
        <f t="shared" si="6"/>
        <v>925.935</v>
      </c>
      <c r="X17" s="66">
        <f>SUM(X18:X32)</f>
        <v>925.935</v>
      </c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</row>
    <row r="18" spans="1:51" s="57" customFormat="1" ht="12.75">
      <c r="A18" s="232"/>
      <c r="B18" s="221" t="s">
        <v>230</v>
      </c>
      <c r="C18" s="62">
        <f>E18+G18+I18+K18+M18+O18+Q18+S18+U18+W18</f>
        <v>1772.2440000000001</v>
      </c>
      <c r="D18" s="62">
        <f>F18+H18+J18+L18+N18+P18+R18+T18+V18+X18</f>
        <v>1772.2440000000001</v>
      </c>
      <c r="E18" s="61">
        <v>683.744</v>
      </c>
      <c r="F18" s="61">
        <v>683.744</v>
      </c>
      <c r="G18" s="61">
        <v>500</v>
      </c>
      <c r="H18" s="61">
        <v>500</v>
      </c>
      <c r="I18" s="61"/>
      <c r="J18" s="61"/>
      <c r="K18" s="61">
        <v>500</v>
      </c>
      <c r="L18" s="61">
        <v>500</v>
      </c>
      <c r="M18" s="61"/>
      <c r="N18" s="61"/>
      <c r="O18" s="61"/>
      <c r="P18" s="61"/>
      <c r="Q18" s="61"/>
      <c r="R18" s="61"/>
      <c r="S18" s="61"/>
      <c r="T18" s="61"/>
      <c r="U18" s="63">
        <f>88.5</f>
        <v>88.5</v>
      </c>
      <c r="V18" s="63">
        <f>88.5</f>
        <v>88.5</v>
      </c>
      <c r="W18" s="59"/>
      <c r="X18" s="59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</row>
    <row r="19" spans="1:51" s="57" customFormat="1" ht="12.75">
      <c r="A19" s="232"/>
      <c r="B19" s="221" t="s">
        <v>225</v>
      </c>
      <c r="C19" s="62">
        <f aca="true" t="shared" si="7" ref="C19:C32">E19+G19+I19+K19+M19+O19+Q19+S19+U19+W19</f>
        <v>1506.496</v>
      </c>
      <c r="D19" s="62">
        <f aca="true" t="shared" si="8" ref="D19:D32">F19+H19+J19+L19+N19+P19+R19+T19+V19+X19</f>
        <v>1506.496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>
        <f>840.24+666.256</f>
        <v>1506.496</v>
      </c>
      <c r="T19" s="61">
        <f>840.24+666.256</f>
        <v>1506.496</v>
      </c>
      <c r="U19" s="63"/>
      <c r="V19" s="63"/>
      <c r="W19" s="59"/>
      <c r="X19" s="59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</row>
    <row r="20" spans="1:51" s="57" customFormat="1" ht="12.75">
      <c r="A20" s="232"/>
      <c r="B20" s="221" t="s">
        <v>193</v>
      </c>
      <c r="C20" s="62">
        <f t="shared" si="7"/>
        <v>465</v>
      </c>
      <c r="D20" s="62">
        <f t="shared" si="8"/>
        <v>465</v>
      </c>
      <c r="E20" s="61"/>
      <c r="F20" s="61"/>
      <c r="G20" s="61"/>
      <c r="H20" s="61"/>
      <c r="I20" s="61"/>
      <c r="J20" s="61"/>
      <c r="K20" s="61"/>
      <c r="L20" s="61"/>
      <c r="M20" s="61">
        <f>265+200</f>
        <v>465</v>
      </c>
      <c r="N20" s="61">
        <f>265+200</f>
        <v>465</v>
      </c>
      <c r="O20" s="61"/>
      <c r="P20" s="61"/>
      <c r="Q20" s="61"/>
      <c r="R20" s="61"/>
      <c r="S20" s="61"/>
      <c r="T20" s="61"/>
      <c r="U20" s="63"/>
      <c r="V20" s="63"/>
      <c r="W20" s="59"/>
      <c r="X20" s="59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</row>
    <row r="21" spans="1:51" s="57" customFormat="1" ht="12.75">
      <c r="A21" s="232"/>
      <c r="B21" s="221" t="s">
        <v>192</v>
      </c>
      <c r="C21" s="62">
        <f t="shared" si="7"/>
        <v>50</v>
      </c>
      <c r="D21" s="62">
        <f t="shared" si="8"/>
        <v>50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>
        <v>50</v>
      </c>
      <c r="T21" s="61">
        <v>50</v>
      </c>
      <c r="U21" s="63"/>
      <c r="V21" s="63"/>
      <c r="W21" s="59"/>
      <c r="X21" s="59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</row>
    <row r="22" spans="1:51" s="57" customFormat="1" ht="12.75">
      <c r="A22" s="232"/>
      <c r="B22" s="221" t="s">
        <v>229</v>
      </c>
      <c r="C22" s="62">
        <f t="shared" si="7"/>
        <v>40</v>
      </c>
      <c r="D22" s="62">
        <f t="shared" si="8"/>
        <v>40</v>
      </c>
      <c r="E22" s="61"/>
      <c r="F22" s="61"/>
      <c r="G22" s="61"/>
      <c r="H22" s="61"/>
      <c r="I22" s="61"/>
      <c r="J22" s="61"/>
      <c r="K22" s="61">
        <v>40</v>
      </c>
      <c r="L22" s="61">
        <v>40</v>
      </c>
      <c r="M22" s="61"/>
      <c r="N22" s="61"/>
      <c r="O22" s="61"/>
      <c r="P22" s="61"/>
      <c r="Q22" s="61"/>
      <c r="R22" s="61"/>
      <c r="S22" s="61"/>
      <c r="T22" s="61"/>
      <c r="U22" s="63"/>
      <c r="V22" s="63"/>
      <c r="W22" s="59"/>
      <c r="X22" s="59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</row>
    <row r="23" spans="1:51" s="57" customFormat="1" ht="12.75">
      <c r="A23" s="232"/>
      <c r="B23" s="221" t="s">
        <v>226</v>
      </c>
      <c r="C23" s="62">
        <f t="shared" si="7"/>
        <v>225.935</v>
      </c>
      <c r="D23" s="62">
        <f t="shared" si="8"/>
        <v>225.935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3"/>
      <c r="V23" s="63"/>
      <c r="W23" s="59">
        <v>225.935</v>
      </c>
      <c r="X23" s="59">
        <v>225.935</v>
      </c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</row>
    <row r="24" spans="1:51" s="57" customFormat="1" ht="25.5">
      <c r="A24" s="232"/>
      <c r="B24" s="221" t="s">
        <v>228</v>
      </c>
      <c r="C24" s="62">
        <f t="shared" si="7"/>
        <v>1300</v>
      </c>
      <c r="D24" s="62">
        <f t="shared" si="8"/>
        <v>1300</v>
      </c>
      <c r="E24" s="61">
        <v>600</v>
      </c>
      <c r="F24" s="61">
        <v>600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3"/>
      <c r="V24" s="63"/>
      <c r="W24" s="59">
        <v>700</v>
      </c>
      <c r="X24" s="59">
        <v>700</v>
      </c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</row>
    <row r="25" spans="1:51" s="57" customFormat="1" ht="12.75">
      <c r="A25" s="232"/>
      <c r="B25" s="221" t="s">
        <v>191</v>
      </c>
      <c r="C25" s="62">
        <f t="shared" si="7"/>
        <v>427.0439999999998</v>
      </c>
      <c r="D25" s="62">
        <f t="shared" si="8"/>
        <v>427.0439999999998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106">
        <f>2000+2017.81-3572.956-17.81</f>
        <v>427.0439999999998</v>
      </c>
      <c r="P25" s="106">
        <f>2000+2017.81-3572.956-17.81</f>
        <v>427.0439999999998</v>
      </c>
      <c r="Q25" s="61"/>
      <c r="R25" s="61"/>
      <c r="S25" s="61"/>
      <c r="T25" s="61"/>
      <c r="U25" s="63"/>
      <c r="V25" s="63"/>
      <c r="W25" s="59"/>
      <c r="X25" s="59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</row>
    <row r="26" spans="1:51" s="57" customFormat="1" ht="12.75">
      <c r="A26" s="232"/>
      <c r="B26" s="221" t="s">
        <v>190</v>
      </c>
      <c r="C26" s="62">
        <f t="shared" si="7"/>
        <v>2386</v>
      </c>
      <c r="D26" s="62">
        <f t="shared" si="8"/>
        <v>2386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3">
        <v>2386</v>
      </c>
      <c r="V26" s="63">
        <v>2386</v>
      </c>
      <c r="W26" s="59"/>
      <c r="X26" s="59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</row>
    <row r="27" spans="1:51" s="57" customFormat="1" ht="12.75">
      <c r="A27" s="232"/>
      <c r="B27" s="221" t="s">
        <v>189</v>
      </c>
      <c r="C27" s="62">
        <f t="shared" si="7"/>
        <v>185</v>
      </c>
      <c r="D27" s="62">
        <f t="shared" si="8"/>
        <v>185</v>
      </c>
      <c r="E27" s="61"/>
      <c r="F27" s="61"/>
      <c r="G27" s="61"/>
      <c r="H27" s="61"/>
      <c r="I27" s="61"/>
      <c r="J27" s="61"/>
      <c r="K27" s="61">
        <v>185</v>
      </c>
      <c r="L27" s="61">
        <v>185</v>
      </c>
      <c r="M27" s="61"/>
      <c r="N27" s="61"/>
      <c r="O27" s="61"/>
      <c r="P27" s="61"/>
      <c r="Q27" s="61"/>
      <c r="R27" s="61"/>
      <c r="S27" s="61"/>
      <c r="T27" s="61"/>
      <c r="U27" s="63"/>
      <c r="V27" s="63"/>
      <c r="W27" s="59"/>
      <c r="X27" s="59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</row>
    <row r="28" spans="1:51" s="57" customFormat="1" ht="12.75">
      <c r="A28" s="232"/>
      <c r="B28" s="221" t="s">
        <v>188</v>
      </c>
      <c r="C28" s="62">
        <f t="shared" si="7"/>
        <v>740</v>
      </c>
      <c r="D28" s="62">
        <f t="shared" si="8"/>
        <v>740</v>
      </c>
      <c r="E28" s="61">
        <f>695+45</f>
        <v>740</v>
      </c>
      <c r="F28" s="61">
        <f>695+45</f>
        <v>740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3"/>
      <c r="V28" s="63"/>
      <c r="W28" s="59"/>
      <c r="X28" s="59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</row>
    <row r="29" spans="1:51" s="57" customFormat="1" ht="12.75">
      <c r="A29" s="232"/>
      <c r="B29" s="221" t="s">
        <v>227</v>
      </c>
      <c r="C29" s="62">
        <f t="shared" si="7"/>
        <v>336.887</v>
      </c>
      <c r="D29" s="62">
        <f t="shared" si="8"/>
        <v>336.887</v>
      </c>
      <c r="E29" s="61"/>
      <c r="F29" s="61"/>
      <c r="G29" s="61">
        <v>152.577</v>
      </c>
      <c r="H29" s="61">
        <v>152.577</v>
      </c>
      <c r="I29" s="61"/>
      <c r="J29" s="61"/>
      <c r="K29" s="61"/>
      <c r="L29" s="61"/>
      <c r="M29" s="61"/>
      <c r="N29" s="61"/>
      <c r="O29" s="61">
        <v>17.81</v>
      </c>
      <c r="P29" s="61">
        <v>17.81</v>
      </c>
      <c r="Q29" s="61">
        <v>46.5</v>
      </c>
      <c r="R29" s="61">
        <v>46.5</v>
      </c>
      <c r="S29" s="61"/>
      <c r="T29" s="61"/>
      <c r="U29" s="63">
        <v>120</v>
      </c>
      <c r="V29" s="63">
        <v>120</v>
      </c>
      <c r="W29" s="59"/>
      <c r="X29" s="59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</row>
    <row r="30" spans="1:51" s="57" customFormat="1" ht="12.75" hidden="1">
      <c r="A30" s="232"/>
      <c r="B30" s="221"/>
      <c r="C30" s="62">
        <f t="shared" si="7"/>
        <v>0</v>
      </c>
      <c r="D30" s="62">
        <f t="shared" si="8"/>
        <v>0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3"/>
      <c r="V30" s="63"/>
      <c r="W30" s="59"/>
      <c r="X30" s="59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</row>
    <row r="31" spans="1:51" s="57" customFormat="1" ht="12.75" hidden="1">
      <c r="A31" s="232"/>
      <c r="B31" s="221"/>
      <c r="C31" s="62">
        <f t="shared" si="7"/>
        <v>0</v>
      </c>
      <c r="D31" s="62">
        <f t="shared" si="8"/>
        <v>0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3"/>
      <c r="V31" s="63"/>
      <c r="W31" s="59"/>
      <c r="X31" s="59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</row>
    <row r="32" spans="1:51" s="57" customFormat="1" ht="12.75">
      <c r="A32" s="232"/>
      <c r="B32" s="221" t="s">
        <v>187</v>
      </c>
      <c r="C32" s="62">
        <f t="shared" si="7"/>
        <v>500</v>
      </c>
      <c r="D32" s="62">
        <f t="shared" si="8"/>
        <v>500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0">
        <v>500</v>
      </c>
      <c r="V32" s="60">
        <v>500</v>
      </c>
      <c r="W32" s="59"/>
      <c r="X32" s="59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</row>
    <row r="33" spans="1:51" s="64" customFormat="1" ht="40.5">
      <c r="A33" s="231" t="s">
        <v>186</v>
      </c>
      <c r="B33" s="220" t="s">
        <v>185</v>
      </c>
      <c r="C33" s="67">
        <f aca="true" t="shared" si="9" ref="C33:D39">E33+G33+I33+K33+M33+O33+Q33+S33+U33+W33</f>
        <v>300</v>
      </c>
      <c r="D33" s="67">
        <f t="shared" si="9"/>
        <v>300</v>
      </c>
      <c r="E33" s="66">
        <v>30</v>
      </c>
      <c r="F33" s="66">
        <v>30</v>
      </c>
      <c r="G33" s="66">
        <f>40+30</f>
        <v>70</v>
      </c>
      <c r="H33" s="66">
        <f>40+30</f>
        <v>70</v>
      </c>
      <c r="I33" s="66">
        <v>30</v>
      </c>
      <c r="J33" s="66">
        <v>30</v>
      </c>
      <c r="K33" s="66">
        <v>30</v>
      </c>
      <c r="L33" s="66">
        <v>30</v>
      </c>
      <c r="M33" s="66">
        <v>20</v>
      </c>
      <c r="N33" s="66">
        <v>20</v>
      </c>
      <c r="O33" s="66">
        <v>20</v>
      </c>
      <c r="P33" s="66">
        <v>20</v>
      </c>
      <c r="Q33" s="66">
        <v>30</v>
      </c>
      <c r="R33" s="66">
        <v>30</v>
      </c>
      <c r="S33" s="66">
        <v>30</v>
      </c>
      <c r="T33" s="66">
        <v>30</v>
      </c>
      <c r="U33" s="208">
        <v>40</v>
      </c>
      <c r="V33" s="208">
        <v>40</v>
      </c>
      <c r="W33" s="209">
        <v>0</v>
      </c>
      <c r="X33" s="209">
        <v>0</v>
      </c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</row>
    <row r="34" spans="1:51" s="64" customFormat="1" ht="95.25" customHeight="1">
      <c r="A34" s="231" t="s">
        <v>184</v>
      </c>
      <c r="B34" s="222" t="s">
        <v>183</v>
      </c>
      <c r="C34" s="67">
        <f t="shared" si="9"/>
        <v>496.08</v>
      </c>
      <c r="D34" s="67">
        <f t="shared" si="9"/>
        <v>496.08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208"/>
      <c r="V34" s="208"/>
      <c r="W34" s="209">
        <v>496.08</v>
      </c>
      <c r="X34" s="209">
        <v>496.08</v>
      </c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</row>
    <row r="35" spans="1:51" s="64" customFormat="1" ht="82.5" customHeight="1">
      <c r="A35" s="231" t="s">
        <v>223</v>
      </c>
      <c r="B35" s="223" t="s">
        <v>224</v>
      </c>
      <c r="C35" s="67">
        <f t="shared" si="9"/>
        <v>155666.84807</v>
      </c>
      <c r="D35" s="67">
        <f t="shared" si="9"/>
        <v>153631.82986</v>
      </c>
      <c r="E35" s="66">
        <f>SUM(E36:E39)</f>
        <v>1395.664</v>
      </c>
      <c r="F35" s="66">
        <f aca="true" t="shared" si="10" ref="F35:X35">SUM(F36:F39)</f>
        <v>1395.664</v>
      </c>
      <c r="G35" s="66">
        <f t="shared" si="10"/>
        <v>7691.033039999999</v>
      </c>
      <c r="H35" s="66">
        <f t="shared" si="10"/>
        <v>7691.033039999999</v>
      </c>
      <c r="I35" s="66">
        <f t="shared" si="10"/>
        <v>6591.393</v>
      </c>
      <c r="J35" s="66">
        <f t="shared" si="10"/>
        <v>6570.93</v>
      </c>
      <c r="K35" s="66">
        <f t="shared" si="10"/>
        <v>19931.965</v>
      </c>
      <c r="L35" s="66">
        <f t="shared" si="10"/>
        <v>19780.902</v>
      </c>
      <c r="M35" s="66">
        <f t="shared" si="10"/>
        <v>22951.543</v>
      </c>
      <c r="N35" s="66">
        <f t="shared" si="10"/>
        <v>22951.543</v>
      </c>
      <c r="O35" s="66">
        <f t="shared" si="10"/>
        <v>2822.1582000000003</v>
      </c>
      <c r="P35" s="66">
        <f t="shared" si="10"/>
        <v>2822.1573100000005</v>
      </c>
      <c r="Q35" s="66">
        <f t="shared" si="10"/>
        <v>7776.20108</v>
      </c>
      <c r="R35" s="66">
        <f t="shared" si="10"/>
        <v>7593.82308</v>
      </c>
      <c r="S35" s="66">
        <f t="shared" si="10"/>
        <v>17467.155</v>
      </c>
      <c r="T35" s="66">
        <f t="shared" si="10"/>
        <v>17412.2</v>
      </c>
      <c r="U35" s="66">
        <f t="shared" si="10"/>
        <v>8246.7904</v>
      </c>
      <c r="V35" s="66">
        <f t="shared" si="10"/>
        <v>6739.8554</v>
      </c>
      <c r="W35" s="66">
        <f t="shared" si="10"/>
        <v>60792.945349999995</v>
      </c>
      <c r="X35" s="66">
        <f t="shared" si="10"/>
        <v>60673.72203</v>
      </c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</row>
    <row r="36" spans="1:51" s="51" customFormat="1" ht="38.25">
      <c r="A36" s="229" t="s">
        <v>357</v>
      </c>
      <c r="B36" s="224" t="s">
        <v>360</v>
      </c>
      <c r="C36" s="55">
        <f t="shared" si="9"/>
        <v>122012.5</v>
      </c>
      <c r="D36" s="55">
        <f t="shared" si="9"/>
        <v>121899.80368000001</v>
      </c>
      <c r="E36" s="54"/>
      <c r="F36" s="54"/>
      <c r="G36" s="54">
        <v>7201.5</v>
      </c>
      <c r="H36" s="54">
        <v>7201.5</v>
      </c>
      <c r="I36" s="54">
        <f>4599.1+15.7</f>
        <v>4614.8</v>
      </c>
      <c r="J36" s="54">
        <f>4599.1</f>
        <v>4599.1</v>
      </c>
      <c r="K36" s="54">
        <v>17274.6</v>
      </c>
      <c r="L36" s="54">
        <v>17274.6</v>
      </c>
      <c r="M36" s="54">
        <v>18003.7</v>
      </c>
      <c r="N36" s="54">
        <v>18003.7</v>
      </c>
      <c r="O36" s="54">
        <v>2140.9</v>
      </c>
      <c r="P36" s="54">
        <v>2140.9</v>
      </c>
      <c r="Q36" s="54">
        <v>3581.2</v>
      </c>
      <c r="R36" s="54">
        <v>3576.264</v>
      </c>
      <c r="S36" s="54">
        <v>15511.6</v>
      </c>
      <c r="T36" s="54">
        <v>15511.6</v>
      </c>
      <c r="U36" s="56"/>
      <c r="V36" s="56"/>
      <c r="W36" s="52">
        <v>53684.2</v>
      </c>
      <c r="X36" s="52">
        <v>53592.13968</v>
      </c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</row>
    <row r="37" spans="1:51" s="51" customFormat="1" ht="38.25">
      <c r="A37" s="229" t="s">
        <v>358</v>
      </c>
      <c r="B37" s="224" t="s">
        <v>362</v>
      </c>
      <c r="C37" s="55">
        <f t="shared" si="9"/>
        <v>351.1</v>
      </c>
      <c r="D37" s="55">
        <f t="shared" si="9"/>
        <v>351.1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3"/>
      <c r="V37" s="53"/>
      <c r="W37" s="52">
        <f>34.3+316.8</f>
        <v>351.1</v>
      </c>
      <c r="X37" s="52">
        <f>34.3+316.8</f>
        <v>351.1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</row>
    <row r="38" spans="1:51" s="51" customFormat="1" ht="51">
      <c r="A38" s="229" t="s">
        <v>359</v>
      </c>
      <c r="B38" s="224" t="s">
        <v>363</v>
      </c>
      <c r="C38" s="55">
        <f t="shared" si="9"/>
        <v>2385.6260700000003</v>
      </c>
      <c r="D38" s="55">
        <f t="shared" si="9"/>
        <v>2385.6260700000003</v>
      </c>
      <c r="E38" s="54"/>
      <c r="F38" s="54"/>
      <c r="G38" s="54">
        <f>32.29404</f>
        <v>32.29404</v>
      </c>
      <c r="H38" s="54">
        <f>32.29404</f>
        <v>32.29404</v>
      </c>
      <c r="I38" s="54">
        <v>182.537</v>
      </c>
      <c r="J38" s="54">
        <v>182.537</v>
      </c>
      <c r="K38" s="54">
        <v>119.809</v>
      </c>
      <c r="L38" s="54">
        <v>119.809</v>
      </c>
      <c r="M38" s="54">
        <v>448.036</v>
      </c>
      <c r="N38" s="54">
        <v>448.036</v>
      </c>
      <c r="O38" s="54">
        <v>282.8722</v>
      </c>
      <c r="P38" s="54">
        <v>282.8722</v>
      </c>
      <c r="Q38" s="54">
        <v>69.24308</v>
      </c>
      <c r="R38" s="54">
        <v>69.24308</v>
      </c>
      <c r="S38" s="54">
        <f>45.113+4.512</f>
        <v>49.625</v>
      </c>
      <c r="T38" s="54">
        <f>45.113+4.512</f>
        <v>49.625</v>
      </c>
      <c r="U38" s="56">
        <f>398.6934+50.88</f>
        <v>449.5734</v>
      </c>
      <c r="V38" s="56">
        <f>398.6934+50.88</f>
        <v>449.5734</v>
      </c>
      <c r="W38" s="52">
        <f>8.85+710.85535+31.931</f>
        <v>751.6363500000001</v>
      </c>
      <c r="X38" s="52">
        <f>8.85+710.85535+31.931</f>
        <v>751.6363500000001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</row>
    <row r="39" spans="1:51" s="51" customFormat="1" ht="51.75" thickBot="1">
      <c r="A39" s="229" t="s">
        <v>361</v>
      </c>
      <c r="B39" s="224" t="s">
        <v>365</v>
      </c>
      <c r="C39" s="55">
        <f t="shared" si="9"/>
        <v>30917.622000000003</v>
      </c>
      <c r="D39" s="55">
        <f t="shared" si="9"/>
        <v>28995.300109999996</v>
      </c>
      <c r="E39" s="54">
        <v>1395.664</v>
      </c>
      <c r="F39" s="54">
        <v>1395.664</v>
      </c>
      <c r="G39" s="54">
        <v>457.239</v>
      </c>
      <c r="H39" s="54">
        <v>457.239</v>
      </c>
      <c r="I39" s="54">
        <v>1794.056</v>
      </c>
      <c r="J39" s="54">
        <v>1789.293</v>
      </c>
      <c r="K39" s="54">
        <v>2537.556</v>
      </c>
      <c r="L39" s="54">
        <v>2386.493</v>
      </c>
      <c r="M39" s="54">
        <v>4499.807</v>
      </c>
      <c r="N39" s="54">
        <v>4499.807</v>
      </c>
      <c r="O39" s="54">
        <v>398.386</v>
      </c>
      <c r="P39" s="54">
        <v>398.38511</v>
      </c>
      <c r="Q39" s="54">
        <v>4125.758</v>
      </c>
      <c r="R39" s="54">
        <v>3948.316</v>
      </c>
      <c r="S39" s="54">
        <v>1905.93</v>
      </c>
      <c r="T39" s="54">
        <v>1850.975</v>
      </c>
      <c r="U39" s="56">
        <v>7797.217</v>
      </c>
      <c r="V39" s="56">
        <v>6290.282</v>
      </c>
      <c r="W39" s="52">
        <v>6006.009</v>
      </c>
      <c r="X39" s="52">
        <v>5978.846</v>
      </c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</row>
    <row r="40" spans="1:51" s="51" customFormat="1" ht="13.5" hidden="1" thickBot="1">
      <c r="A40" s="229" t="s">
        <v>364</v>
      </c>
      <c r="B40" s="224"/>
      <c r="C40" s="55"/>
      <c r="D40" s="5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3"/>
      <c r="V40" s="53"/>
      <c r="W40" s="52"/>
      <c r="X40" s="52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</row>
    <row r="41" spans="1:51" s="274" customFormat="1" ht="24">
      <c r="A41" s="270"/>
      <c r="B41" s="271" t="s">
        <v>182</v>
      </c>
      <c r="C41" s="272">
        <f aca="true" t="shared" si="11" ref="C41:U41">C9+C13+C16+C11</f>
        <v>300463.23790000007</v>
      </c>
      <c r="D41" s="272">
        <f>D9+D13+D16+D11</f>
        <v>359109.5669300001</v>
      </c>
      <c r="E41" s="272">
        <f t="shared" si="11"/>
        <v>6758.508000000001</v>
      </c>
      <c r="F41" s="272">
        <f>F9+F13+F16+F11</f>
        <v>6758.508000000001</v>
      </c>
      <c r="G41" s="272">
        <f t="shared" si="11"/>
        <v>11969.71004</v>
      </c>
      <c r="H41" s="272">
        <f>H9+H13+H16+H11</f>
        <v>11969.71004</v>
      </c>
      <c r="I41" s="272">
        <f t="shared" si="11"/>
        <v>9412.193</v>
      </c>
      <c r="J41" s="272">
        <f>J9+J13+J16+J11</f>
        <v>9391.73</v>
      </c>
      <c r="K41" s="272">
        <f t="shared" si="11"/>
        <v>24467.165</v>
      </c>
      <c r="L41" s="272">
        <f>L9+L13+L16+L11</f>
        <v>24316.102</v>
      </c>
      <c r="M41" s="272">
        <f t="shared" si="11"/>
        <v>26241.343000000004</v>
      </c>
      <c r="N41" s="272">
        <f>N9+N13+N16+N11</f>
        <v>26241.343000000004</v>
      </c>
      <c r="O41" s="272">
        <f t="shared" si="11"/>
        <v>5712.3171999999995</v>
      </c>
      <c r="P41" s="272">
        <f>P9+P13+P16+P11</f>
        <v>5712.31631</v>
      </c>
      <c r="Q41" s="272">
        <f t="shared" si="11"/>
        <v>9986.00108</v>
      </c>
      <c r="R41" s="272">
        <f>R9+R13+R16+R11</f>
        <v>9803.62308</v>
      </c>
      <c r="S41" s="272">
        <f t="shared" si="11"/>
        <v>21811.371</v>
      </c>
      <c r="T41" s="272">
        <f>T9+T13+T16+T11</f>
        <v>21756.416</v>
      </c>
      <c r="U41" s="272">
        <f t="shared" si="11"/>
        <v>15923.0904</v>
      </c>
      <c r="V41" s="272">
        <f>V9+V13+V16+V11</f>
        <v>14416.155400000001</v>
      </c>
      <c r="W41" s="272">
        <f>W9+W13+W16+W11</f>
        <v>65914.76035</v>
      </c>
      <c r="X41" s="272">
        <f>X9+X13+X16+X11</f>
        <v>65795.53702999999</v>
      </c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</row>
    <row r="42" spans="3:6" ht="12.75">
      <c r="C42" s="48">
        <v>198196.45907</v>
      </c>
      <c r="E42" s="107">
        <f>C42-C35</f>
        <v>42529.611000000004</v>
      </c>
      <c r="F42" s="107"/>
    </row>
    <row r="43" ht="12.75">
      <c r="C43" s="48">
        <f>C41-C42</f>
        <v>102266.77883000005</v>
      </c>
    </row>
    <row r="44" spans="3:4" ht="12.75">
      <c r="C44" s="48">
        <f>C41-C35</f>
        <v>144796.38983000006</v>
      </c>
      <c r="D44" s="105">
        <f>C39-D39</f>
        <v>1922.3218900000065</v>
      </c>
    </row>
    <row r="45" ht="12.75">
      <c r="C45" s="48">
        <f>E42-C44</f>
        <v>-102266.77883000005</v>
      </c>
    </row>
  </sheetData>
  <sheetProtection/>
  <mergeCells count="16">
    <mergeCell ref="W6:X6"/>
    <mergeCell ref="U6:V6"/>
    <mergeCell ref="S6:T6"/>
    <mergeCell ref="E6:F6"/>
    <mergeCell ref="B2:M2"/>
    <mergeCell ref="B3:M3"/>
    <mergeCell ref="A5:A7"/>
    <mergeCell ref="Q6:R6"/>
    <mergeCell ref="O6:P6"/>
    <mergeCell ref="M6:N6"/>
    <mergeCell ref="K6:L6"/>
    <mergeCell ref="I6:J6"/>
    <mergeCell ref="G6:H6"/>
    <mergeCell ref="B5:B6"/>
    <mergeCell ref="E5:W5"/>
    <mergeCell ref="C5:D6"/>
  </mergeCells>
  <printOptions/>
  <pageMargins left="0.3937007874015748" right="0" top="0" bottom="0" header="0" footer="0"/>
  <pageSetup firstPageNumber="150" useFirstPageNumber="1" fitToHeight="8" horizontalDpi="600" verticalDpi="600" orientation="landscape" paperSize="9" scale="49" r:id="rId1"/>
  <colBreaks count="1" manualBreakCount="1">
    <brk id="18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view="pageBreakPreview" zoomScale="85" zoomScaleSheetLayoutView="85" zoomScalePageLayoutView="0" workbookViewId="0" topLeftCell="B52">
      <selection activeCell="E60" sqref="E60"/>
    </sheetView>
  </sheetViews>
  <sheetFormatPr defaultColWidth="9.140625" defaultRowHeight="12.75"/>
  <cols>
    <col min="1" max="1" width="12.57421875" style="14" hidden="1" customWidth="1"/>
    <col min="2" max="2" width="35.421875" style="14" customWidth="1"/>
    <col min="3" max="3" width="7.7109375" style="14" customWidth="1"/>
    <col min="4" max="4" width="12.8515625" style="14" customWidth="1"/>
    <col min="5" max="6" width="13.421875" style="14" customWidth="1"/>
    <col min="7" max="7" width="11.00390625" style="14" customWidth="1"/>
    <col min="8" max="8" width="9.28125" style="13" customWidth="1"/>
    <col min="9" max="16384" width="9.140625" style="13" customWidth="1"/>
  </cols>
  <sheetData>
    <row r="1" spans="1:7" ht="13.5" hidden="1" thickBot="1">
      <c r="A1" s="330" t="s">
        <v>177</v>
      </c>
      <c r="B1" s="331"/>
      <c r="C1" s="331"/>
      <c r="D1" s="331"/>
      <c r="E1" s="331"/>
      <c r="F1" s="331"/>
      <c r="G1" s="331"/>
    </row>
    <row r="2" spans="1:7" ht="36.75" customHeight="1" hidden="1" thickBot="1">
      <c r="A2" s="330" t="s">
        <v>176</v>
      </c>
      <c r="B2" s="331"/>
      <c r="C2" s="331"/>
      <c r="D2" s="331"/>
      <c r="E2" s="331"/>
      <c r="F2" s="331"/>
      <c r="G2" s="331"/>
    </row>
    <row r="3" spans="1:7" s="14" customFormat="1" ht="66" customHeight="1" hidden="1">
      <c r="A3" s="28" t="s">
        <v>175</v>
      </c>
      <c r="B3" s="28" t="s">
        <v>2</v>
      </c>
      <c r="C3" s="28" t="s">
        <v>175</v>
      </c>
      <c r="D3" s="28"/>
      <c r="E3" s="28" t="s">
        <v>3</v>
      </c>
      <c r="F3" s="28" t="s">
        <v>4</v>
      </c>
      <c r="G3" s="27" t="s">
        <v>5</v>
      </c>
    </row>
    <row r="4" spans="1:7" s="14" customFormat="1" ht="13.5" customHeight="1" hidden="1" thickBot="1">
      <c r="A4" s="26" t="s">
        <v>6</v>
      </c>
      <c r="B4" s="26" t="s">
        <v>7</v>
      </c>
      <c r="C4" s="26" t="s">
        <v>6</v>
      </c>
      <c r="D4" s="26"/>
      <c r="E4" s="26" t="s">
        <v>8</v>
      </c>
      <c r="F4" s="26" t="s">
        <v>9</v>
      </c>
      <c r="G4" s="25" t="s">
        <v>10</v>
      </c>
    </row>
    <row r="5" spans="1:7" s="14" customFormat="1" ht="13.5" customHeight="1" hidden="1">
      <c r="A5" s="24" t="s">
        <v>174</v>
      </c>
      <c r="B5" s="23" t="s">
        <v>173</v>
      </c>
      <c r="C5" s="24" t="s">
        <v>174</v>
      </c>
      <c r="D5" s="168"/>
      <c r="E5" s="16">
        <f>SUM(E6:E10)</f>
        <v>31241178</v>
      </c>
      <c r="F5" s="16">
        <f>SUM(F6:F10)</f>
        <v>30539395.090000004</v>
      </c>
      <c r="G5" s="15"/>
    </row>
    <row r="6" spans="1:7" s="14" customFormat="1" ht="24" customHeight="1" hidden="1">
      <c r="A6" s="21" t="s">
        <v>172</v>
      </c>
      <c r="B6" s="20" t="s">
        <v>171</v>
      </c>
      <c r="C6" s="21" t="s">
        <v>172</v>
      </c>
      <c r="D6" s="21"/>
      <c r="E6" s="19">
        <f>1240000</f>
        <v>1240000</v>
      </c>
      <c r="F6" s="19">
        <f>1240000</f>
        <v>1240000</v>
      </c>
      <c r="G6" s="18">
        <f>100</f>
        <v>100</v>
      </c>
    </row>
    <row r="7" spans="1:7" s="14" customFormat="1" ht="33.75" customHeight="1" hidden="1">
      <c r="A7" s="21" t="s">
        <v>170</v>
      </c>
      <c r="B7" s="20" t="s">
        <v>169</v>
      </c>
      <c r="C7" s="21" t="s">
        <v>170</v>
      </c>
      <c r="D7" s="21"/>
      <c r="E7" s="19">
        <f>1399997</f>
        <v>1399997</v>
      </c>
      <c r="F7" s="19">
        <f>1380349.84</f>
        <v>1380349.84</v>
      </c>
      <c r="G7" s="18">
        <f>98.6</f>
        <v>98.6</v>
      </c>
    </row>
    <row r="8" spans="1:7" s="14" customFormat="1" ht="45" customHeight="1" hidden="1">
      <c r="A8" s="21" t="s">
        <v>168</v>
      </c>
      <c r="B8" s="20" t="s">
        <v>167</v>
      </c>
      <c r="C8" s="21" t="s">
        <v>168</v>
      </c>
      <c r="D8" s="21"/>
      <c r="E8" s="19">
        <f>13809450</f>
        <v>13809450</v>
      </c>
      <c r="F8" s="19">
        <f>13746700.17</f>
        <v>13746700.17</v>
      </c>
      <c r="G8" s="18">
        <f>99.55</f>
        <v>99.55</v>
      </c>
    </row>
    <row r="9" spans="1:7" s="14" customFormat="1" ht="33.75" customHeight="1" hidden="1">
      <c r="A9" s="21" t="s">
        <v>166</v>
      </c>
      <c r="B9" s="20" t="s">
        <v>165</v>
      </c>
      <c r="C9" s="21" t="s">
        <v>166</v>
      </c>
      <c r="D9" s="21"/>
      <c r="E9" s="19">
        <f>4554871</f>
        <v>4554871</v>
      </c>
      <c r="F9" s="19">
        <f>4497537.09</f>
        <v>4497537.09</v>
      </c>
      <c r="G9" s="18">
        <f>98.74</f>
        <v>98.74</v>
      </c>
    </row>
    <row r="10" spans="1:7" s="14" customFormat="1" ht="13.5" customHeight="1" hidden="1">
      <c r="A10" s="21" t="s">
        <v>164</v>
      </c>
      <c r="B10" s="20" t="s">
        <v>163</v>
      </c>
      <c r="C10" s="21" t="s">
        <v>164</v>
      </c>
      <c r="D10" s="21"/>
      <c r="E10" s="19">
        <f>10236860</f>
        <v>10236860</v>
      </c>
      <c r="F10" s="19">
        <f>9674807.99</f>
        <v>9674807.99</v>
      </c>
      <c r="G10" s="18">
        <f>94.51</f>
        <v>94.51</v>
      </c>
    </row>
    <row r="11" spans="1:7" s="14" customFormat="1" ht="13.5" customHeight="1" hidden="1">
      <c r="A11" s="24" t="s">
        <v>162</v>
      </c>
      <c r="B11" s="23" t="s">
        <v>161</v>
      </c>
      <c r="C11" s="24" t="s">
        <v>162</v>
      </c>
      <c r="D11" s="168"/>
      <c r="E11" s="16">
        <f>SUM(E12)</f>
        <v>529900</v>
      </c>
      <c r="F11" s="16">
        <f>SUM(F12)</f>
        <v>527800</v>
      </c>
      <c r="G11" s="15"/>
    </row>
    <row r="12" spans="1:7" s="14" customFormat="1" ht="13.5" customHeight="1" hidden="1">
      <c r="A12" s="21" t="s">
        <v>160</v>
      </c>
      <c r="B12" s="20" t="s">
        <v>159</v>
      </c>
      <c r="C12" s="21" t="s">
        <v>160</v>
      </c>
      <c r="D12" s="21"/>
      <c r="E12" s="19">
        <f>529900</f>
        <v>529900</v>
      </c>
      <c r="F12" s="19">
        <f>527800</f>
        <v>527800</v>
      </c>
      <c r="G12" s="18">
        <f>99.6</f>
        <v>99.6</v>
      </c>
    </row>
    <row r="13" spans="1:7" s="14" customFormat="1" ht="13.5" customHeight="1" hidden="1">
      <c r="A13" s="24" t="s">
        <v>158</v>
      </c>
      <c r="B13" s="23" t="s">
        <v>157</v>
      </c>
      <c r="C13" s="24" t="s">
        <v>158</v>
      </c>
      <c r="D13" s="168"/>
      <c r="E13" s="16">
        <f>SUM(E14:E15)</f>
        <v>127017228.07</v>
      </c>
      <c r="F13" s="16">
        <f>SUM(F14:F15)</f>
        <v>126813700.08</v>
      </c>
      <c r="G13" s="15"/>
    </row>
    <row r="14" spans="1:7" s="14" customFormat="1" ht="33.75" customHeight="1" hidden="1">
      <c r="A14" s="21" t="s">
        <v>156</v>
      </c>
      <c r="B14" s="20" t="s">
        <v>155</v>
      </c>
      <c r="C14" s="21" t="s">
        <v>156</v>
      </c>
      <c r="D14" s="21"/>
      <c r="E14" s="19">
        <f>126912428.07</f>
        <v>126912428.07</v>
      </c>
      <c r="F14" s="19">
        <f>126708900.08</f>
        <v>126708900.08</v>
      </c>
      <c r="G14" s="18">
        <f>99.84</f>
        <v>99.84</v>
      </c>
    </row>
    <row r="15" spans="1:7" s="14" customFormat="1" ht="24" customHeight="1" hidden="1">
      <c r="A15" s="21" t="s">
        <v>154</v>
      </c>
      <c r="B15" s="20" t="s">
        <v>153</v>
      </c>
      <c r="C15" s="21" t="s">
        <v>154</v>
      </c>
      <c r="D15" s="21"/>
      <c r="E15" s="19">
        <f>104800</f>
        <v>104800</v>
      </c>
      <c r="F15" s="19">
        <f>104800</f>
        <v>104800</v>
      </c>
      <c r="G15" s="18">
        <f>100</f>
        <v>100</v>
      </c>
    </row>
    <row r="16" spans="1:7" s="14" customFormat="1" ht="24" customHeight="1" hidden="1">
      <c r="A16" s="24" t="s">
        <v>152</v>
      </c>
      <c r="B16" s="23" t="s">
        <v>151</v>
      </c>
      <c r="C16" s="24" t="s">
        <v>152</v>
      </c>
      <c r="D16" s="168"/>
      <c r="E16" s="16">
        <f>SUM(E17:E19)</f>
        <v>38551941.4</v>
      </c>
      <c r="F16" s="16">
        <f>SUM(F17:F19)</f>
        <v>36625490.2</v>
      </c>
      <c r="G16" s="15"/>
    </row>
    <row r="17" spans="1:7" s="14" customFormat="1" ht="13.5" customHeight="1" hidden="1">
      <c r="A17" s="21" t="s">
        <v>150</v>
      </c>
      <c r="B17" s="20" t="s">
        <v>149</v>
      </c>
      <c r="C17" s="21" t="s">
        <v>150</v>
      </c>
      <c r="D17" s="21"/>
      <c r="E17" s="19">
        <f>329440</f>
        <v>329440</v>
      </c>
      <c r="F17" s="19">
        <f>328600</f>
        <v>328600</v>
      </c>
      <c r="G17" s="18">
        <f>99.75</f>
        <v>99.75</v>
      </c>
    </row>
    <row r="18" spans="1:7" s="14" customFormat="1" ht="13.5" customHeight="1" hidden="1">
      <c r="A18" s="21" t="s">
        <v>148</v>
      </c>
      <c r="B18" s="20" t="s">
        <v>147</v>
      </c>
      <c r="C18" s="21" t="s">
        <v>148</v>
      </c>
      <c r="D18" s="21"/>
      <c r="E18" s="19">
        <f>33189866</f>
        <v>33189866</v>
      </c>
      <c r="F18" s="19">
        <f>31267544</f>
        <v>31267544</v>
      </c>
      <c r="G18" s="18">
        <f>94.21</f>
        <v>94.21</v>
      </c>
    </row>
    <row r="19" spans="1:7" s="14" customFormat="1" ht="13.5" customHeight="1" hidden="1">
      <c r="A19" s="21" t="s">
        <v>146</v>
      </c>
      <c r="B19" s="20" t="s">
        <v>145</v>
      </c>
      <c r="C19" s="21" t="s">
        <v>146</v>
      </c>
      <c r="D19" s="21"/>
      <c r="E19" s="19">
        <f>5032635.4</f>
        <v>5032635.4</v>
      </c>
      <c r="F19" s="19">
        <f>5029346.2</f>
        <v>5029346.2</v>
      </c>
      <c r="G19" s="18">
        <f>99.93</f>
        <v>99.93</v>
      </c>
    </row>
    <row r="20" spans="1:7" s="14" customFormat="1" ht="13.5" customHeight="1" hidden="1">
      <c r="A20" s="24" t="s">
        <v>144</v>
      </c>
      <c r="B20" s="23" t="s">
        <v>143</v>
      </c>
      <c r="C20" s="24" t="s">
        <v>144</v>
      </c>
      <c r="D20" s="168"/>
      <c r="E20" s="16">
        <f>SUM(E21:E23)</f>
        <v>11622457.6</v>
      </c>
      <c r="F20" s="16">
        <f>SUM(F21:F23)</f>
        <v>8903894.780000001</v>
      </c>
      <c r="G20" s="15"/>
    </row>
    <row r="21" spans="1:7" s="14" customFormat="1" ht="13.5" customHeight="1" hidden="1">
      <c r="A21" s="21" t="s">
        <v>142</v>
      </c>
      <c r="B21" s="20" t="s">
        <v>141</v>
      </c>
      <c r="C21" s="21" t="s">
        <v>142</v>
      </c>
      <c r="D21" s="21"/>
      <c r="E21" s="19">
        <f>1000000</f>
        <v>1000000</v>
      </c>
      <c r="F21" s="19">
        <f>1000000</f>
        <v>1000000</v>
      </c>
      <c r="G21" s="18">
        <f>100</f>
        <v>100</v>
      </c>
    </row>
    <row r="22" spans="1:7" s="14" customFormat="1" ht="13.5" customHeight="1" hidden="1">
      <c r="A22" s="21" t="s">
        <v>140</v>
      </c>
      <c r="B22" s="20" t="s">
        <v>139</v>
      </c>
      <c r="C22" s="21" t="s">
        <v>140</v>
      </c>
      <c r="D22" s="21"/>
      <c r="E22" s="19">
        <f>9616657.6</f>
        <v>9616657.6</v>
      </c>
      <c r="F22" s="19">
        <f>6957273.78</f>
        <v>6957273.78</v>
      </c>
      <c r="G22" s="18">
        <f>72.35</f>
        <v>72.35</v>
      </c>
    </row>
    <row r="23" spans="1:7" s="14" customFormat="1" ht="13.5" customHeight="1" hidden="1">
      <c r="A23" s="21" t="s">
        <v>138</v>
      </c>
      <c r="B23" s="20" t="s">
        <v>137</v>
      </c>
      <c r="C23" s="21" t="s">
        <v>138</v>
      </c>
      <c r="D23" s="21"/>
      <c r="E23" s="19">
        <f>1005800</f>
        <v>1005800</v>
      </c>
      <c r="F23" s="19">
        <f>946621</f>
        <v>946621</v>
      </c>
      <c r="G23" s="18">
        <f>94.12</f>
        <v>94.12</v>
      </c>
    </row>
    <row r="24" spans="1:7" s="14" customFormat="1" ht="13.5" customHeight="1" hidden="1">
      <c r="A24" s="24" t="s">
        <v>136</v>
      </c>
      <c r="B24" s="23" t="s">
        <v>135</v>
      </c>
      <c r="C24" s="24" t="s">
        <v>136</v>
      </c>
      <c r="D24" s="168"/>
      <c r="E24" s="16">
        <f>SUM(E25:E29)</f>
        <v>388600214.87</v>
      </c>
      <c r="F24" s="16">
        <f>SUM(F25:F29)</f>
        <v>362767045.75</v>
      </c>
      <c r="G24" s="16"/>
    </row>
    <row r="25" spans="1:7" s="14" customFormat="1" ht="13.5" customHeight="1" hidden="1">
      <c r="A25" s="21" t="s">
        <v>134</v>
      </c>
      <c r="B25" s="20" t="s">
        <v>133</v>
      </c>
      <c r="C25" s="21" t="s">
        <v>134</v>
      </c>
      <c r="D25" s="21"/>
      <c r="E25" s="19">
        <f>58232262.95</f>
        <v>58232262.95</v>
      </c>
      <c r="F25" s="19">
        <f>58232262.95</f>
        <v>58232262.95</v>
      </c>
      <c r="G25" s="18">
        <f>100</f>
        <v>100</v>
      </c>
    </row>
    <row r="26" spans="1:7" s="14" customFormat="1" ht="13.5" customHeight="1" hidden="1">
      <c r="A26" s="21" t="s">
        <v>132</v>
      </c>
      <c r="B26" s="20" t="s">
        <v>131</v>
      </c>
      <c r="C26" s="21" t="s">
        <v>132</v>
      </c>
      <c r="D26" s="21"/>
      <c r="E26" s="19">
        <f>317200355.56</f>
        <v>317200355.56</v>
      </c>
      <c r="F26" s="19">
        <f>292089480.61</f>
        <v>292089480.61</v>
      </c>
      <c r="G26" s="18">
        <f>92.08</f>
        <v>92.08</v>
      </c>
    </row>
    <row r="27" spans="1:7" s="14" customFormat="1" ht="24" customHeight="1" hidden="1">
      <c r="A27" s="21" t="s">
        <v>130</v>
      </c>
      <c r="B27" s="20" t="s">
        <v>129</v>
      </c>
      <c r="C27" s="21" t="s">
        <v>130</v>
      </c>
      <c r="D27" s="21"/>
      <c r="E27" s="19">
        <f>625364</f>
        <v>625364</v>
      </c>
      <c r="F27" s="19">
        <f>595687.37</f>
        <v>595687.37</v>
      </c>
      <c r="G27" s="18">
        <f>95.25</f>
        <v>95.25</v>
      </c>
    </row>
    <row r="28" spans="1:7" s="14" customFormat="1" ht="13.5" customHeight="1" hidden="1">
      <c r="A28" s="21" t="s">
        <v>128</v>
      </c>
      <c r="B28" s="20" t="s">
        <v>127</v>
      </c>
      <c r="C28" s="21" t="s">
        <v>128</v>
      </c>
      <c r="D28" s="21"/>
      <c r="E28" s="19">
        <f>3628558</f>
        <v>3628558</v>
      </c>
      <c r="F28" s="19">
        <f>3551528.4</f>
        <v>3551528.4</v>
      </c>
      <c r="G28" s="18">
        <f>97.88</f>
        <v>97.88</v>
      </c>
    </row>
    <row r="29" spans="1:7" s="14" customFormat="1" ht="13.5" customHeight="1" hidden="1">
      <c r="A29" s="21" t="s">
        <v>126</v>
      </c>
      <c r="B29" s="20" t="s">
        <v>125</v>
      </c>
      <c r="C29" s="21" t="s">
        <v>126</v>
      </c>
      <c r="D29" s="21"/>
      <c r="E29" s="19">
        <f>8913674.36</f>
        <v>8913674.36</v>
      </c>
      <c r="F29" s="19">
        <f>8298086.42</f>
        <v>8298086.42</v>
      </c>
      <c r="G29" s="18">
        <f>93.09</f>
        <v>93.09</v>
      </c>
    </row>
    <row r="30" spans="1:7" s="14" customFormat="1" ht="13.5" customHeight="1" hidden="1">
      <c r="A30" s="24" t="s">
        <v>124</v>
      </c>
      <c r="B30" s="23" t="s">
        <v>123</v>
      </c>
      <c r="C30" s="24" t="s">
        <v>124</v>
      </c>
      <c r="D30" s="168"/>
      <c r="E30" s="16">
        <f>SUM(E31:E32)</f>
        <v>21747889.24</v>
      </c>
      <c r="F30" s="16">
        <f>SUM(F31:F32)</f>
        <v>21722445.24</v>
      </c>
      <c r="G30" s="15"/>
    </row>
    <row r="31" spans="1:7" s="14" customFormat="1" ht="13.5" customHeight="1" hidden="1">
      <c r="A31" s="21" t="s">
        <v>122</v>
      </c>
      <c r="B31" s="20" t="s">
        <v>121</v>
      </c>
      <c r="C31" s="21" t="s">
        <v>122</v>
      </c>
      <c r="D31" s="21"/>
      <c r="E31" s="19">
        <f>18935027.24</f>
        <v>18935027.24</v>
      </c>
      <c r="F31" s="19">
        <f>18935027.24</f>
        <v>18935027.24</v>
      </c>
      <c r="G31" s="18">
        <f>100</f>
        <v>100</v>
      </c>
    </row>
    <row r="32" spans="1:7" s="14" customFormat="1" ht="13.5" customHeight="1" hidden="1">
      <c r="A32" s="21" t="s">
        <v>120</v>
      </c>
      <c r="B32" s="20" t="s">
        <v>119</v>
      </c>
      <c r="C32" s="21" t="s">
        <v>120</v>
      </c>
      <c r="D32" s="21"/>
      <c r="E32" s="19">
        <f>2812862</f>
        <v>2812862</v>
      </c>
      <c r="F32" s="19">
        <f>2787418</f>
        <v>2787418</v>
      </c>
      <c r="G32" s="18">
        <f>99.1</f>
        <v>99.1</v>
      </c>
    </row>
    <row r="33" spans="1:7" s="14" customFormat="1" ht="13.5" customHeight="1" hidden="1">
      <c r="A33" s="24" t="s">
        <v>118</v>
      </c>
      <c r="B33" s="23" t="s">
        <v>117</v>
      </c>
      <c r="C33" s="24" t="s">
        <v>118</v>
      </c>
      <c r="D33" s="168"/>
      <c r="E33" s="16">
        <f>SUM(E34)</f>
        <v>830000</v>
      </c>
      <c r="F33" s="16">
        <f>SUM(F34)</f>
        <v>830000</v>
      </c>
      <c r="G33" s="15"/>
    </row>
    <row r="34" spans="1:7" s="14" customFormat="1" ht="13.5" customHeight="1" hidden="1">
      <c r="A34" s="21" t="s">
        <v>116</v>
      </c>
      <c r="B34" s="20" t="s">
        <v>115</v>
      </c>
      <c r="C34" s="21" t="s">
        <v>116</v>
      </c>
      <c r="D34" s="21"/>
      <c r="E34" s="19">
        <f>830000</f>
        <v>830000</v>
      </c>
      <c r="F34" s="19">
        <f>830000</f>
        <v>830000</v>
      </c>
      <c r="G34" s="18">
        <f>100</f>
        <v>100</v>
      </c>
    </row>
    <row r="35" spans="1:7" s="14" customFormat="1" ht="13.5" customHeight="1" hidden="1">
      <c r="A35" s="24" t="s">
        <v>114</v>
      </c>
      <c r="B35" s="23" t="s">
        <v>113</v>
      </c>
      <c r="C35" s="24" t="s">
        <v>114</v>
      </c>
      <c r="D35" s="168"/>
      <c r="E35" s="16">
        <f>SUM(E36:E39)</f>
        <v>18642360.5</v>
      </c>
      <c r="F35" s="16">
        <f>SUM(F36:F39)</f>
        <v>9726369.86</v>
      </c>
      <c r="G35" s="15"/>
    </row>
    <row r="36" spans="1:7" s="14" customFormat="1" ht="13.5" customHeight="1" hidden="1">
      <c r="A36" s="21" t="s">
        <v>112</v>
      </c>
      <c r="B36" s="20" t="s">
        <v>111</v>
      </c>
      <c r="C36" s="21" t="s">
        <v>112</v>
      </c>
      <c r="D36" s="21"/>
      <c r="E36" s="19">
        <f>275065</f>
        <v>275065</v>
      </c>
      <c r="F36" s="19">
        <f>275065</f>
        <v>275065</v>
      </c>
      <c r="G36" s="18">
        <f>100</f>
        <v>100</v>
      </c>
    </row>
    <row r="37" spans="1:7" s="14" customFormat="1" ht="13.5" customHeight="1" hidden="1">
      <c r="A37" s="21" t="s">
        <v>110</v>
      </c>
      <c r="B37" s="20" t="s">
        <v>109</v>
      </c>
      <c r="C37" s="21" t="s">
        <v>110</v>
      </c>
      <c r="D37" s="21"/>
      <c r="E37" s="19">
        <f>5235099</f>
        <v>5235099</v>
      </c>
      <c r="F37" s="19">
        <f>5235097</f>
        <v>5235097</v>
      </c>
      <c r="G37" s="18">
        <f>100</f>
        <v>100</v>
      </c>
    </row>
    <row r="38" spans="1:7" s="14" customFormat="1" ht="13.5" customHeight="1" hidden="1">
      <c r="A38" s="21" t="s">
        <v>108</v>
      </c>
      <c r="B38" s="20" t="s">
        <v>107</v>
      </c>
      <c r="C38" s="21" t="s">
        <v>108</v>
      </c>
      <c r="D38" s="21"/>
      <c r="E38" s="19">
        <f>12869296.5</f>
        <v>12869296.5</v>
      </c>
      <c r="F38" s="19">
        <f>3953307.86</f>
        <v>3953307.86</v>
      </c>
      <c r="G38" s="18">
        <f>30.72</f>
        <v>30.72</v>
      </c>
    </row>
    <row r="39" spans="1:7" s="14" customFormat="1" ht="13.5" customHeight="1" hidden="1">
      <c r="A39" s="21" t="s">
        <v>106</v>
      </c>
      <c r="B39" s="20" t="s">
        <v>105</v>
      </c>
      <c r="C39" s="21" t="s">
        <v>106</v>
      </c>
      <c r="D39" s="21"/>
      <c r="E39" s="19">
        <f>262900</f>
        <v>262900</v>
      </c>
      <c r="F39" s="19">
        <f>262900</f>
        <v>262900</v>
      </c>
      <c r="G39" s="18">
        <f>100</f>
        <v>100</v>
      </c>
    </row>
    <row r="40" spans="1:7" s="14" customFormat="1" ht="13.5" customHeight="1" hidden="1">
      <c r="A40" s="24" t="s">
        <v>104</v>
      </c>
      <c r="B40" s="23" t="s">
        <v>103</v>
      </c>
      <c r="C40" s="24" t="s">
        <v>104</v>
      </c>
      <c r="D40" s="168"/>
      <c r="E40" s="16">
        <f>SUM(E41)</f>
        <v>1127044</v>
      </c>
      <c r="F40" s="16">
        <f>SUM(F41)</f>
        <v>1127044</v>
      </c>
      <c r="G40" s="15"/>
    </row>
    <row r="41" spans="1:7" s="14" customFormat="1" ht="13.5" customHeight="1" hidden="1">
      <c r="A41" s="21" t="s">
        <v>102</v>
      </c>
      <c r="B41" s="20" t="s">
        <v>101</v>
      </c>
      <c r="C41" s="21" t="s">
        <v>102</v>
      </c>
      <c r="D41" s="21"/>
      <c r="E41" s="19">
        <f>1127044</f>
        <v>1127044</v>
      </c>
      <c r="F41" s="19">
        <f>1127044</f>
        <v>1127044</v>
      </c>
      <c r="G41" s="18">
        <f>100</f>
        <v>100</v>
      </c>
    </row>
    <row r="42" spans="1:7" s="14" customFormat="1" ht="13.5" customHeight="1" hidden="1">
      <c r="A42" s="24" t="s">
        <v>100</v>
      </c>
      <c r="B42" s="23" t="s">
        <v>99</v>
      </c>
      <c r="C42" s="24" t="s">
        <v>100</v>
      </c>
      <c r="D42" s="168"/>
      <c r="E42" s="16">
        <f>SUM(E43)</f>
        <v>1293350</v>
      </c>
      <c r="F42" s="16">
        <f>SUM(F43)</f>
        <v>1293350</v>
      </c>
      <c r="G42" s="15"/>
    </row>
    <row r="43" spans="1:7" s="14" customFormat="1" ht="13.5" customHeight="1" hidden="1">
      <c r="A43" s="21" t="s">
        <v>98</v>
      </c>
      <c r="B43" s="20" t="s">
        <v>97</v>
      </c>
      <c r="C43" s="21" t="s">
        <v>98</v>
      </c>
      <c r="D43" s="21"/>
      <c r="E43" s="19">
        <f>1293350</f>
        <v>1293350</v>
      </c>
      <c r="F43" s="19">
        <f>1293350</f>
        <v>1293350</v>
      </c>
      <c r="G43" s="18">
        <f>100</f>
        <v>100</v>
      </c>
    </row>
    <row r="44" spans="1:7" s="14" customFormat="1" ht="24.75" customHeight="1" hidden="1">
      <c r="A44" s="24" t="s">
        <v>96</v>
      </c>
      <c r="B44" s="23" t="s">
        <v>95</v>
      </c>
      <c r="C44" s="24" t="s">
        <v>96</v>
      </c>
      <c r="D44" s="168"/>
      <c r="E44" s="16">
        <f>SUM(E45)</f>
        <v>233422</v>
      </c>
      <c r="F44" s="16">
        <f>SUM(F45)</f>
        <v>233083.78</v>
      </c>
      <c r="G44" s="15"/>
    </row>
    <row r="45" spans="1:7" s="14" customFormat="1" ht="24" customHeight="1" hidden="1">
      <c r="A45" s="21" t="s">
        <v>94</v>
      </c>
      <c r="B45" s="20" t="s">
        <v>93</v>
      </c>
      <c r="C45" s="21" t="s">
        <v>94</v>
      </c>
      <c r="D45" s="21"/>
      <c r="E45" s="19">
        <f>233422</f>
        <v>233422</v>
      </c>
      <c r="F45" s="19">
        <f>233083.78</f>
        <v>233083.78</v>
      </c>
      <c r="G45" s="18">
        <f>99.86</f>
        <v>99.86</v>
      </c>
    </row>
    <row r="46" spans="1:7" s="22" customFormat="1" ht="24" customHeight="1" hidden="1">
      <c r="A46" s="24" t="s">
        <v>92</v>
      </c>
      <c r="B46" s="23" t="s">
        <v>91</v>
      </c>
      <c r="C46" s="24" t="s">
        <v>92</v>
      </c>
      <c r="D46" s="168"/>
      <c r="E46" s="16">
        <f>SUM(E47:E48)</f>
        <v>34916912</v>
      </c>
      <c r="F46" s="16">
        <f>SUM(F47:F48)</f>
        <v>34916912</v>
      </c>
      <c r="G46" s="15"/>
    </row>
    <row r="47" spans="1:7" s="14" customFormat="1" ht="33.75" customHeight="1" hidden="1">
      <c r="A47" s="21" t="s">
        <v>90</v>
      </c>
      <c r="B47" s="20" t="s">
        <v>89</v>
      </c>
      <c r="C47" s="21" t="s">
        <v>90</v>
      </c>
      <c r="D47" s="21"/>
      <c r="E47" s="19">
        <f>30166120</f>
        <v>30166120</v>
      </c>
      <c r="F47" s="19">
        <f>30166120</f>
        <v>30166120</v>
      </c>
      <c r="G47" s="18">
        <f>100</f>
        <v>100</v>
      </c>
    </row>
    <row r="48" spans="1:7" s="14" customFormat="1" ht="13.5" customHeight="1" hidden="1" thickBot="1">
      <c r="A48" s="21" t="s">
        <v>88</v>
      </c>
      <c r="B48" s="20" t="s">
        <v>87</v>
      </c>
      <c r="C48" s="21" t="s">
        <v>88</v>
      </c>
      <c r="D48" s="21"/>
      <c r="E48" s="19">
        <f>4750792</f>
        <v>4750792</v>
      </c>
      <c r="F48" s="19">
        <f>4750792</f>
        <v>4750792</v>
      </c>
      <c r="G48" s="18">
        <f>100</f>
        <v>100</v>
      </c>
    </row>
    <row r="49" spans="1:7" s="14" customFormat="1" ht="15" customHeight="1" hidden="1" thickBot="1">
      <c r="A49" s="332" t="s">
        <v>85</v>
      </c>
      <c r="B49" s="332"/>
      <c r="C49" s="17"/>
      <c r="D49" s="17"/>
      <c r="E49" s="30">
        <f>676353897.68</f>
        <v>676353897.68</v>
      </c>
      <c r="F49" s="30">
        <f>636026530.78</f>
        <v>636026530.78</v>
      </c>
      <c r="G49" s="29">
        <f>94.04</f>
        <v>94.04</v>
      </c>
    </row>
    <row r="50" ht="12.75" hidden="1"/>
    <row r="51" spans="5:6" ht="12.75" hidden="1">
      <c r="E51" s="14">
        <v>1000</v>
      </c>
      <c r="F51" s="14">
        <v>1000</v>
      </c>
    </row>
    <row r="52" spans="1:3" ht="15.75">
      <c r="A52" s="14"/>
      <c r="B52" s="180" t="s">
        <v>415</v>
      </c>
      <c r="C52" s="1"/>
    </row>
    <row r="53" spans="1:9" ht="12.75">
      <c r="A53" s="327" t="s">
        <v>413</v>
      </c>
      <c r="B53" s="328"/>
      <c r="C53" s="328"/>
      <c r="D53" s="328"/>
      <c r="E53" s="328"/>
      <c r="F53" s="328"/>
      <c r="G53" s="328"/>
      <c r="H53" s="329"/>
      <c r="I53" s="329"/>
    </row>
    <row r="54" spans="1:9" ht="36.75" customHeight="1">
      <c r="A54" s="327" t="s">
        <v>414</v>
      </c>
      <c r="B54" s="328"/>
      <c r="C54" s="328"/>
      <c r="D54" s="328"/>
      <c r="E54" s="328"/>
      <c r="F54" s="328"/>
      <c r="G54" s="328"/>
      <c r="H54" s="329"/>
      <c r="I54" s="329"/>
    </row>
    <row r="55" spans="1:9" ht="25.5" customHeight="1">
      <c r="A55" s="31"/>
      <c r="B55" s="32"/>
      <c r="C55" s="32"/>
      <c r="D55" s="32"/>
      <c r="E55" s="32"/>
      <c r="F55" s="32"/>
      <c r="H55" s="325" t="s">
        <v>178</v>
      </c>
      <c r="I55" s="326"/>
    </row>
    <row r="56" spans="1:9" s="14" customFormat="1" ht="76.5">
      <c r="A56" s="33" t="s">
        <v>175</v>
      </c>
      <c r="B56" s="39" t="s">
        <v>2</v>
      </c>
      <c r="C56" s="39" t="s">
        <v>179</v>
      </c>
      <c r="D56" s="169" t="s">
        <v>290</v>
      </c>
      <c r="E56" s="178" t="s">
        <v>295</v>
      </c>
      <c r="F56" s="179" t="s">
        <v>296</v>
      </c>
      <c r="G56" s="39" t="s">
        <v>5</v>
      </c>
      <c r="H56" s="169" t="s">
        <v>291</v>
      </c>
      <c r="I56" s="169" t="s">
        <v>292</v>
      </c>
    </row>
    <row r="57" spans="1:9" s="14" customFormat="1" ht="12.75">
      <c r="A57" s="34" t="s">
        <v>6</v>
      </c>
      <c r="B57" s="34">
        <v>1</v>
      </c>
      <c r="C57" s="34">
        <v>2</v>
      </c>
      <c r="D57" s="34"/>
      <c r="E57" s="34">
        <v>3</v>
      </c>
      <c r="F57" s="34">
        <v>4</v>
      </c>
      <c r="G57" s="34">
        <v>5</v>
      </c>
      <c r="H57" s="173"/>
      <c r="I57" s="173"/>
    </row>
    <row r="58" spans="1:9" s="14" customFormat="1" ht="12.75">
      <c r="A58" s="24" t="s">
        <v>174</v>
      </c>
      <c r="B58" s="23" t="s">
        <v>173</v>
      </c>
      <c r="C58" s="24" t="s">
        <v>174</v>
      </c>
      <c r="D58" s="294">
        <f>SUM(D59:D64)</f>
        <v>30337.416999999998</v>
      </c>
      <c r="E58" s="294">
        <f>SUM(E59:E64)</f>
        <v>31241.178</v>
      </c>
      <c r="F58" s="294">
        <f>SUM(F59:F64)</f>
        <v>30539.395089999998</v>
      </c>
      <c r="G58" s="294">
        <f>F58/E58*100</f>
        <v>97.75366053738433</v>
      </c>
      <c r="H58" s="295">
        <f>F58/$F$103*100</f>
        <v>4.801591382131118</v>
      </c>
      <c r="I58" s="295">
        <f>F58/D58*100</f>
        <v>100.66577220466726</v>
      </c>
    </row>
    <row r="59" spans="1:9" s="14" customFormat="1" ht="51">
      <c r="A59" s="34" t="s">
        <v>172</v>
      </c>
      <c r="B59" s="36" t="s">
        <v>171</v>
      </c>
      <c r="C59" s="34" t="s">
        <v>172</v>
      </c>
      <c r="D59" s="296">
        <v>1346.828</v>
      </c>
      <c r="E59" s="298">
        <f aca="true" t="shared" si="0" ref="E59:F62">E6/$E$51</f>
        <v>1240</v>
      </c>
      <c r="F59" s="298">
        <f t="shared" si="0"/>
        <v>1240</v>
      </c>
      <c r="G59" s="298">
        <f>100</f>
        <v>100</v>
      </c>
      <c r="H59" s="297">
        <f aca="true" t="shared" si="1" ref="H59:H64">F59/$F$103*100</f>
        <v>0.1949604206729095</v>
      </c>
      <c r="I59" s="297">
        <f aca="true" t="shared" si="2" ref="I59:I64">F59/D59*100</f>
        <v>92.06817797075796</v>
      </c>
    </row>
    <row r="60" spans="1:9" s="14" customFormat="1" ht="42" customHeight="1">
      <c r="A60" s="34" t="s">
        <v>170</v>
      </c>
      <c r="B60" s="36" t="s">
        <v>169</v>
      </c>
      <c r="C60" s="34" t="s">
        <v>170</v>
      </c>
      <c r="D60" s="296">
        <v>1566.912</v>
      </c>
      <c r="E60" s="298">
        <f t="shared" si="0"/>
        <v>1399.997</v>
      </c>
      <c r="F60" s="298">
        <f t="shared" si="0"/>
        <v>1380.34984</v>
      </c>
      <c r="G60" s="298">
        <f>98.6</f>
        <v>98.6</v>
      </c>
      <c r="H60" s="297">
        <f t="shared" si="1"/>
        <v>0.21702708506627688</v>
      </c>
      <c r="I60" s="297">
        <f t="shared" si="2"/>
        <v>88.09364150635135</v>
      </c>
    </row>
    <row r="61" spans="1:9" s="14" customFormat="1" ht="25.5" customHeight="1">
      <c r="A61" s="34" t="s">
        <v>168</v>
      </c>
      <c r="B61" s="36" t="s">
        <v>423</v>
      </c>
      <c r="C61" s="34" t="s">
        <v>168</v>
      </c>
      <c r="D61" s="296">
        <v>14197.108</v>
      </c>
      <c r="E61" s="298">
        <f t="shared" si="0"/>
        <v>13809.45</v>
      </c>
      <c r="F61" s="298">
        <f t="shared" si="0"/>
        <v>13746.70017</v>
      </c>
      <c r="G61" s="298">
        <f>99.55</f>
        <v>99.55</v>
      </c>
      <c r="H61" s="297">
        <f t="shared" si="1"/>
        <v>2.1613406838770617</v>
      </c>
      <c r="I61" s="297">
        <f t="shared" si="2"/>
        <v>96.8274677490655</v>
      </c>
    </row>
    <row r="62" spans="1:9" s="14" customFormat="1" ht="51">
      <c r="A62" s="34" t="s">
        <v>166</v>
      </c>
      <c r="B62" s="36" t="s">
        <v>165</v>
      </c>
      <c r="C62" s="34" t="s">
        <v>166</v>
      </c>
      <c r="D62" s="296">
        <v>4783.714</v>
      </c>
      <c r="E62" s="298">
        <f t="shared" si="0"/>
        <v>4554.871</v>
      </c>
      <c r="F62" s="298">
        <f t="shared" si="0"/>
        <v>4497.53709</v>
      </c>
      <c r="G62" s="298">
        <f>98.74</f>
        <v>98.74</v>
      </c>
      <c r="H62" s="297">
        <f t="shared" si="1"/>
        <v>0.7071304218213009</v>
      </c>
      <c r="I62" s="297">
        <f t="shared" si="2"/>
        <v>94.01768354044577</v>
      </c>
    </row>
    <row r="63" spans="1:9" s="14" customFormat="1" ht="25.5">
      <c r="A63" s="34"/>
      <c r="B63" s="172" t="s">
        <v>294</v>
      </c>
      <c r="C63" s="171" t="s">
        <v>293</v>
      </c>
      <c r="D63" s="170">
        <v>1014</v>
      </c>
      <c r="E63" s="37"/>
      <c r="F63" s="37"/>
      <c r="G63" s="37"/>
      <c r="H63" s="175">
        <f t="shared" si="1"/>
        <v>0</v>
      </c>
      <c r="I63" s="175">
        <f t="shared" si="2"/>
        <v>0</v>
      </c>
    </row>
    <row r="64" spans="1:9" s="14" customFormat="1" ht="12.75">
      <c r="A64" s="34" t="s">
        <v>164</v>
      </c>
      <c r="B64" s="36" t="s">
        <v>163</v>
      </c>
      <c r="C64" s="34" t="s">
        <v>164</v>
      </c>
      <c r="D64" s="177">
        <v>7428.855</v>
      </c>
      <c r="E64" s="37">
        <f>E10/$E$51</f>
        <v>10236.86</v>
      </c>
      <c r="F64" s="37">
        <f>F10/$E$51</f>
        <v>9674.80799</v>
      </c>
      <c r="G64" s="37">
        <f>94.51</f>
        <v>94.51</v>
      </c>
      <c r="H64" s="175">
        <f t="shared" si="1"/>
        <v>1.5211327706935693</v>
      </c>
      <c r="I64" s="175">
        <f t="shared" si="2"/>
        <v>130.2328284776052</v>
      </c>
    </row>
    <row r="65" spans="1:9" s="14" customFormat="1" ht="12.75">
      <c r="A65" s="24" t="s">
        <v>162</v>
      </c>
      <c r="B65" s="23" t="s">
        <v>161</v>
      </c>
      <c r="C65" s="24" t="s">
        <v>162</v>
      </c>
      <c r="D65" s="176">
        <f>SUM(D66)</f>
        <v>531.9</v>
      </c>
      <c r="E65" s="35">
        <f>SUM(E66)</f>
        <v>529.9</v>
      </c>
      <c r="F65" s="35">
        <f>SUM(F66)</f>
        <v>527.8</v>
      </c>
      <c r="G65" s="35">
        <f>F65/E65*100</f>
        <v>99.60369881109644</v>
      </c>
      <c r="H65" s="174">
        <f aca="true" t="shared" si="3" ref="H65:H102">F65/$F$103*100</f>
        <v>0.0829839597025497</v>
      </c>
      <c r="I65" s="174">
        <f aca="true" t="shared" si="4" ref="I65:I103">F65/D65*100</f>
        <v>99.22917841699567</v>
      </c>
    </row>
    <row r="66" spans="1:9" s="14" customFormat="1" ht="25.5">
      <c r="A66" s="34" t="s">
        <v>160</v>
      </c>
      <c r="B66" s="36" t="s">
        <v>159</v>
      </c>
      <c r="C66" s="34" t="s">
        <v>160</v>
      </c>
      <c r="D66" s="177">
        <v>531.9</v>
      </c>
      <c r="E66" s="37">
        <f>E12/$E$51</f>
        <v>529.9</v>
      </c>
      <c r="F66" s="37">
        <f>F12/$E$51</f>
        <v>527.8</v>
      </c>
      <c r="G66" s="37">
        <f>99.6</f>
        <v>99.6</v>
      </c>
      <c r="H66" s="175">
        <f t="shared" si="3"/>
        <v>0.0829839597025497</v>
      </c>
      <c r="I66" s="175">
        <f t="shared" si="4"/>
        <v>99.22917841699567</v>
      </c>
    </row>
    <row r="67" spans="1:9" s="14" customFormat="1" ht="25.5">
      <c r="A67" s="24" t="s">
        <v>158</v>
      </c>
      <c r="B67" s="23" t="s">
        <v>157</v>
      </c>
      <c r="C67" s="24" t="s">
        <v>158</v>
      </c>
      <c r="D67" s="176">
        <f>SUM(D68:D69)</f>
        <v>1041.411</v>
      </c>
      <c r="E67" s="35">
        <f>SUM(E68:E69)</f>
        <v>127017.22807</v>
      </c>
      <c r="F67" s="35">
        <f>SUM(F68:F69)</f>
        <v>126813.70008</v>
      </c>
      <c r="G67" s="35">
        <f>F67/E67*100</f>
        <v>99.83976347689793</v>
      </c>
      <c r="H67" s="174">
        <f t="shared" si="3"/>
        <v>19.938429286036268</v>
      </c>
      <c r="I67" s="174">
        <f t="shared" si="4"/>
        <v>12177.103956074978</v>
      </c>
    </row>
    <row r="68" spans="1:9" s="14" customFormat="1" ht="51">
      <c r="A68" s="34" t="s">
        <v>156</v>
      </c>
      <c r="B68" s="36" t="s">
        <v>155</v>
      </c>
      <c r="C68" s="34" t="s">
        <v>156</v>
      </c>
      <c r="D68" s="177">
        <v>977.811</v>
      </c>
      <c r="E68" s="37">
        <f>E14/$E$51</f>
        <v>126912.42807</v>
      </c>
      <c r="F68" s="37">
        <f>F14/$E$51</f>
        <v>126708.90007999999</v>
      </c>
      <c r="G68" s="37">
        <f>99.84</f>
        <v>99.84</v>
      </c>
      <c r="H68" s="175">
        <f t="shared" si="3"/>
        <v>19.921951985966498</v>
      </c>
      <c r="I68" s="175">
        <f t="shared" si="4"/>
        <v>12958.424488986111</v>
      </c>
    </row>
    <row r="69" spans="1:9" s="14" customFormat="1" ht="38.25">
      <c r="A69" s="34" t="s">
        <v>154</v>
      </c>
      <c r="B69" s="36" t="s">
        <v>153</v>
      </c>
      <c r="C69" s="34" t="s">
        <v>154</v>
      </c>
      <c r="D69" s="177">
        <v>63.6</v>
      </c>
      <c r="E69" s="37">
        <f>E15/$E$51</f>
        <v>104.8</v>
      </c>
      <c r="F69" s="37">
        <f>F15/$E$51</f>
        <v>104.8</v>
      </c>
      <c r="G69" s="37">
        <f>100</f>
        <v>100</v>
      </c>
      <c r="H69" s="175">
        <f t="shared" si="3"/>
        <v>0.016477300069774933</v>
      </c>
      <c r="I69" s="175">
        <f t="shared" si="4"/>
        <v>164.77987421383645</v>
      </c>
    </row>
    <row r="70" spans="1:9" s="14" customFormat="1" ht="12.75">
      <c r="A70" s="24" t="s">
        <v>152</v>
      </c>
      <c r="B70" s="23" t="s">
        <v>151</v>
      </c>
      <c r="C70" s="24" t="s">
        <v>152</v>
      </c>
      <c r="D70" s="176">
        <f>SUM(D71:D73)</f>
        <v>12107.474999999999</v>
      </c>
      <c r="E70" s="35">
        <f>SUM(E71:E73)</f>
        <v>38551.9414</v>
      </c>
      <c r="F70" s="35">
        <f>SUM(F71:F73)</f>
        <v>36625.4902</v>
      </c>
      <c r="G70" s="35">
        <f>F70/E70*100</f>
        <v>95.00297227573601</v>
      </c>
      <c r="H70" s="174">
        <f t="shared" si="3"/>
        <v>5.758484658664132</v>
      </c>
      <c r="I70" s="174">
        <f t="shared" si="4"/>
        <v>302.50312472253717</v>
      </c>
    </row>
    <row r="71" spans="1:9" s="14" customFormat="1" ht="12.75">
      <c r="A71" s="34" t="s">
        <v>150</v>
      </c>
      <c r="B71" s="36" t="s">
        <v>149</v>
      </c>
      <c r="C71" s="34" t="s">
        <v>150</v>
      </c>
      <c r="D71" s="177">
        <v>493.2</v>
      </c>
      <c r="E71" s="37">
        <f aca="true" t="shared" si="5" ref="E71:F73">E17/$E$51</f>
        <v>329.44</v>
      </c>
      <c r="F71" s="37">
        <f t="shared" si="5"/>
        <v>328.6</v>
      </c>
      <c r="G71" s="37">
        <f>99.75</f>
        <v>99.75</v>
      </c>
      <c r="H71" s="175">
        <f t="shared" si="3"/>
        <v>0.05166451147832102</v>
      </c>
      <c r="I71" s="175">
        <f t="shared" si="4"/>
        <v>66.62611516626116</v>
      </c>
    </row>
    <row r="72" spans="1:9" s="14" customFormat="1" ht="12.75">
      <c r="A72" s="34" t="s">
        <v>148</v>
      </c>
      <c r="B72" s="36" t="s">
        <v>147</v>
      </c>
      <c r="C72" s="34" t="s">
        <v>148</v>
      </c>
      <c r="D72" s="177">
        <v>4796.205</v>
      </c>
      <c r="E72" s="37">
        <f t="shared" si="5"/>
        <v>33189.866</v>
      </c>
      <c r="F72" s="37">
        <f t="shared" si="5"/>
        <v>31267.544</v>
      </c>
      <c r="G72" s="37">
        <f>94.21</f>
        <v>94.21</v>
      </c>
      <c r="H72" s="175">
        <f t="shared" si="3"/>
        <v>4.916075428748957</v>
      </c>
      <c r="I72" s="175">
        <f t="shared" si="4"/>
        <v>651.922592966731</v>
      </c>
    </row>
    <row r="73" spans="1:9" s="14" customFormat="1" ht="25.5">
      <c r="A73" s="34" t="s">
        <v>146</v>
      </c>
      <c r="B73" s="36" t="s">
        <v>145</v>
      </c>
      <c r="C73" s="34" t="s">
        <v>146</v>
      </c>
      <c r="D73" s="177">
        <v>6818.07</v>
      </c>
      <c r="E73" s="37">
        <f t="shared" si="5"/>
        <v>5032.6354</v>
      </c>
      <c r="F73" s="37">
        <f t="shared" si="5"/>
        <v>5029.3462</v>
      </c>
      <c r="G73" s="37">
        <f>99.93</f>
        <v>99.93</v>
      </c>
      <c r="H73" s="175">
        <f t="shared" si="3"/>
        <v>0.7907447184368539</v>
      </c>
      <c r="I73" s="175">
        <f t="shared" si="4"/>
        <v>73.76495401191247</v>
      </c>
    </row>
    <row r="74" spans="1:9" s="14" customFormat="1" ht="12.75">
      <c r="A74" s="24" t="s">
        <v>144</v>
      </c>
      <c r="B74" s="23" t="s">
        <v>143</v>
      </c>
      <c r="C74" s="24" t="s">
        <v>144</v>
      </c>
      <c r="D74" s="176">
        <f>SUM(D75:D77)</f>
        <v>13846.707</v>
      </c>
      <c r="E74" s="35">
        <f>SUM(E75:E77)</f>
        <v>11622.4576</v>
      </c>
      <c r="F74" s="35">
        <f>SUM(F75:F77)</f>
        <v>8903.89478</v>
      </c>
      <c r="G74" s="35">
        <f>F74/E74*100</f>
        <v>76.60939782649756</v>
      </c>
      <c r="H74" s="174">
        <f t="shared" si="3"/>
        <v>1.3999250580130023</v>
      </c>
      <c r="I74" s="174">
        <f t="shared" si="4"/>
        <v>64.3033378260983</v>
      </c>
    </row>
    <row r="75" spans="1:9" s="14" customFormat="1" ht="12.75">
      <c r="A75" s="34" t="s">
        <v>142</v>
      </c>
      <c r="B75" s="36" t="s">
        <v>141</v>
      </c>
      <c r="C75" s="34" t="s">
        <v>142</v>
      </c>
      <c r="D75" s="177"/>
      <c r="E75" s="37">
        <f aca="true" t="shared" si="6" ref="E75:F77">E21/$E$51</f>
        <v>1000</v>
      </c>
      <c r="F75" s="37">
        <f t="shared" si="6"/>
        <v>1000</v>
      </c>
      <c r="G75" s="37">
        <f>100</f>
        <v>100</v>
      </c>
      <c r="H75" s="175">
        <f t="shared" si="3"/>
        <v>0.15722614570395926</v>
      </c>
      <c r="I75" s="175" t="e">
        <f t="shared" si="4"/>
        <v>#DIV/0!</v>
      </c>
    </row>
    <row r="76" spans="1:9" s="14" customFormat="1" ht="12.75">
      <c r="A76" s="34" t="s">
        <v>140</v>
      </c>
      <c r="B76" s="36" t="s">
        <v>139</v>
      </c>
      <c r="C76" s="34" t="s">
        <v>140</v>
      </c>
      <c r="D76" s="177">
        <v>12632.296</v>
      </c>
      <c r="E76" s="37">
        <f t="shared" si="6"/>
        <v>9616.6576</v>
      </c>
      <c r="F76" s="37">
        <f t="shared" si="6"/>
        <v>6957.27378</v>
      </c>
      <c r="G76" s="37">
        <f>72.35</f>
        <v>72.35</v>
      </c>
      <c r="H76" s="175">
        <f t="shared" si="3"/>
        <v>1.0938653410366155</v>
      </c>
      <c r="I76" s="175">
        <f t="shared" si="4"/>
        <v>55.07529098431513</v>
      </c>
    </row>
    <row r="77" spans="1:9" s="14" customFormat="1" ht="12.75">
      <c r="A77" s="34" t="s">
        <v>138</v>
      </c>
      <c r="B77" s="36" t="s">
        <v>137</v>
      </c>
      <c r="C77" s="34" t="s">
        <v>138</v>
      </c>
      <c r="D77" s="177">
        <v>1214.411</v>
      </c>
      <c r="E77" s="37">
        <f t="shared" si="6"/>
        <v>1005.8</v>
      </c>
      <c r="F77" s="37">
        <f t="shared" si="6"/>
        <v>946.621</v>
      </c>
      <c r="G77" s="37">
        <f>94.12</f>
        <v>94.12</v>
      </c>
      <c r="H77" s="175">
        <f t="shared" si="3"/>
        <v>0.14883357127242763</v>
      </c>
      <c r="I77" s="175">
        <f t="shared" si="4"/>
        <v>77.94898102866328</v>
      </c>
    </row>
    <row r="78" spans="1:9" s="14" customFormat="1" ht="12.75">
      <c r="A78" s="24" t="s">
        <v>136</v>
      </c>
      <c r="B78" s="23" t="s">
        <v>135</v>
      </c>
      <c r="C78" s="24" t="s">
        <v>136</v>
      </c>
      <c r="D78" s="176">
        <f>SUM(D79:D83)</f>
        <v>297733.953</v>
      </c>
      <c r="E78" s="35">
        <f>SUM(E79:E83)</f>
        <v>388600.21487</v>
      </c>
      <c r="F78" s="35">
        <f>SUM(F79:F83)</f>
        <v>362767.04575000005</v>
      </c>
      <c r="G78" s="35">
        <f>F78/E78*100</f>
        <v>93.35225042820883</v>
      </c>
      <c r="H78" s="174">
        <f t="shared" si="3"/>
        <v>57.03646439168436</v>
      </c>
      <c r="I78" s="174">
        <f t="shared" si="4"/>
        <v>121.84268609431994</v>
      </c>
    </row>
    <row r="79" spans="1:9" s="14" customFormat="1" ht="12.75">
      <c r="A79" s="34" t="s">
        <v>134</v>
      </c>
      <c r="B79" s="36" t="s">
        <v>133</v>
      </c>
      <c r="C79" s="34" t="s">
        <v>134</v>
      </c>
      <c r="D79" s="177">
        <v>23659.579</v>
      </c>
      <c r="E79" s="37">
        <f aca="true" t="shared" si="7" ref="E79:F83">E25/$E$51</f>
        <v>58232.262950000004</v>
      </c>
      <c r="F79" s="37">
        <f t="shared" si="7"/>
        <v>58232.262950000004</v>
      </c>
      <c r="G79" s="37">
        <f>100</f>
        <v>100</v>
      </c>
      <c r="H79" s="175">
        <f t="shared" si="3"/>
        <v>9.155634259247968</v>
      </c>
      <c r="I79" s="175">
        <f t="shared" si="4"/>
        <v>246.12552467649573</v>
      </c>
    </row>
    <row r="80" spans="1:9" s="14" customFormat="1" ht="12.75">
      <c r="A80" s="34" t="s">
        <v>132</v>
      </c>
      <c r="B80" s="36" t="s">
        <v>131</v>
      </c>
      <c r="C80" s="34" t="s">
        <v>132</v>
      </c>
      <c r="D80" s="177">
        <v>261886.322</v>
      </c>
      <c r="E80" s="37">
        <f t="shared" si="7"/>
        <v>317200.35556</v>
      </c>
      <c r="F80" s="37">
        <f t="shared" si="7"/>
        <v>292089.48061</v>
      </c>
      <c r="G80" s="37">
        <f>92.08</f>
        <v>92.08</v>
      </c>
      <c r="H80" s="175">
        <f t="shared" si="3"/>
        <v>45.92410323698165</v>
      </c>
      <c r="I80" s="175">
        <f t="shared" si="4"/>
        <v>111.5329271033865</v>
      </c>
    </row>
    <row r="81" spans="1:9" s="14" customFormat="1" ht="38.25">
      <c r="A81" s="34" t="s">
        <v>130</v>
      </c>
      <c r="B81" s="36" t="s">
        <v>129</v>
      </c>
      <c r="C81" s="34" t="s">
        <v>130</v>
      </c>
      <c r="D81" s="177">
        <v>1514.686</v>
      </c>
      <c r="E81" s="37">
        <f t="shared" si="7"/>
        <v>625.364</v>
      </c>
      <c r="F81" s="37">
        <f t="shared" si="7"/>
        <v>595.68737</v>
      </c>
      <c r="G81" s="37">
        <f>95.25</f>
        <v>95.25</v>
      </c>
      <c r="H81" s="175">
        <f t="shared" si="3"/>
        <v>0.0936576292296283</v>
      </c>
      <c r="I81" s="175">
        <f t="shared" si="4"/>
        <v>39.327449385549215</v>
      </c>
    </row>
    <row r="82" spans="1:9" s="14" customFormat="1" ht="25.5">
      <c r="A82" s="34" t="s">
        <v>128</v>
      </c>
      <c r="B82" s="36" t="s">
        <v>127</v>
      </c>
      <c r="C82" s="34" t="s">
        <v>128</v>
      </c>
      <c r="D82" s="177">
        <v>2465.171</v>
      </c>
      <c r="E82" s="37">
        <f t="shared" si="7"/>
        <v>3628.558</v>
      </c>
      <c r="F82" s="37">
        <f t="shared" si="7"/>
        <v>3551.5283999999997</v>
      </c>
      <c r="G82" s="37">
        <f>97.88</f>
        <v>97.88</v>
      </c>
      <c r="H82" s="175">
        <f t="shared" si="3"/>
        <v>0.5583931216901493</v>
      </c>
      <c r="I82" s="175">
        <f t="shared" si="4"/>
        <v>144.06823705130392</v>
      </c>
    </row>
    <row r="83" spans="1:9" s="14" customFormat="1" ht="12.75">
      <c r="A83" s="34" t="s">
        <v>126</v>
      </c>
      <c r="B83" s="36" t="s">
        <v>125</v>
      </c>
      <c r="C83" s="34" t="s">
        <v>126</v>
      </c>
      <c r="D83" s="177">
        <v>8208.195</v>
      </c>
      <c r="E83" s="37">
        <f t="shared" si="7"/>
        <v>8913.674359999999</v>
      </c>
      <c r="F83" s="37">
        <f t="shared" si="7"/>
        <v>8298.08642</v>
      </c>
      <c r="G83" s="37">
        <f>93.09</f>
        <v>93.09</v>
      </c>
      <c r="H83" s="175">
        <f t="shared" si="3"/>
        <v>1.3046761445349657</v>
      </c>
      <c r="I83" s="175">
        <f t="shared" si="4"/>
        <v>101.09514235468333</v>
      </c>
    </row>
    <row r="84" spans="1:9" s="14" customFormat="1" ht="12.75">
      <c r="A84" s="24" t="s">
        <v>124</v>
      </c>
      <c r="B84" s="23" t="s">
        <v>123</v>
      </c>
      <c r="C84" s="24" t="s">
        <v>124</v>
      </c>
      <c r="D84" s="176">
        <f>SUM(D85:D86)</f>
        <v>17218.909</v>
      </c>
      <c r="E84" s="35">
        <f>SUM(E85:E86)</f>
        <v>21747.88924</v>
      </c>
      <c r="F84" s="35">
        <f>SUM(F85:F86)</f>
        <v>21722.44524</v>
      </c>
      <c r="G84" s="35">
        <f>F84/E84*100</f>
        <v>99.88300473798073</v>
      </c>
      <c r="H84" s="174">
        <f t="shared" si="3"/>
        <v>3.4153363403505166</v>
      </c>
      <c r="I84" s="174">
        <f t="shared" si="4"/>
        <v>126.15459690274223</v>
      </c>
    </row>
    <row r="85" spans="1:9" s="14" customFormat="1" ht="12.75">
      <c r="A85" s="34" t="s">
        <v>122</v>
      </c>
      <c r="B85" s="36" t="s">
        <v>121</v>
      </c>
      <c r="C85" s="34" t="s">
        <v>122</v>
      </c>
      <c r="D85" s="177">
        <v>14283.27</v>
      </c>
      <c r="E85" s="37">
        <f>E31/$E$51</f>
        <v>18935.02724</v>
      </c>
      <c r="F85" s="37">
        <f>F31/$E$51</f>
        <v>18935.02724</v>
      </c>
      <c r="G85" s="37">
        <f>100</f>
        <v>100</v>
      </c>
      <c r="H85" s="175">
        <f t="shared" si="3"/>
        <v>2.9770813517446775</v>
      </c>
      <c r="I85" s="175">
        <f t="shared" si="4"/>
        <v>132.56787304307767</v>
      </c>
    </row>
    <row r="86" spans="1:9" s="14" customFormat="1" ht="25.5">
      <c r="A86" s="34" t="s">
        <v>120</v>
      </c>
      <c r="B86" s="36" t="s">
        <v>119</v>
      </c>
      <c r="C86" s="34" t="s">
        <v>120</v>
      </c>
      <c r="D86" s="177">
        <v>2935.639</v>
      </c>
      <c r="E86" s="37">
        <f>E32/$E$51</f>
        <v>2812.862</v>
      </c>
      <c r="F86" s="37">
        <f>F32/$E$51</f>
        <v>2787.418</v>
      </c>
      <c r="G86" s="37">
        <f>99.1</f>
        <v>99.1</v>
      </c>
      <c r="H86" s="175">
        <f t="shared" si="3"/>
        <v>0.4382549886058388</v>
      </c>
      <c r="I86" s="175">
        <f t="shared" si="4"/>
        <v>94.95098000810044</v>
      </c>
    </row>
    <row r="87" spans="1:9" s="14" customFormat="1" ht="12.75">
      <c r="A87" s="24" t="s">
        <v>118</v>
      </c>
      <c r="B87" s="23" t="s">
        <v>117</v>
      </c>
      <c r="C87" s="24" t="s">
        <v>118</v>
      </c>
      <c r="D87" s="176">
        <f>SUM(D88)</f>
        <v>485</v>
      </c>
      <c r="E87" s="35">
        <f>SUM(E88)</f>
        <v>830</v>
      </c>
      <c r="F87" s="35">
        <f>SUM(F88)</f>
        <v>830</v>
      </c>
      <c r="G87" s="35">
        <f>F87/E87*100</f>
        <v>100</v>
      </c>
      <c r="H87" s="174">
        <f t="shared" si="3"/>
        <v>0.1304977009342862</v>
      </c>
      <c r="I87" s="174">
        <f t="shared" si="4"/>
        <v>171.1340206185567</v>
      </c>
    </row>
    <row r="88" spans="1:9" s="14" customFormat="1" ht="25.5">
      <c r="A88" s="34" t="s">
        <v>116</v>
      </c>
      <c r="B88" s="36" t="s">
        <v>115</v>
      </c>
      <c r="C88" s="34" t="s">
        <v>116</v>
      </c>
      <c r="D88" s="177">
        <v>485</v>
      </c>
      <c r="E88" s="37">
        <f>E34/$E$51</f>
        <v>830</v>
      </c>
      <c r="F88" s="37">
        <f>F34/$E$51</f>
        <v>830</v>
      </c>
      <c r="G88" s="37">
        <f>100</f>
        <v>100</v>
      </c>
      <c r="H88" s="175">
        <f t="shared" si="3"/>
        <v>0.1304977009342862</v>
      </c>
      <c r="I88" s="175">
        <f t="shared" si="4"/>
        <v>171.1340206185567</v>
      </c>
    </row>
    <row r="89" spans="1:9" s="14" customFormat="1" ht="12.75">
      <c r="A89" s="24" t="s">
        <v>114</v>
      </c>
      <c r="B89" s="23" t="s">
        <v>113</v>
      </c>
      <c r="C89" s="24" t="s">
        <v>114</v>
      </c>
      <c r="D89" s="176">
        <f>SUM(D90:D93)</f>
        <v>19462.093</v>
      </c>
      <c r="E89" s="35">
        <f>SUM(E90:E93)</f>
        <v>18642.360500000003</v>
      </c>
      <c r="F89" s="35">
        <f>SUM(F90:F93)</f>
        <v>9726.369859999999</v>
      </c>
      <c r="G89" s="35">
        <f>F89/E89*100</f>
        <v>52.17348875964499</v>
      </c>
      <c r="H89" s="174">
        <f t="shared" si="3"/>
        <v>1.5292396447789578</v>
      </c>
      <c r="I89" s="174">
        <f t="shared" si="4"/>
        <v>49.97597051868984</v>
      </c>
    </row>
    <row r="90" spans="1:9" s="14" customFormat="1" ht="12.75">
      <c r="A90" s="34" t="s">
        <v>112</v>
      </c>
      <c r="B90" s="36" t="s">
        <v>111</v>
      </c>
      <c r="C90" s="34" t="s">
        <v>112</v>
      </c>
      <c r="D90" s="177">
        <v>95.543</v>
      </c>
      <c r="E90" s="37">
        <f aca="true" t="shared" si="8" ref="E90:F93">E36/$E$51</f>
        <v>275.065</v>
      </c>
      <c r="F90" s="37">
        <f t="shared" si="8"/>
        <v>275.065</v>
      </c>
      <c r="G90" s="37">
        <f>100</f>
        <v>100</v>
      </c>
      <c r="H90" s="175">
        <f t="shared" si="3"/>
        <v>0.043247409768059554</v>
      </c>
      <c r="I90" s="175">
        <f t="shared" si="4"/>
        <v>287.8965491977434</v>
      </c>
    </row>
    <row r="91" spans="1:9" s="14" customFormat="1" ht="12.75">
      <c r="A91" s="34" t="s">
        <v>110</v>
      </c>
      <c r="B91" s="36" t="s">
        <v>109</v>
      </c>
      <c r="C91" s="34" t="s">
        <v>110</v>
      </c>
      <c r="D91" s="177">
        <v>8924.724</v>
      </c>
      <c r="E91" s="37">
        <f t="shared" si="8"/>
        <v>5235.099</v>
      </c>
      <c r="F91" s="37">
        <f t="shared" si="8"/>
        <v>5235.097</v>
      </c>
      <c r="G91" s="37">
        <f>100</f>
        <v>100</v>
      </c>
      <c r="H91" s="175">
        <f t="shared" si="3"/>
        <v>0.82309412369636</v>
      </c>
      <c r="I91" s="175">
        <f t="shared" si="4"/>
        <v>58.65836299251382</v>
      </c>
    </row>
    <row r="92" spans="1:9" s="14" customFormat="1" ht="12.75">
      <c r="A92" s="34" t="s">
        <v>108</v>
      </c>
      <c r="B92" s="36" t="s">
        <v>107</v>
      </c>
      <c r="C92" s="34" t="s">
        <v>108</v>
      </c>
      <c r="D92" s="177">
        <v>10191.826</v>
      </c>
      <c r="E92" s="37">
        <f t="shared" si="8"/>
        <v>12869.2965</v>
      </c>
      <c r="F92" s="37">
        <f t="shared" si="8"/>
        <v>3953.30786</v>
      </c>
      <c r="G92" s="37">
        <f>30.72</f>
        <v>30.72</v>
      </c>
      <c r="H92" s="175">
        <f t="shared" si="3"/>
        <v>0.6215633576089674</v>
      </c>
      <c r="I92" s="175">
        <f t="shared" si="4"/>
        <v>38.78900463960041</v>
      </c>
    </row>
    <row r="93" spans="1:9" s="14" customFormat="1" ht="25.5">
      <c r="A93" s="34" t="s">
        <v>106</v>
      </c>
      <c r="B93" s="36" t="s">
        <v>105</v>
      </c>
      <c r="C93" s="34" t="s">
        <v>106</v>
      </c>
      <c r="D93" s="177">
        <v>250</v>
      </c>
      <c r="E93" s="37">
        <f t="shared" si="8"/>
        <v>262.9</v>
      </c>
      <c r="F93" s="37">
        <f t="shared" si="8"/>
        <v>262.9</v>
      </c>
      <c r="G93" s="37">
        <f>100</f>
        <v>100</v>
      </c>
      <c r="H93" s="175">
        <f t="shared" si="3"/>
        <v>0.04133475370557089</v>
      </c>
      <c r="I93" s="175">
        <f t="shared" si="4"/>
        <v>105.15999999999998</v>
      </c>
    </row>
    <row r="94" spans="1:9" s="14" customFormat="1" ht="12.75">
      <c r="A94" s="24" t="s">
        <v>104</v>
      </c>
      <c r="B94" s="23" t="s">
        <v>103</v>
      </c>
      <c r="C94" s="24" t="s">
        <v>104</v>
      </c>
      <c r="D94" s="176">
        <f>SUM(D95)</f>
        <v>3062.26</v>
      </c>
      <c r="E94" s="35">
        <f>SUM(E95)</f>
        <v>1127.044</v>
      </c>
      <c r="F94" s="35">
        <f>SUM(F95)</f>
        <v>1127.044</v>
      </c>
      <c r="G94" s="35">
        <f>F94/E94*100</f>
        <v>100</v>
      </c>
      <c r="H94" s="174">
        <f t="shared" si="3"/>
        <v>0.17720078415877308</v>
      </c>
      <c r="I94" s="174">
        <f t="shared" si="4"/>
        <v>36.80432099168588</v>
      </c>
    </row>
    <row r="95" spans="1:9" s="14" customFormat="1" ht="12.75">
      <c r="A95" s="34" t="s">
        <v>102</v>
      </c>
      <c r="B95" s="36" t="s">
        <v>101</v>
      </c>
      <c r="C95" s="34" t="s">
        <v>102</v>
      </c>
      <c r="D95" s="177">
        <v>3062.26</v>
      </c>
      <c r="E95" s="37">
        <f>E41/$E$51</f>
        <v>1127.044</v>
      </c>
      <c r="F95" s="37">
        <f>F41/$E$51</f>
        <v>1127.044</v>
      </c>
      <c r="G95" s="37">
        <f>100</f>
        <v>100</v>
      </c>
      <c r="H95" s="175">
        <f t="shared" si="3"/>
        <v>0.17720078415877308</v>
      </c>
      <c r="I95" s="175">
        <f t="shared" si="4"/>
        <v>36.80432099168588</v>
      </c>
    </row>
    <row r="96" spans="1:9" s="14" customFormat="1" ht="12.75">
      <c r="A96" s="24" t="s">
        <v>100</v>
      </c>
      <c r="B96" s="23" t="s">
        <v>99</v>
      </c>
      <c r="C96" s="24" t="s">
        <v>100</v>
      </c>
      <c r="D96" s="176">
        <f>SUM(D97)</f>
        <v>1202.02</v>
      </c>
      <c r="E96" s="35">
        <f>SUM(E97)</f>
        <v>1293.35</v>
      </c>
      <c r="F96" s="35">
        <f>SUM(F97)</f>
        <v>1293.35</v>
      </c>
      <c r="G96" s="35">
        <f>F96/E96*100</f>
        <v>100</v>
      </c>
      <c r="H96" s="174">
        <f t="shared" si="3"/>
        <v>0.2033484355462157</v>
      </c>
      <c r="I96" s="174">
        <f t="shared" si="4"/>
        <v>107.59804329378879</v>
      </c>
    </row>
    <row r="97" spans="1:9" s="14" customFormat="1" ht="12.75">
      <c r="A97" s="34" t="s">
        <v>98</v>
      </c>
      <c r="B97" s="36" t="s">
        <v>97</v>
      </c>
      <c r="C97" s="34" t="s">
        <v>98</v>
      </c>
      <c r="D97" s="177">
        <v>1202.02</v>
      </c>
      <c r="E97" s="37">
        <f>E43/$E$51</f>
        <v>1293.35</v>
      </c>
      <c r="F97" s="37">
        <f>F43/$E$51</f>
        <v>1293.35</v>
      </c>
      <c r="G97" s="37">
        <f>100</f>
        <v>100</v>
      </c>
      <c r="H97" s="175">
        <f t="shared" si="3"/>
        <v>0.2033484355462157</v>
      </c>
      <c r="I97" s="175">
        <f t="shared" si="4"/>
        <v>107.59804329378879</v>
      </c>
    </row>
    <row r="98" spans="1:9" s="14" customFormat="1" ht="25.5">
      <c r="A98" s="24" t="s">
        <v>96</v>
      </c>
      <c r="B98" s="23" t="s">
        <v>95</v>
      </c>
      <c r="C98" s="24" t="s">
        <v>96</v>
      </c>
      <c r="D98" s="176">
        <f>SUM(D99)</f>
        <v>266.222</v>
      </c>
      <c r="E98" s="35">
        <f>SUM(E99)</f>
        <v>233.422</v>
      </c>
      <c r="F98" s="35">
        <f>SUM(F99)</f>
        <v>233.08378</v>
      </c>
      <c r="G98" s="35">
        <f>F98/E98*100</f>
        <v>99.8551036320484</v>
      </c>
      <c r="H98" s="174">
        <f t="shared" si="3"/>
        <v>0.03664686435550959</v>
      </c>
      <c r="I98" s="174">
        <f t="shared" si="4"/>
        <v>87.55241114558527</v>
      </c>
    </row>
    <row r="99" spans="1:9" s="14" customFormat="1" ht="25.5">
      <c r="A99" s="34" t="s">
        <v>94</v>
      </c>
      <c r="B99" s="36" t="s">
        <v>93</v>
      </c>
      <c r="C99" s="34" t="s">
        <v>94</v>
      </c>
      <c r="D99" s="177">
        <v>266.222</v>
      </c>
      <c r="E99" s="37">
        <f>E45/$E$51</f>
        <v>233.422</v>
      </c>
      <c r="F99" s="37">
        <f>F45/$E$51</f>
        <v>233.08378</v>
      </c>
      <c r="G99" s="37">
        <f>99.86</f>
        <v>99.86</v>
      </c>
      <c r="H99" s="175">
        <f t="shared" si="3"/>
        <v>0.03664686435550959</v>
      </c>
      <c r="I99" s="175">
        <f t="shared" si="4"/>
        <v>87.55241114558527</v>
      </c>
    </row>
    <row r="100" spans="1:9" s="22" customFormat="1" ht="38.25">
      <c r="A100" s="24" t="s">
        <v>92</v>
      </c>
      <c r="B100" s="23" t="s">
        <v>91</v>
      </c>
      <c r="C100" s="167" t="s">
        <v>92</v>
      </c>
      <c r="D100" s="176">
        <f>SUM(D101:D102)</f>
        <v>35698.538</v>
      </c>
      <c r="E100" s="166">
        <f>SUM(E101:E102)</f>
        <v>34916.912</v>
      </c>
      <c r="F100" s="166">
        <f>SUM(F101:F102)</f>
        <v>34916.912</v>
      </c>
      <c r="G100" s="166">
        <f>F100/E100*100</f>
        <v>100</v>
      </c>
      <c r="H100" s="174">
        <f t="shared" si="3"/>
        <v>5.4898514936443235</v>
      </c>
      <c r="I100" s="174">
        <f t="shared" si="4"/>
        <v>97.81048176258645</v>
      </c>
    </row>
    <row r="101" spans="1:9" s="14" customFormat="1" ht="51">
      <c r="A101" s="34" t="s">
        <v>90</v>
      </c>
      <c r="B101" s="36" t="s">
        <v>89</v>
      </c>
      <c r="C101" s="34" t="s">
        <v>90</v>
      </c>
      <c r="D101" s="177">
        <v>34898.4</v>
      </c>
      <c r="E101" s="37">
        <f aca="true" t="shared" si="9" ref="E101:F103">E47/$E$51</f>
        <v>30166.12</v>
      </c>
      <c r="F101" s="37">
        <f t="shared" si="9"/>
        <v>30166.12</v>
      </c>
      <c r="G101" s="37">
        <f>100</f>
        <v>100</v>
      </c>
      <c r="H101" s="175">
        <f t="shared" si="3"/>
        <v>4.742902778443119</v>
      </c>
      <c r="I101" s="175">
        <f t="shared" si="4"/>
        <v>86.43983678334823</v>
      </c>
    </row>
    <row r="102" spans="1:9" s="14" customFormat="1" ht="25.5">
      <c r="A102" s="34" t="s">
        <v>88</v>
      </c>
      <c r="B102" s="36" t="s">
        <v>87</v>
      </c>
      <c r="C102" s="34" t="s">
        <v>88</v>
      </c>
      <c r="D102" s="177">
        <v>800.138</v>
      </c>
      <c r="E102" s="37">
        <f t="shared" si="9"/>
        <v>4750.792</v>
      </c>
      <c r="F102" s="37">
        <f t="shared" si="9"/>
        <v>4750.792</v>
      </c>
      <c r="G102" s="37">
        <f>100</f>
        <v>100</v>
      </c>
      <c r="H102" s="175">
        <f t="shared" si="3"/>
        <v>0.7469487152012041</v>
      </c>
      <c r="I102" s="175">
        <f t="shared" si="4"/>
        <v>593.7465787151717</v>
      </c>
    </row>
    <row r="103" spans="1:9" s="14" customFormat="1" ht="12.75">
      <c r="A103" s="324" t="s">
        <v>85</v>
      </c>
      <c r="B103" s="324"/>
      <c r="C103" s="38"/>
      <c r="D103" s="176">
        <f>D58+D65+D67+D70+D74+D78+D84+D87+D89+D94+D96+D98+D100</f>
        <v>432993.90499999997</v>
      </c>
      <c r="E103" s="35">
        <f t="shared" si="9"/>
        <v>676353.8976799999</v>
      </c>
      <c r="F103" s="35">
        <f t="shared" si="9"/>
        <v>636026.5307799999</v>
      </c>
      <c r="G103" s="35">
        <f>F103/E103*100</f>
        <v>94.03753463411252</v>
      </c>
      <c r="H103" s="174">
        <f>H58+H65+H67+H70+H74+H78+H84+H87+H89+H94+H96+H98+H100</f>
        <v>100.00000000000001</v>
      </c>
      <c r="I103" s="174">
        <f t="shared" si="4"/>
        <v>146.89041195164168</v>
      </c>
    </row>
  </sheetData>
  <sheetProtection/>
  <mergeCells count="7">
    <mergeCell ref="A103:B103"/>
    <mergeCell ref="H55:I55"/>
    <mergeCell ref="A54:I54"/>
    <mergeCell ref="A53:I53"/>
    <mergeCell ref="A1:G1"/>
    <mergeCell ref="A2:G2"/>
    <mergeCell ref="A49:B49"/>
  </mergeCells>
  <printOptions/>
  <pageMargins left="0.5905511811023623" right="0" top="0" bottom="0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80" zoomScaleNormal="70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4" sqref="L14"/>
    </sheetView>
  </sheetViews>
  <sheetFormatPr defaultColWidth="9.140625" defaultRowHeight="12.75"/>
  <cols>
    <col min="1" max="1" width="7.57421875" style="115" customWidth="1"/>
    <col min="2" max="2" width="69.8515625" style="110" customWidth="1"/>
    <col min="3" max="10" width="14.28125" style="110" hidden="1" customWidth="1"/>
    <col min="11" max="12" width="17.140625" style="110" customWidth="1"/>
    <col min="13" max="13" width="16.57421875" style="110" customWidth="1"/>
    <col min="14" max="14" width="14.57421875" style="110" customWidth="1"/>
    <col min="15" max="15" width="17.57421875" style="110" customWidth="1"/>
    <col min="16" max="16" width="15.57421875" style="110" customWidth="1"/>
    <col min="17" max="18" width="16.00390625" style="110" customWidth="1"/>
    <col min="19" max="16384" width="9.140625" style="110" customWidth="1"/>
  </cols>
  <sheetData>
    <row r="1" spans="1:14" ht="15.75">
      <c r="A1" s="180" t="s">
        <v>419</v>
      </c>
      <c r="B1" s="108"/>
      <c r="C1" s="109"/>
      <c r="G1" s="111"/>
      <c r="H1" s="111"/>
      <c r="L1" s="335"/>
      <c r="M1" s="336"/>
      <c r="N1" s="336"/>
    </row>
    <row r="2" spans="1:14" ht="15.75">
      <c r="A2" s="180"/>
      <c r="B2" s="108"/>
      <c r="C2" s="109"/>
      <c r="G2" s="111"/>
      <c r="H2" s="111"/>
      <c r="L2" s="275"/>
      <c r="M2" s="276"/>
      <c r="N2" s="276"/>
    </row>
    <row r="3" spans="1:14" ht="15.75">
      <c r="A3" s="180"/>
      <c r="B3" s="108"/>
      <c r="C3" s="109"/>
      <c r="G3" s="111"/>
      <c r="H3" s="111"/>
      <c r="L3" s="275"/>
      <c r="M3" s="276"/>
      <c r="N3" s="276"/>
    </row>
    <row r="4" spans="1:18" ht="12.75">
      <c r="A4" s="345" t="s">
        <v>422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</row>
    <row r="5" spans="1:19" ht="12.75">
      <c r="A5" s="345" t="s">
        <v>417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277"/>
    </row>
    <row r="6" spans="1:18" ht="13.5" thickBot="1">
      <c r="A6" s="112"/>
      <c r="B6" s="113"/>
      <c r="C6" s="114"/>
      <c r="D6" s="114"/>
      <c r="E6" s="114"/>
      <c r="F6" s="114"/>
      <c r="N6" s="115"/>
      <c r="R6" s="115" t="s">
        <v>222</v>
      </c>
    </row>
    <row r="7" spans="1:19" ht="12.75">
      <c r="A7" s="337" t="s">
        <v>231</v>
      </c>
      <c r="B7" s="339" t="s">
        <v>232</v>
      </c>
      <c r="C7" s="339" t="s">
        <v>220</v>
      </c>
      <c r="D7" s="339" t="s">
        <v>233</v>
      </c>
      <c r="E7" s="341"/>
      <c r="F7" s="341"/>
      <c r="G7" s="342" t="s">
        <v>234</v>
      </c>
      <c r="H7" s="339" t="s">
        <v>235</v>
      </c>
      <c r="I7" s="341"/>
      <c r="J7" s="341"/>
      <c r="K7" s="344" t="s">
        <v>236</v>
      </c>
      <c r="L7" s="339" t="s">
        <v>389</v>
      </c>
      <c r="M7" s="341"/>
      <c r="N7" s="341"/>
      <c r="O7" s="344" t="s">
        <v>237</v>
      </c>
      <c r="P7" s="339" t="s">
        <v>416</v>
      </c>
      <c r="Q7" s="341"/>
      <c r="R7" s="341"/>
      <c r="S7" s="346" t="s">
        <v>418</v>
      </c>
    </row>
    <row r="8" spans="1:19" ht="26.25" thickBot="1">
      <c r="A8" s="338"/>
      <c r="B8" s="340"/>
      <c r="C8" s="339"/>
      <c r="D8" s="116" t="s">
        <v>238</v>
      </c>
      <c r="E8" s="118" t="s">
        <v>239</v>
      </c>
      <c r="F8" s="118" t="s">
        <v>240</v>
      </c>
      <c r="G8" s="343"/>
      <c r="H8" s="116" t="s">
        <v>238</v>
      </c>
      <c r="I8" s="118" t="s">
        <v>239</v>
      </c>
      <c r="J8" s="118" t="s">
        <v>240</v>
      </c>
      <c r="K8" s="344"/>
      <c r="L8" s="119" t="s">
        <v>238</v>
      </c>
      <c r="M8" s="120" t="s">
        <v>239</v>
      </c>
      <c r="N8" s="120" t="s">
        <v>240</v>
      </c>
      <c r="O8" s="344"/>
      <c r="P8" s="119" t="s">
        <v>238</v>
      </c>
      <c r="Q8" s="120" t="s">
        <v>239</v>
      </c>
      <c r="R8" s="120" t="s">
        <v>240</v>
      </c>
      <c r="S8" s="347"/>
    </row>
    <row r="9" spans="1:19" ht="12.75">
      <c r="A9" s="121">
        <v>1</v>
      </c>
      <c r="B9" s="117" t="s">
        <v>241</v>
      </c>
      <c r="C9" s="122">
        <f aca="true" t="shared" si="0" ref="C9:R9">SUM(C10:C15)</f>
        <v>6626.534</v>
      </c>
      <c r="D9" s="122">
        <f t="shared" si="0"/>
        <v>0</v>
      </c>
      <c r="E9" s="122">
        <f t="shared" si="0"/>
        <v>0</v>
      </c>
      <c r="F9" s="122">
        <f t="shared" si="0"/>
        <v>6626.534</v>
      </c>
      <c r="G9" s="122">
        <f t="shared" si="0"/>
        <v>0</v>
      </c>
      <c r="H9" s="122">
        <f t="shared" si="0"/>
        <v>0</v>
      </c>
      <c r="I9" s="122">
        <f t="shared" si="0"/>
        <v>0</v>
      </c>
      <c r="J9" s="122">
        <f t="shared" si="0"/>
        <v>1884.9852</v>
      </c>
      <c r="K9" s="123">
        <f t="shared" si="0"/>
        <v>8511.5192</v>
      </c>
      <c r="L9" s="122">
        <f t="shared" si="0"/>
        <v>0</v>
      </c>
      <c r="M9" s="122">
        <f t="shared" si="0"/>
        <v>0</v>
      </c>
      <c r="N9" s="122">
        <f t="shared" si="0"/>
        <v>8511.5192</v>
      </c>
      <c r="O9" s="123">
        <f t="shared" si="0"/>
        <v>4873.07</v>
      </c>
      <c r="P9" s="122">
        <f t="shared" si="0"/>
        <v>0</v>
      </c>
      <c r="Q9" s="122">
        <f t="shared" si="0"/>
        <v>0</v>
      </c>
      <c r="R9" s="122">
        <f t="shared" si="0"/>
        <v>4873.07</v>
      </c>
      <c r="S9" s="278">
        <f>O9/K9*100</f>
        <v>57.25264650757058</v>
      </c>
    </row>
    <row r="10" spans="1:19" s="130" customFormat="1" ht="60">
      <c r="A10" s="124" t="s">
        <v>242</v>
      </c>
      <c r="B10" s="125" t="s">
        <v>243</v>
      </c>
      <c r="C10" s="126">
        <f aca="true" t="shared" si="1" ref="C10:C15">SUM(E10:F10)</f>
        <v>523.326</v>
      </c>
      <c r="D10" s="127"/>
      <c r="E10" s="127"/>
      <c r="F10" s="126">
        <v>523.326</v>
      </c>
      <c r="G10" s="128"/>
      <c r="H10" s="129"/>
      <c r="I10" s="129"/>
      <c r="J10" s="129"/>
      <c r="K10" s="279">
        <f>SUM(L10:N10)</f>
        <v>523.326</v>
      </c>
      <c r="L10" s="280">
        <f aca="true" t="shared" si="2" ref="L10:N14">D10+H10</f>
        <v>0</v>
      </c>
      <c r="M10" s="280">
        <f t="shared" si="2"/>
        <v>0</v>
      </c>
      <c r="N10" s="280">
        <f t="shared" si="2"/>
        <v>523.326</v>
      </c>
      <c r="O10" s="279">
        <f>SUM(P10:R10)</f>
        <v>523.33</v>
      </c>
      <c r="P10" s="280">
        <v>0</v>
      </c>
      <c r="Q10" s="280">
        <v>0</v>
      </c>
      <c r="R10" s="280">
        <v>523.33</v>
      </c>
      <c r="S10" s="281">
        <f aca="true" t="shared" si="3" ref="S10:S37">O10/K10*100</f>
        <v>100.00076434192071</v>
      </c>
    </row>
    <row r="11" spans="1:19" s="130" customFormat="1" ht="30">
      <c r="A11" s="124" t="s">
        <v>244</v>
      </c>
      <c r="B11" s="125" t="s">
        <v>245</v>
      </c>
      <c r="C11" s="126">
        <f t="shared" si="1"/>
        <v>392.944</v>
      </c>
      <c r="D11" s="127"/>
      <c r="E11" s="127"/>
      <c r="F11" s="126">
        <v>392.944</v>
      </c>
      <c r="G11" s="128"/>
      <c r="H11" s="129"/>
      <c r="I11" s="129"/>
      <c r="J11" s="129">
        <v>-272.996</v>
      </c>
      <c r="K11" s="279">
        <f>SUM(M11:N11)</f>
        <v>119.94800000000004</v>
      </c>
      <c r="L11" s="280">
        <f t="shared" si="2"/>
        <v>0</v>
      </c>
      <c r="M11" s="280">
        <f t="shared" si="2"/>
        <v>0</v>
      </c>
      <c r="N11" s="280">
        <f t="shared" si="2"/>
        <v>119.94800000000004</v>
      </c>
      <c r="O11" s="279">
        <f>SUM(Q11:R11)</f>
        <v>119.95</v>
      </c>
      <c r="P11" s="280"/>
      <c r="Q11" s="280"/>
      <c r="R11" s="280">
        <v>119.95</v>
      </c>
      <c r="S11" s="281">
        <f t="shared" si="3"/>
        <v>100.00166738920196</v>
      </c>
    </row>
    <row r="12" spans="1:19" s="130" customFormat="1" ht="45">
      <c r="A12" s="124" t="s">
        <v>246</v>
      </c>
      <c r="B12" s="125" t="s">
        <v>247</v>
      </c>
      <c r="C12" s="126">
        <f t="shared" si="1"/>
        <v>50</v>
      </c>
      <c r="D12" s="127"/>
      <c r="E12" s="127"/>
      <c r="F12" s="126">
        <v>50</v>
      </c>
      <c r="G12" s="128"/>
      <c r="H12" s="129"/>
      <c r="I12" s="129"/>
      <c r="J12" s="129"/>
      <c r="K12" s="279">
        <f>SUM(M12:N12)</f>
        <v>50</v>
      </c>
      <c r="L12" s="280">
        <f t="shared" si="2"/>
        <v>0</v>
      </c>
      <c r="M12" s="280">
        <f t="shared" si="2"/>
        <v>0</v>
      </c>
      <c r="N12" s="280">
        <f t="shared" si="2"/>
        <v>50</v>
      </c>
      <c r="O12" s="279">
        <f>SUM(Q12:R12)</f>
        <v>50</v>
      </c>
      <c r="P12" s="280"/>
      <c r="Q12" s="280"/>
      <c r="R12" s="280">
        <v>50</v>
      </c>
      <c r="S12" s="281">
        <f t="shared" si="3"/>
        <v>100</v>
      </c>
    </row>
    <row r="13" spans="1:19" s="130" customFormat="1" ht="30">
      <c r="A13" s="124" t="s">
        <v>248</v>
      </c>
      <c r="B13" s="125" t="s">
        <v>249</v>
      </c>
      <c r="C13" s="126">
        <f t="shared" si="1"/>
        <v>980.308</v>
      </c>
      <c r="D13" s="127"/>
      <c r="E13" s="127"/>
      <c r="F13" s="126">
        <v>980.308</v>
      </c>
      <c r="G13" s="128"/>
      <c r="H13" s="129"/>
      <c r="I13" s="129"/>
      <c r="J13" s="129">
        <v>-342.0188</v>
      </c>
      <c r="K13" s="279">
        <f>SUM(M13:N13)</f>
        <v>638.2891999999999</v>
      </c>
      <c r="L13" s="280">
        <f t="shared" si="2"/>
        <v>0</v>
      </c>
      <c r="M13" s="280">
        <f t="shared" si="2"/>
        <v>0</v>
      </c>
      <c r="N13" s="280">
        <f t="shared" si="2"/>
        <v>638.2891999999999</v>
      </c>
      <c r="O13" s="279">
        <f>SUM(Q13:R13)</f>
        <v>638.29</v>
      </c>
      <c r="P13" s="280"/>
      <c r="Q13" s="280"/>
      <c r="R13" s="280">
        <v>638.29</v>
      </c>
      <c r="S13" s="281">
        <f t="shared" si="3"/>
        <v>100.00012533503622</v>
      </c>
    </row>
    <row r="14" spans="1:19" s="130" customFormat="1" ht="30">
      <c r="A14" s="124" t="s">
        <v>250</v>
      </c>
      <c r="B14" s="125" t="s">
        <v>251</v>
      </c>
      <c r="C14" s="126">
        <f t="shared" si="1"/>
        <v>500</v>
      </c>
      <c r="D14" s="127"/>
      <c r="E14" s="127"/>
      <c r="F14" s="126">
        <v>500</v>
      </c>
      <c r="G14" s="128"/>
      <c r="H14" s="129"/>
      <c r="I14" s="129"/>
      <c r="J14" s="129">
        <v>2500</v>
      </c>
      <c r="K14" s="279">
        <f>SUM(M14:N14)</f>
        <v>3000</v>
      </c>
      <c r="L14" s="280">
        <f t="shared" si="2"/>
        <v>0</v>
      </c>
      <c r="M14" s="280">
        <f t="shared" si="2"/>
        <v>0</v>
      </c>
      <c r="N14" s="280">
        <f t="shared" si="2"/>
        <v>3000</v>
      </c>
      <c r="O14" s="279">
        <f>SUM(Q14:R14)</f>
        <v>500</v>
      </c>
      <c r="P14" s="280"/>
      <c r="Q14" s="280"/>
      <c r="R14" s="280">
        <v>500</v>
      </c>
      <c r="S14" s="281">
        <f t="shared" si="3"/>
        <v>16.666666666666664</v>
      </c>
    </row>
    <row r="15" spans="1:19" s="130" customFormat="1" ht="27.75" customHeight="1">
      <c r="A15" s="124" t="s">
        <v>252</v>
      </c>
      <c r="B15" s="125" t="s">
        <v>253</v>
      </c>
      <c r="C15" s="126">
        <f t="shared" si="1"/>
        <v>4179.956</v>
      </c>
      <c r="D15" s="127"/>
      <c r="E15" s="127"/>
      <c r="F15" s="126">
        <v>4179.956</v>
      </c>
      <c r="G15" s="128"/>
      <c r="H15" s="129"/>
      <c r="I15" s="129"/>
      <c r="J15" s="129"/>
      <c r="K15" s="279">
        <f>SUM(M15:N15)</f>
        <v>4179.956</v>
      </c>
      <c r="L15" s="280">
        <f>D15+H15</f>
        <v>0</v>
      </c>
      <c r="M15" s="280">
        <f>E15+I15</f>
        <v>0</v>
      </c>
      <c r="N15" s="280">
        <f>F15+J15</f>
        <v>4179.956</v>
      </c>
      <c r="O15" s="279">
        <f>SUM(Q15:R15)</f>
        <v>3041.5</v>
      </c>
      <c r="P15" s="280"/>
      <c r="Q15" s="280"/>
      <c r="R15" s="280">
        <v>3041.5</v>
      </c>
      <c r="S15" s="281">
        <f t="shared" si="3"/>
        <v>72.76392383077717</v>
      </c>
    </row>
    <row r="16" spans="1:19" s="135" customFormat="1" ht="12.75">
      <c r="A16" s="131">
        <v>2</v>
      </c>
      <c r="B16" s="132" t="s">
        <v>254</v>
      </c>
      <c r="C16" s="133">
        <f>SUM(D16:F16)</f>
        <v>42438.53</v>
      </c>
      <c r="D16" s="134">
        <f>D19</f>
        <v>16056</v>
      </c>
      <c r="E16" s="134">
        <f>E19</f>
        <v>19500</v>
      </c>
      <c r="F16" s="134">
        <f>F19+F29</f>
        <v>6882.53</v>
      </c>
      <c r="G16" s="134">
        <f>G19+G29</f>
        <v>0</v>
      </c>
      <c r="H16" s="134">
        <f>H19+H29</f>
        <v>43802</v>
      </c>
      <c r="I16" s="134">
        <f>I19+I29</f>
        <v>0</v>
      </c>
      <c r="J16" s="134">
        <f>J19+J29</f>
        <v>0</v>
      </c>
      <c r="K16" s="282">
        <f>SUM(L16:N16)</f>
        <v>86240.53</v>
      </c>
      <c r="L16" s="283">
        <f>L19</f>
        <v>59858</v>
      </c>
      <c r="M16" s="283">
        <f>M19</f>
        <v>19500</v>
      </c>
      <c r="N16" s="283">
        <f>N19+N29</f>
        <v>6882.53</v>
      </c>
      <c r="O16" s="282">
        <f>SUM(P16:R16)</f>
        <v>63250.67999999999</v>
      </c>
      <c r="P16" s="283">
        <f>P19</f>
        <v>37444.75</v>
      </c>
      <c r="Q16" s="283">
        <f>Q19</f>
        <v>19214.7</v>
      </c>
      <c r="R16" s="283">
        <f>R19+R29</f>
        <v>6591.23</v>
      </c>
      <c r="S16" s="284">
        <f t="shared" si="3"/>
        <v>73.34217449730421</v>
      </c>
    </row>
    <row r="17" spans="1:19" ht="31.5" hidden="1">
      <c r="A17" s="136" t="s">
        <v>202</v>
      </c>
      <c r="B17" s="137" t="s">
        <v>255</v>
      </c>
      <c r="C17" s="138">
        <f>SUM(D17:F17)</f>
        <v>0</v>
      </c>
      <c r="D17" s="139">
        <f>D18</f>
        <v>0</v>
      </c>
      <c r="E17" s="139">
        <f>E18</f>
        <v>0</v>
      </c>
      <c r="F17" s="139">
        <f>F18</f>
        <v>0</v>
      </c>
      <c r="G17" s="140"/>
      <c r="H17" s="141"/>
      <c r="I17" s="141"/>
      <c r="J17" s="141"/>
      <c r="K17" s="285">
        <f>SUM(L17:N17)</f>
        <v>0</v>
      </c>
      <c r="L17" s="286">
        <f>L18</f>
        <v>0</v>
      </c>
      <c r="M17" s="286">
        <f>M18</f>
        <v>0</v>
      </c>
      <c r="N17" s="286">
        <f>N18</f>
        <v>0</v>
      </c>
      <c r="O17" s="285">
        <f>SUM(P17:R17)</f>
        <v>0</v>
      </c>
      <c r="P17" s="286">
        <f>P18</f>
        <v>0</v>
      </c>
      <c r="Q17" s="286">
        <f>Q18</f>
        <v>0</v>
      </c>
      <c r="R17" s="286">
        <f>R18</f>
        <v>0</v>
      </c>
      <c r="S17" s="284" t="e">
        <f t="shared" si="3"/>
        <v>#DIV/0!</v>
      </c>
    </row>
    <row r="18" spans="1:19" s="135" customFormat="1" ht="31.5" hidden="1">
      <c r="A18" s="131" t="s">
        <v>256</v>
      </c>
      <c r="B18" s="142" t="s">
        <v>257</v>
      </c>
      <c r="C18" s="143">
        <f>SUM(D18:F18)</f>
        <v>0</v>
      </c>
      <c r="D18" s="143"/>
      <c r="E18" s="143"/>
      <c r="F18" s="143"/>
      <c r="G18" s="144"/>
      <c r="H18" s="145"/>
      <c r="I18" s="145"/>
      <c r="J18" s="145"/>
      <c r="K18" s="287">
        <f>SUM(L18:N18)</f>
        <v>0</v>
      </c>
      <c r="L18" s="288"/>
      <c r="M18" s="288"/>
      <c r="N18" s="288"/>
      <c r="O18" s="287">
        <f>SUM(P18:R18)</f>
        <v>0</v>
      </c>
      <c r="P18" s="288"/>
      <c r="Q18" s="288"/>
      <c r="R18" s="288"/>
      <c r="S18" s="284" t="e">
        <f t="shared" si="3"/>
        <v>#DIV/0!</v>
      </c>
    </row>
    <row r="19" spans="1:19" s="135" customFormat="1" ht="31.5">
      <c r="A19" s="146" t="s">
        <v>202</v>
      </c>
      <c r="B19" s="147" t="s">
        <v>258</v>
      </c>
      <c r="C19" s="148">
        <f>C20+C26</f>
        <v>25956.5</v>
      </c>
      <c r="D19" s="148">
        <f aca="true" t="shared" si="4" ref="D19:N19">D20+D26</f>
        <v>16056</v>
      </c>
      <c r="E19" s="148">
        <f t="shared" si="4"/>
        <v>19500</v>
      </c>
      <c r="F19" s="148">
        <f t="shared" si="4"/>
        <v>6456.5</v>
      </c>
      <c r="G19" s="148">
        <f t="shared" si="4"/>
        <v>0</v>
      </c>
      <c r="H19" s="148">
        <f t="shared" si="4"/>
        <v>43802</v>
      </c>
      <c r="I19" s="148">
        <f t="shared" si="4"/>
        <v>0</v>
      </c>
      <c r="J19" s="148">
        <f t="shared" si="4"/>
        <v>0</v>
      </c>
      <c r="K19" s="285">
        <f t="shared" si="4"/>
        <v>37012.5</v>
      </c>
      <c r="L19" s="289">
        <f t="shared" si="4"/>
        <v>59858</v>
      </c>
      <c r="M19" s="289">
        <f t="shared" si="4"/>
        <v>19500</v>
      </c>
      <c r="N19" s="289">
        <f t="shared" si="4"/>
        <v>6456.5</v>
      </c>
      <c r="O19" s="285">
        <f>O20+O26</f>
        <v>36435.9</v>
      </c>
      <c r="P19" s="289">
        <f>P20+P26</f>
        <v>37444.75</v>
      </c>
      <c r="Q19" s="289">
        <f>Q20+Q26</f>
        <v>19214.7</v>
      </c>
      <c r="R19" s="289">
        <f>R20+R26</f>
        <v>6165.2</v>
      </c>
      <c r="S19" s="284">
        <f t="shared" si="3"/>
        <v>98.44214792299898</v>
      </c>
    </row>
    <row r="20" spans="1:19" s="130" customFormat="1" ht="15.75">
      <c r="A20" s="146" t="s">
        <v>259</v>
      </c>
      <c r="B20" s="149" t="s">
        <v>260</v>
      </c>
      <c r="C20" s="150">
        <f aca="true" t="shared" si="5" ref="C20:N20">C21+C23</f>
        <v>24012.5</v>
      </c>
      <c r="D20" s="150">
        <f t="shared" si="5"/>
        <v>5000</v>
      </c>
      <c r="E20" s="150">
        <f t="shared" si="5"/>
        <v>19500</v>
      </c>
      <c r="F20" s="150">
        <f t="shared" si="5"/>
        <v>4512.5</v>
      </c>
      <c r="G20" s="150">
        <f t="shared" si="5"/>
        <v>0</v>
      </c>
      <c r="H20" s="150">
        <f t="shared" si="5"/>
        <v>43802</v>
      </c>
      <c r="I20" s="150">
        <f t="shared" si="5"/>
        <v>0</v>
      </c>
      <c r="J20" s="150">
        <f t="shared" si="5"/>
        <v>0</v>
      </c>
      <c r="K20" s="290">
        <f t="shared" si="5"/>
        <v>24012.5</v>
      </c>
      <c r="L20" s="291">
        <f t="shared" si="5"/>
        <v>48802</v>
      </c>
      <c r="M20" s="291">
        <f t="shared" si="5"/>
        <v>19500</v>
      </c>
      <c r="N20" s="291">
        <f t="shared" si="5"/>
        <v>4512.5</v>
      </c>
      <c r="O20" s="290">
        <f>O21+O23</f>
        <v>23435.9</v>
      </c>
      <c r="P20" s="291">
        <f>P21+P23</f>
        <v>26388.75</v>
      </c>
      <c r="Q20" s="291">
        <f>Q21+Q23</f>
        <v>19214.7</v>
      </c>
      <c r="R20" s="291">
        <f>R21+R23</f>
        <v>4221.2</v>
      </c>
      <c r="S20" s="281">
        <f t="shared" si="3"/>
        <v>97.59875065070277</v>
      </c>
    </row>
    <row r="21" spans="1:19" s="130" customFormat="1" ht="47.25">
      <c r="A21" s="146" t="s">
        <v>261</v>
      </c>
      <c r="B21" s="151" t="s">
        <v>262</v>
      </c>
      <c r="C21" s="150">
        <f>C22</f>
        <v>762.5</v>
      </c>
      <c r="D21" s="150">
        <f>D22</f>
        <v>5000</v>
      </c>
      <c r="E21" s="150">
        <f>E22</f>
        <v>0</v>
      </c>
      <c r="F21" s="150">
        <f>F22</f>
        <v>762.5</v>
      </c>
      <c r="G21" s="150">
        <f aca="true" t="shared" si="6" ref="G21:R21">G22</f>
        <v>0</v>
      </c>
      <c r="H21" s="150">
        <f t="shared" si="6"/>
        <v>43802</v>
      </c>
      <c r="I21" s="150">
        <f t="shared" si="6"/>
        <v>0</v>
      </c>
      <c r="J21" s="150">
        <f t="shared" si="6"/>
        <v>0</v>
      </c>
      <c r="K21" s="290">
        <f t="shared" si="6"/>
        <v>762.5</v>
      </c>
      <c r="L21" s="291">
        <f t="shared" si="6"/>
        <v>48802</v>
      </c>
      <c r="M21" s="291">
        <f t="shared" si="6"/>
        <v>0</v>
      </c>
      <c r="N21" s="291">
        <f t="shared" si="6"/>
        <v>762.5</v>
      </c>
      <c r="O21" s="290">
        <f t="shared" si="6"/>
        <v>762.5</v>
      </c>
      <c r="P21" s="291">
        <f t="shared" si="6"/>
        <v>26388.75</v>
      </c>
      <c r="Q21" s="291">
        <f t="shared" si="6"/>
        <v>0</v>
      </c>
      <c r="R21" s="291">
        <f t="shared" si="6"/>
        <v>762.5</v>
      </c>
      <c r="S21" s="281">
        <f t="shared" si="3"/>
        <v>100</v>
      </c>
    </row>
    <row r="22" spans="1:19" s="130" customFormat="1" ht="31.5">
      <c r="A22" s="146"/>
      <c r="B22" s="142" t="s">
        <v>263</v>
      </c>
      <c r="C22" s="126">
        <f>SUM(E22:F22)</f>
        <v>762.5</v>
      </c>
      <c r="D22" s="143">
        <v>5000</v>
      </c>
      <c r="E22" s="143">
        <v>0</v>
      </c>
      <c r="F22" s="143">
        <v>762.5</v>
      </c>
      <c r="G22" s="152"/>
      <c r="H22" s="129">
        <v>43802</v>
      </c>
      <c r="I22" s="129"/>
      <c r="J22" s="129"/>
      <c r="K22" s="279">
        <f>SUM(M22:N22)</f>
        <v>762.5</v>
      </c>
      <c r="L22" s="292">
        <f>D22+H22</f>
        <v>48802</v>
      </c>
      <c r="M22" s="280">
        <f>E22+I22</f>
        <v>0</v>
      </c>
      <c r="N22" s="280">
        <f>F22+J22</f>
        <v>762.5</v>
      </c>
      <c r="O22" s="279">
        <f>SUM(Q22:R22)</f>
        <v>762.5</v>
      </c>
      <c r="P22" s="292">
        <v>26388.75</v>
      </c>
      <c r="Q22" s="280"/>
      <c r="R22" s="280">
        <v>762.5</v>
      </c>
      <c r="S22" s="281">
        <f t="shared" si="3"/>
        <v>100</v>
      </c>
    </row>
    <row r="23" spans="1:19" s="130" customFormat="1" ht="31.5">
      <c r="A23" s="146" t="s">
        <v>264</v>
      </c>
      <c r="B23" s="149" t="s">
        <v>265</v>
      </c>
      <c r="C23" s="150">
        <f aca="true" t="shared" si="7" ref="C23:N23">C24+C25</f>
        <v>23250</v>
      </c>
      <c r="D23" s="150">
        <f t="shared" si="7"/>
        <v>0</v>
      </c>
      <c r="E23" s="150">
        <f t="shared" si="7"/>
        <v>19500</v>
      </c>
      <c r="F23" s="150">
        <f t="shared" si="7"/>
        <v>3750</v>
      </c>
      <c r="G23" s="150">
        <f t="shared" si="7"/>
        <v>0</v>
      </c>
      <c r="H23" s="150">
        <f t="shared" si="7"/>
        <v>0</v>
      </c>
      <c r="I23" s="150">
        <f t="shared" si="7"/>
        <v>0</v>
      </c>
      <c r="J23" s="150">
        <f t="shared" si="7"/>
        <v>0</v>
      </c>
      <c r="K23" s="290">
        <f t="shared" si="7"/>
        <v>23250</v>
      </c>
      <c r="L23" s="291">
        <f t="shared" si="7"/>
        <v>0</v>
      </c>
      <c r="M23" s="291">
        <f>M24+M25</f>
        <v>19500</v>
      </c>
      <c r="N23" s="291">
        <f t="shared" si="7"/>
        <v>3750</v>
      </c>
      <c r="O23" s="290">
        <f>O24+O25</f>
        <v>22673.4</v>
      </c>
      <c r="P23" s="291">
        <f>P24+P25</f>
        <v>0</v>
      </c>
      <c r="Q23" s="291">
        <f>Q24+Q25</f>
        <v>19214.7</v>
      </c>
      <c r="R23" s="291">
        <f>R24+R25</f>
        <v>3458.7</v>
      </c>
      <c r="S23" s="281">
        <f t="shared" si="3"/>
        <v>97.52000000000001</v>
      </c>
    </row>
    <row r="24" spans="1:19" s="135" customFormat="1" ht="31.5">
      <c r="A24" s="146"/>
      <c r="B24" s="153" t="s">
        <v>266</v>
      </c>
      <c r="C24" s="126">
        <f>SUM(E24:F24)</f>
        <v>18900</v>
      </c>
      <c r="D24" s="143"/>
      <c r="E24" s="143">
        <v>18000</v>
      </c>
      <c r="F24" s="143">
        <v>900</v>
      </c>
      <c r="G24" s="144"/>
      <c r="H24" s="145"/>
      <c r="I24" s="145"/>
      <c r="J24" s="145"/>
      <c r="K24" s="279">
        <f>SUM(M24:N24)</f>
        <v>18900</v>
      </c>
      <c r="L24" s="280">
        <f aca="true" t="shared" si="8" ref="L24:N25">D24+H24</f>
        <v>0</v>
      </c>
      <c r="M24" s="280">
        <f t="shared" si="8"/>
        <v>18000</v>
      </c>
      <c r="N24" s="280">
        <f t="shared" si="8"/>
        <v>900</v>
      </c>
      <c r="O24" s="279">
        <f>SUM(Q24:R24)</f>
        <v>18323.4</v>
      </c>
      <c r="P24" s="280"/>
      <c r="Q24" s="280">
        <v>17714.7</v>
      </c>
      <c r="R24" s="280">
        <v>608.7</v>
      </c>
      <c r="S24" s="281">
        <f t="shared" si="3"/>
        <v>96.94920634920635</v>
      </c>
    </row>
    <row r="25" spans="1:19" s="135" customFormat="1" ht="31.5">
      <c r="A25" s="131"/>
      <c r="B25" s="154" t="s">
        <v>267</v>
      </c>
      <c r="C25" s="126">
        <f>SUM(E25:F25)</f>
        <v>4350</v>
      </c>
      <c r="D25" s="143"/>
      <c r="E25" s="143">
        <v>1500</v>
      </c>
      <c r="F25" s="143">
        <v>2850</v>
      </c>
      <c r="G25" s="144"/>
      <c r="H25" s="145"/>
      <c r="I25" s="145"/>
      <c r="J25" s="145"/>
      <c r="K25" s="279">
        <f>SUM(M25:N25)</f>
        <v>4350</v>
      </c>
      <c r="L25" s="280">
        <f t="shared" si="8"/>
        <v>0</v>
      </c>
      <c r="M25" s="280">
        <f t="shared" si="8"/>
        <v>1500</v>
      </c>
      <c r="N25" s="280">
        <f t="shared" si="8"/>
        <v>2850</v>
      </c>
      <c r="O25" s="279">
        <f>SUM(Q25:R25)</f>
        <v>4350</v>
      </c>
      <c r="P25" s="280"/>
      <c r="Q25" s="280">
        <v>1500</v>
      </c>
      <c r="R25" s="280">
        <v>2850</v>
      </c>
      <c r="S25" s="281">
        <f t="shared" si="3"/>
        <v>100</v>
      </c>
    </row>
    <row r="26" spans="1:19" s="135" customFormat="1" ht="15.75">
      <c r="A26" s="146" t="s">
        <v>268</v>
      </c>
      <c r="B26" s="155" t="s">
        <v>269</v>
      </c>
      <c r="C26" s="126">
        <f>SUM(E26:F26)</f>
        <v>1944</v>
      </c>
      <c r="D26" s="126">
        <f aca="true" t="shared" si="9" ref="D26:R27">D27</f>
        <v>11056</v>
      </c>
      <c r="E26" s="126">
        <f t="shared" si="9"/>
        <v>0</v>
      </c>
      <c r="F26" s="126">
        <f t="shared" si="9"/>
        <v>1944</v>
      </c>
      <c r="G26" s="126">
        <f t="shared" si="9"/>
        <v>0</v>
      </c>
      <c r="H26" s="126">
        <f t="shared" si="9"/>
        <v>0</v>
      </c>
      <c r="I26" s="126">
        <f t="shared" si="9"/>
        <v>0</v>
      </c>
      <c r="J26" s="126">
        <f t="shared" si="9"/>
        <v>0</v>
      </c>
      <c r="K26" s="279">
        <f>SUM(L26:N26)</f>
        <v>13000</v>
      </c>
      <c r="L26" s="292">
        <f t="shared" si="9"/>
        <v>11056</v>
      </c>
      <c r="M26" s="292">
        <f t="shared" si="9"/>
        <v>0</v>
      </c>
      <c r="N26" s="292">
        <f t="shared" si="9"/>
        <v>1944</v>
      </c>
      <c r="O26" s="279">
        <f>SUM(P26:R26)</f>
        <v>13000</v>
      </c>
      <c r="P26" s="292">
        <f t="shared" si="9"/>
        <v>11056</v>
      </c>
      <c r="Q26" s="292">
        <f t="shared" si="9"/>
        <v>0</v>
      </c>
      <c r="R26" s="292">
        <f t="shared" si="9"/>
        <v>1944</v>
      </c>
      <c r="S26" s="281">
        <f t="shared" si="3"/>
        <v>100</v>
      </c>
    </row>
    <row r="27" spans="1:19" s="135" customFormat="1" ht="15.75">
      <c r="A27" s="131" t="s">
        <v>270</v>
      </c>
      <c r="B27" s="155" t="s">
        <v>271</v>
      </c>
      <c r="C27" s="126">
        <f>SUM(E27:F27)</f>
        <v>1944</v>
      </c>
      <c r="D27" s="126">
        <f t="shared" si="9"/>
        <v>11056</v>
      </c>
      <c r="E27" s="126">
        <f t="shared" si="9"/>
        <v>0</v>
      </c>
      <c r="F27" s="126">
        <f t="shared" si="9"/>
        <v>1944</v>
      </c>
      <c r="G27" s="126">
        <f t="shared" si="9"/>
        <v>0</v>
      </c>
      <c r="H27" s="126">
        <f t="shared" si="9"/>
        <v>0</v>
      </c>
      <c r="I27" s="126">
        <f t="shared" si="9"/>
        <v>0</v>
      </c>
      <c r="J27" s="126">
        <f t="shared" si="9"/>
        <v>0</v>
      </c>
      <c r="K27" s="279">
        <f>SUM(L27:N27)</f>
        <v>13000</v>
      </c>
      <c r="L27" s="292">
        <f t="shared" si="9"/>
        <v>11056</v>
      </c>
      <c r="M27" s="292">
        <f t="shared" si="9"/>
        <v>0</v>
      </c>
      <c r="N27" s="292">
        <f t="shared" si="9"/>
        <v>1944</v>
      </c>
      <c r="O27" s="279">
        <f>SUM(P27:R27)</f>
        <v>13000</v>
      </c>
      <c r="P27" s="292">
        <f t="shared" si="9"/>
        <v>11056</v>
      </c>
      <c r="Q27" s="292">
        <f t="shared" si="9"/>
        <v>0</v>
      </c>
      <c r="R27" s="292">
        <f t="shared" si="9"/>
        <v>1944</v>
      </c>
      <c r="S27" s="281">
        <f t="shared" si="3"/>
        <v>100</v>
      </c>
    </row>
    <row r="28" spans="1:19" s="135" customFormat="1" ht="31.5">
      <c r="A28" s="131"/>
      <c r="B28" s="154" t="s">
        <v>272</v>
      </c>
      <c r="C28" s="126">
        <f>SUM(E28:F28)</f>
        <v>1944</v>
      </c>
      <c r="D28" s="143">
        <v>11056</v>
      </c>
      <c r="E28" s="143"/>
      <c r="F28" s="143">
        <v>1944</v>
      </c>
      <c r="G28" s="144"/>
      <c r="H28" s="145"/>
      <c r="I28" s="145"/>
      <c r="J28" s="145"/>
      <c r="K28" s="279">
        <f>SUM(L28:N28)</f>
        <v>13000</v>
      </c>
      <c r="L28" s="280">
        <f>D28+H28</f>
        <v>11056</v>
      </c>
      <c r="M28" s="280">
        <f>E28+I28</f>
        <v>0</v>
      </c>
      <c r="N28" s="280">
        <f>F28+J28</f>
        <v>1944</v>
      </c>
      <c r="O28" s="279">
        <f>SUM(P28:R28)</f>
        <v>13000</v>
      </c>
      <c r="P28" s="280">
        <v>11056</v>
      </c>
      <c r="Q28" s="280"/>
      <c r="R28" s="280">
        <v>1944</v>
      </c>
      <c r="S28" s="281">
        <f t="shared" si="3"/>
        <v>100</v>
      </c>
    </row>
    <row r="29" spans="1:19" s="135" customFormat="1" ht="31.5">
      <c r="A29" s="131" t="s">
        <v>273</v>
      </c>
      <c r="B29" s="147" t="s">
        <v>274</v>
      </c>
      <c r="C29" s="148">
        <f>C30</f>
        <v>4244.8</v>
      </c>
      <c r="D29" s="148">
        <f aca="true" t="shared" si="10" ref="D29:R29">D30</f>
        <v>1818.2</v>
      </c>
      <c r="E29" s="148">
        <f t="shared" si="10"/>
        <v>2000.57</v>
      </c>
      <c r="F29" s="148">
        <f t="shared" si="10"/>
        <v>426.03</v>
      </c>
      <c r="G29" s="148">
        <f t="shared" si="10"/>
        <v>0</v>
      </c>
      <c r="H29" s="148">
        <f t="shared" si="10"/>
        <v>0</v>
      </c>
      <c r="I29" s="148">
        <f t="shared" si="10"/>
        <v>0</v>
      </c>
      <c r="J29" s="148">
        <f t="shared" si="10"/>
        <v>0</v>
      </c>
      <c r="K29" s="285">
        <f t="shared" si="10"/>
        <v>4244.8</v>
      </c>
      <c r="L29" s="289">
        <f t="shared" si="10"/>
        <v>1818.2</v>
      </c>
      <c r="M29" s="289">
        <f t="shared" si="10"/>
        <v>2000.57</v>
      </c>
      <c r="N29" s="289">
        <f t="shared" si="10"/>
        <v>426.03</v>
      </c>
      <c r="O29" s="285">
        <f t="shared" si="10"/>
        <v>4140.77</v>
      </c>
      <c r="P29" s="289">
        <f t="shared" si="10"/>
        <v>1818.2</v>
      </c>
      <c r="Q29" s="289">
        <f t="shared" si="10"/>
        <v>1896.54</v>
      </c>
      <c r="R29" s="289">
        <f t="shared" si="10"/>
        <v>426.03</v>
      </c>
      <c r="S29" s="284">
        <f t="shared" si="3"/>
        <v>97.54923671315493</v>
      </c>
    </row>
    <row r="30" spans="1:19" s="130" customFormat="1" ht="15.75">
      <c r="A30" s="146" t="s">
        <v>275</v>
      </c>
      <c r="B30" s="155" t="s">
        <v>276</v>
      </c>
      <c r="C30" s="150">
        <f>C31+C33</f>
        <v>4244.8</v>
      </c>
      <c r="D30" s="150">
        <f aca="true" t="shared" si="11" ref="D30:N30">D31+D33</f>
        <v>1818.2</v>
      </c>
      <c r="E30" s="150">
        <f t="shared" si="11"/>
        <v>2000.57</v>
      </c>
      <c r="F30" s="150">
        <f t="shared" si="11"/>
        <v>426.03</v>
      </c>
      <c r="G30" s="150">
        <f t="shared" si="11"/>
        <v>0</v>
      </c>
      <c r="H30" s="150">
        <f t="shared" si="11"/>
        <v>0</v>
      </c>
      <c r="I30" s="150">
        <f t="shared" si="11"/>
        <v>0</v>
      </c>
      <c r="J30" s="150">
        <f t="shared" si="11"/>
        <v>0</v>
      </c>
      <c r="K30" s="290">
        <f t="shared" si="11"/>
        <v>4244.8</v>
      </c>
      <c r="L30" s="291">
        <f t="shared" si="11"/>
        <v>1818.2</v>
      </c>
      <c r="M30" s="291">
        <f t="shared" si="11"/>
        <v>2000.57</v>
      </c>
      <c r="N30" s="291">
        <f t="shared" si="11"/>
        <v>426.03</v>
      </c>
      <c r="O30" s="290">
        <f>O31+O33</f>
        <v>4140.77</v>
      </c>
      <c r="P30" s="291">
        <f>P31+P33</f>
        <v>1818.2</v>
      </c>
      <c r="Q30" s="291">
        <f>Q31+Q33</f>
        <v>1896.54</v>
      </c>
      <c r="R30" s="291">
        <f>R31+R33</f>
        <v>426.03</v>
      </c>
      <c r="S30" s="281">
        <f t="shared" si="3"/>
        <v>97.54923671315493</v>
      </c>
    </row>
    <row r="31" spans="1:19" s="135" customFormat="1" ht="31.5">
      <c r="A31" s="146" t="s">
        <v>277</v>
      </c>
      <c r="B31" s="155" t="s">
        <v>278</v>
      </c>
      <c r="C31" s="126">
        <f aca="true" t="shared" si="12" ref="C31:R31">C32</f>
        <v>2484.5</v>
      </c>
      <c r="D31" s="126">
        <f t="shared" si="12"/>
        <v>1818.2</v>
      </c>
      <c r="E31" s="126">
        <f t="shared" si="12"/>
        <v>416.3</v>
      </c>
      <c r="F31" s="126">
        <f t="shared" si="12"/>
        <v>250</v>
      </c>
      <c r="G31" s="126">
        <f t="shared" si="12"/>
        <v>0</v>
      </c>
      <c r="H31" s="126">
        <f t="shared" si="12"/>
        <v>0</v>
      </c>
      <c r="I31" s="126">
        <f t="shared" si="12"/>
        <v>0</v>
      </c>
      <c r="J31" s="126">
        <f t="shared" si="12"/>
        <v>0</v>
      </c>
      <c r="K31" s="279">
        <f t="shared" si="12"/>
        <v>2484.5</v>
      </c>
      <c r="L31" s="292">
        <f t="shared" si="12"/>
        <v>1818.2</v>
      </c>
      <c r="M31" s="292">
        <f t="shared" si="12"/>
        <v>416.3</v>
      </c>
      <c r="N31" s="292">
        <f t="shared" si="12"/>
        <v>250</v>
      </c>
      <c r="O31" s="279">
        <f t="shared" si="12"/>
        <v>2484.5</v>
      </c>
      <c r="P31" s="292">
        <f t="shared" si="12"/>
        <v>1818.2</v>
      </c>
      <c r="Q31" s="292">
        <f t="shared" si="12"/>
        <v>416.3</v>
      </c>
      <c r="R31" s="292">
        <f t="shared" si="12"/>
        <v>250</v>
      </c>
      <c r="S31" s="281">
        <f t="shared" si="3"/>
        <v>100</v>
      </c>
    </row>
    <row r="32" spans="1:19" s="135" customFormat="1" ht="31.5">
      <c r="A32" s="146"/>
      <c r="B32" s="142" t="s">
        <v>279</v>
      </c>
      <c r="C32" s="126">
        <f>SUM(D32:F32)</f>
        <v>2484.5</v>
      </c>
      <c r="D32" s="143">
        <v>1818.2</v>
      </c>
      <c r="E32" s="143">
        <v>416.3</v>
      </c>
      <c r="F32" s="143">
        <v>250</v>
      </c>
      <c r="G32" s="156"/>
      <c r="H32" s="145"/>
      <c r="I32" s="145"/>
      <c r="J32" s="145"/>
      <c r="K32" s="279">
        <f>SUM(L32:N32)</f>
        <v>2484.5</v>
      </c>
      <c r="L32" s="280">
        <f>D32+H32</f>
        <v>1818.2</v>
      </c>
      <c r="M32" s="280">
        <f>E32+I32</f>
        <v>416.3</v>
      </c>
      <c r="N32" s="280">
        <f>F32+J32</f>
        <v>250</v>
      </c>
      <c r="O32" s="279">
        <f>SUM(P32:R32)</f>
        <v>2484.5</v>
      </c>
      <c r="P32" s="280">
        <v>1818.2</v>
      </c>
      <c r="Q32" s="280">
        <v>416.3</v>
      </c>
      <c r="R32" s="280">
        <v>250</v>
      </c>
      <c r="S32" s="281">
        <f t="shared" si="3"/>
        <v>100</v>
      </c>
    </row>
    <row r="33" spans="1:19" s="135" customFormat="1" ht="47.25">
      <c r="A33" s="146" t="s">
        <v>280</v>
      </c>
      <c r="B33" s="157" t="s">
        <v>281</v>
      </c>
      <c r="C33" s="126">
        <f>SUM(D33:F33)</f>
        <v>1760.3</v>
      </c>
      <c r="D33" s="143">
        <f>D34</f>
        <v>0</v>
      </c>
      <c r="E33" s="143">
        <f aca="true" t="shared" si="13" ref="E33:R33">E34</f>
        <v>1584.27</v>
      </c>
      <c r="F33" s="143">
        <f t="shared" si="13"/>
        <v>176.03</v>
      </c>
      <c r="G33" s="143">
        <f t="shared" si="13"/>
        <v>0</v>
      </c>
      <c r="H33" s="143">
        <f t="shared" si="13"/>
        <v>0</v>
      </c>
      <c r="I33" s="143">
        <f t="shared" si="13"/>
        <v>0</v>
      </c>
      <c r="J33" s="143">
        <f t="shared" si="13"/>
        <v>0</v>
      </c>
      <c r="K33" s="287">
        <f t="shared" si="13"/>
        <v>1760.3</v>
      </c>
      <c r="L33" s="288">
        <f t="shared" si="13"/>
        <v>0</v>
      </c>
      <c r="M33" s="288">
        <f t="shared" si="13"/>
        <v>1584.27</v>
      </c>
      <c r="N33" s="288">
        <f t="shared" si="13"/>
        <v>176.03</v>
      </c>
      <c r="O33" s="287">
        <f t="shared" si="13"/>
        <v>1656.27</v>
      </c>
      <c r="P33" s="288">
        <f t="shared" si="13"/>
        <v>0</v>
      </c>
      <c r="Q33" s="288">
        <f t="shared" si="13"/>
        <v>1480.24</v>
      </c>
      <c r="R33" s="288">
        <f t="shared" si="13"/>
        <v>176.03</v>
      </c>
      <c r="S33" s="281">
        <f t="shared" si="3"/>
        <v>94.0902118956996</v>
      </c>
    </row>
    <row r="34" spans="1:19" s="135" customFormat="1" ht="31.5">
      <c r="A34" s="146" t="s">
        <v>282</v>
      </c>
      <c r="B34" s="158" t="s">
        <v>283</v>
      </c>
      <c r="C34" s="126">
        <f>SUM(D34:F34)</f>
        <v>1760.3</v>
      </c>
      <c r="D34" s="143"/>
      <c r="E34" s="143">
        <v>1584.27</v>
      </c>
      <c r="F34" s="143">
        <v>176.03</v>
      </c>
      <c r="G34" s="156"/>
      <c r="H34" s="145"/>
      <c r="I34" s="145"/>
      <c r="J34" s="145"/>
      <c r="K34" s="279">
        <f>SUM(L34:N34)</f>
        <v>1760.3</v>
      </c>
      <c r="L34" s="280">
        <f>D34+H34</f>
        <v>0</v>
      </c>
      <c r="M34" s="280">
        <f>E34+I34</f>
        <v>1584.27</v>
      </c>
      <c r="N34" s="280">
        <f>F34+J34</f>
        <v>176.03</v>
      </c>
      <c r="O34" s="279">
        <f>SUM(P34:R34)</f>
        <v>1656.27</v>
      </c>
      <c r="P34" s="280"/>
      <c r="Q34" s="280">
        <v>1480.24</v>
      </c>
      <c r="R34" s="280">
        <v>176.03</v>
      </c>
      <c r="S34" s="281">
        <f t="shared" si="3"/>
        <v>94.0902118956996</v>
      </c>
    </row>
    <row r="35" spans="1:19" s="135" customFormat="1" ht="15.75" hidden="1">
      <c r="A35" s="159"/>
      <c r="B35" s="160"/>
      <c r="C35" s="126"/>
      <c r="D35" s="143"/>
      <c r="E35" s="143"/>
      <c r="F35" s="143"/>
      <c r="G35" s="156"/>
      <c r="H35" s="145"/>
      <c r="I35" s="145"/>
      <c r="J35" s="145"/>
      <c r="K35" s="279"/>
      <c r="L35" s="280"/>
      <c r="M35" s="280"/>
      <c r="N35" s="280"/>
      <c r="O35" s="279"/>
      <c r="P35" s="280"/>
      <c r="Q35" s="280"/>
      <c r="R35" s="280"/>
      <c r="S35" s="281" t="e">
        <f t="shared" si="3"/>
        <v>#DIV/0!</v>
      </c>
    </row>
    <row r="36" spans="1:19" s="135" customFormat="1" ht="15.75" hidden="1">
      <c r="A36" s="159"/>
      <c r="B36" s="160"/>
      <c r="C36" s="126"/>
      <c r="D36" s="143"/>
      <c r="E36" s="143"/>
      <c r="F36" s="143"/>
      <c r="G36" s="156"/>
      <c r="H36" s="145"/>
      <c r="I36" s="145"/>
      <c r="J36" s="145"/>
      <c r="K36" s="279"/>
      <c r="L36" s="280"/>
      <c r="M36" s="280"/>
      <c r="N36" s="280"/>
      <c r="O36" s="279"/>
      <c r="P36" s="280"/>
      <c r="Q36" s="280"/>
      <c r="R36" s="280"/>
      <c r="S36" s="281" t="e">
        <f t="shared" si="3"/>
        <v>#DIV/0!</v>
      </c>
    </row>
    <row r="37" spans="1:19" ht="15.75">
      <c r="A37" s="333" t="s">
        <v>284</v>
      </c>
      <c r="B37" s="334"/>
      <c r="C37" s="138">
        <f>SUM(D37:F37)</f>
        <v>49065.064</v>
      </c>
      <c r="D37" s="139">
        <f aca="true" t="shared" si="14" ref="D37:J37">D16+D9</f>
        <v>16056</v>
      </c>
      <c r="E37" s="139">
        <f t="shared" si="14"/>
        <v>19500</v>
      </c>
      <c r="F37" s="138">
        <f t="shared" si="14"/>
        <v>13509.063999999998</v>
      </c>
      <c r="G37" s="138">
        <f t="shared" si="14"/>
        <v>0</v>
      </c>
      <c r="H37" s="138">
        <f t="shared" si="14"/>
        <v>43802</v>
      </c>
      <c r="I37" s="138">
        <f t="shared" si="14"/>
        <v>0</v>
      </c>
      <c r="J37" s="138">
        <f t="shared" si="14"/>
        <v>1884.9852</v>
      </c>
      <c r="K37" s="285">
        <f>SUM(L37:N37)</f>
        <v>94752.04920000001</v>
      </c>
      <c r="L37" s="286">
        <f>L16+L9</f>
        <v>59858</v>
      </c>
      <c r="M37" s="286">
        <f>M16+M9</f>
        <v>19500</v>
      </c>
      <c r="N37" s="293">
        <f>N16+N9</f>
        <v>15394.049200000001</v>
      </c>
      <c r="O37" s="285">
        <f>SUM(P37:R37)</f>
        <v>68123.75</v>
      </c>
      <c r="P37" s="286">
        <f>P16+P9</f>
        <v>37444.75</v>
      </c>
      <c r="Q37" s="286">
        <f>Q16+Q9</f>
        <v>19214.7</v>
      </c>
      <c r="R37" s="293">
        <f>R16+R9</f>
        <v>11464.3</v>
      </c>
      <c r="S37" s="284">
        <f t="shared" si="3"/>
        <v>71.89686194143017</v>
      </c>
    </row>
    <row r="38" spans="1:10" ht="12.75">
      <c r="A38" s="161"/>
      <c r="B38" s="162"/>
      <c r="C38" s="163"/>
      <c r="D38" s="163"/>
      <c r="E38" s="163"/>
      <c r="F38" s="163"/>
      <c r="I38" s="110">
        <v>7953100</v>
      </c>
      <c r="J38" s="110">
        <v>300</v>
      </c>
    </row>
    <row r="39" spans="6:10" ht="12.75">
      <c r="F39" s="164"/>
      <c r="I39" s="110">
        <v>7953200</v>
      </c>
      <c r="J39" s="110">
        <v>121.78</v>
      </c>
    </row>
    <row r="40" spans="6:10" ht="12.75">
      <c r="F40" s="164"/>
      <c r="J40" s="165">
        <f>J37-J38-J39-J13</f>
        <v>1805.2240000000002</v>
      </c>
    </row>
    <row r="41" spans="3:6" ht="12.75">
      <c r="C41" s="115" t="s">
        <v>285</v>
      </c>
      <c r="F41" s="165">
        <f>F32</f>
        <v>250</v>
      </c>
    </row>
    <row r="42" spans="3:6" ht="12.75">
      <c r="C42" s="115" t="s">
        <v>286</v>
      </c>
      <c r="F42" s="165" t="e">
        <f>F10+#REF!+F14</f>
        <v>#REF!</v>
      </c>
    </row>
    <row r="43" spans="3:6" ht="12.75">
      <c r="C43" s="115" t="s">
        <v>287</v>
      </c>
      <c r="F43" s="165">
        <f>F11</f>
        <v>392.944</v>
      </c>
    </row>
    <row r="44" spans="3:6" ht="12.75">
      <c r="C44" s="115" t="s">
        <v>288</v>
      </c>
      <c r="F44" s="165">
        <f>F24</f>
        <v>900</v>
      </c>
    </row>
    <row r="45" spans="3:6" ht="12.75">
      <c r="C45" s="115" t="s">
        <v>289</v>
      </c>
      <c r="F45" s="165">
        <f>F25+F22+F12</f>
        <v>3662.5</v>
      </c>
    </row>
  </sheetData>
  <sheetProtection/>
  <mergeCells count="15">
    <mergeCell ref="O7:O8"/>
    <mergeCell ref="A5:R5"/>
    <mergeCell ref="A4:R4"/>
    <mergeCell ref="P7:R7"/>
    <mergeCell ref="S7:S8"/>
    <mergeCell ref="A37:B37"/>
    <mergeCell ref="L1:N1"/>
    <mergeCell ref="A7:A8"/>
    <mergeCell ref="B7:B8"/>
    <mergeCell ref="C7:C8"/>
    <mergeCell ref="D7:F7"/>
    <mergeCell ref="G7:G8"/>
    <mergeCell ref="H7:J7"/>
    <mergeCell ref="K7:K8"/>
    <mergeCell ref="L7:N7"/>
  </mergeCells>
  <printOptions/>
  <pageMargins left="0.3937007874015748" right="0" top="0.984251968503937" bottom="0" header="0" footer="0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6"/>
  <sheetViews>
    <sheetView view="pageBreakPreview" zoomScaleSheetLayoutView="100" zoomScalePageLayoutView="0" workbookViewId="0" topLeftCell="A38">
      <selection activeCell="F5" sqref="F5"/>
    </sheetView>
  </sheetViews>
  <sheetFormatPr defaultColWidth="9.140625" defaultRowHeight="12.75"/>
  <cols>
    <col min="1" max="1" width="5.28125" style="184" customWidth="1"/>
    <col min="2" max="2" width="25.28125" style="184" customWidth="1"/>
    <col min="3" max="3" width="30.57421875" style="194" customWidth="1"/>
    <col min="4" max="4" width="11.140625" style="184" customWidth="1"/>
    <col min="5" max="5" width="35.8515625" style="198" customWidth="1"/>
    <col min="6" max="6" width="13.28125" style="184" customWidth="1"/>
    <col min="7" max="7" width="13.7109375" style="184" customWidth="1"/>
    <col min="8" max="16384" width="9.140625" style="184" customWidth="1"/>
  </cols>
  <sheetData>
    <row r="1" spans="1:256" ht="18.75">
      <c r="A1" s="180" t="s">
        <v>420</v>
      </c>
      <c r="B1" s="181"/>
      <c r="C1" s="182"/>
      <c r="D1" s="182"/>
      <c r="E1" s="195"/>
      <c r="F1" s="182"/>
      <c r="G1" s="182"/>
      <c r="H1" s="182"/>
      <c r="I1" s="182"/>
      <c r="J1" s="104"/>
      <c r="K1" s="104"/>
      <c r="L1" s="183"/>
      <c r="M1" s="183"/>
      <c r="N1" s="183"/>
      <c r="O1" s="183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1:7" ht="15">
      <c r="A2" s="358" t="s">
        <v>297</v>
      </c>
      <c r="B2" s="358"/>
      <c r="C2" s="358"/>
      <c r="D2" s="358"/>
      <c r="E2" s="358"/>
      <c r="F2" s="358"/>
      <c r="G2" s="358"/>
    </row>
    <row r="3" spans="1:7" ht="15">
      <c r="A3" s="359" t="s">
        <v>307</v>
      </c>
      <c r="B3" s="359"/>
      <c r="C3" s="359"/>
      <c r="D3" s="359"/>
      <c r="E3" s="359"/>
      <c r="F3" s="359"/>
      <c r="G3" s="359"/>
    </row>
    <row r="4" spans="1:7" ht="15">
      <c r="A4" s="360" t="s">
        <v>298</v>
      </c>
      <c r="B4" s="360" t="s">
        <v>299</v>
      </c>
      <c r="C4" s="362" t="s">
        <v>300</v>
      </c>
      <c r="D4" s="363"/>
      <c r="E4" s="362" t="s">
        <v>301</v>
      </c>
      <c r="F4" s="363"/>
      <c r="G4" s="360" t="s">
        <v>302</v>
      </c>
    </row>
    <row r="5" spans="1:7" ht="61.5" customHeight="1">
      <c r="A5" s="361"/>
      <c r="B5" s="361"/>
      <c r="C5" s="185" t="s">
        <v>303</v>
      </c>
      <c r="D5" s="186" t="s">
        <v>304</v>
      </c>
      <c r="E5" s="265" t="s">
        <v>305</v>
      </c>
      <c r="F5" s="186" t="s">
        <v>424</v>
      </c>
      <c r="G5" s="361"/>
    </row>
    <row r="6" spans="1:7" ht="15">
      <c r="A6" s="187">
        <v>1</v>
      </c>
      <c r="B6" s="187">
        <v>2</v>
      </c>
      <c r="C6" s="188">
        <v>3</v>
      </c>
      <c r="D6" s="187">
        <v>4</v>
      </c>
      <c r="E6" s="196">
        <v>5</v>
      </c>
      <c r="F6" s="187">
        <v>6</v>
      </c>
      <c r="G6" s="187">
        <v>7</v>
      </c>
    </row>
    <row r="7" spans="1:7" ht="15">
      <c r="A7" s="187"/>
      <c r="B7" s="187"/>
      <c r="C7" s="188"/>
      <c r="D7" s="187"/>
      <c r="E7" s="196"/>
      <c r="F7" s="187"/>
      <c r="G7" s="187"/>
    </row>
    <row r="8" spans="1:7" s="192" customFormat="1" ht="51" customHeight="1">
      <c r="A8" s="189">
        <v>1</v>
      </c>
      <c r="B8" s="190" t="s">
        <v>310</v>
      </c>
      <c r="C8" s="190" t="s">
        <v>391</v>
      </c>
      <c r="D8" s="257">
        <v>35000</v>
      </c>
      <c r="E8" s="203" t="s">
        <v>368</v>
      </c>
      <c r="F8" s="191">
        <v>35000</v>
      </c>
      <c r="G8" s="191"/>
    </row>
    <row r="9" spans="1:7" s="192" customFormat="1" ht="51" customHeight="1">
      <c r="A9" s="189">
        <v>2</v>
      </c>
      <c r="B9" s="190" t="s">
        <v>331</v>
      </c>
      <c r="C9" s="190" t="s">
        <v>390</v>
      </c>
      <c r="D9" s="202">
        <v>20000</v>
      </c>
      <c r="E9" s="201" t="s">
        <v>332</v>
      </c>
      <c r="F9" s="202">
        <v>20000</v>
      </c>
      <c r="G9" s="191"/>
    </row>
    <row r="10" spans="1:7" s="192" customFormat="1" ht="38.25">
      <c r="A10" s="189">
        <v>3</v>
      </c>
      <c r="B10" s="190" t="s">
        <v>309</v>
      </c>
      <c r="C10" s="190" t="s">
        <v>308</v>
      </c>
      <c r="D10" s="257">
        <v>50000</v>
      </c>
      <c r="E10" s="203" t="s">
        <v>333</v>
      </c>
      <c r="F10" s="191">
        <v>50000</v>
      </c>
      <c r="G10" s="191"/>
    </row>
    <row r="11" spans="1:7" s="192" customFormat="1" ht="38.25">
      <c r="A11" s="189">
        <v>4</v>
      </c>
      <c r="B11" s="352" t="s">
        <v>311</v>
      </c>
      <c r="C11" s="190" t="s">
        <v>312</v>
      </c>
      <c r="D11" s="257">
        <f>SUM(D12:D23)</f>
        <v>175000</v>
      </c>
      <c r="E11" s="197"/>
      <c r="F11" s="191">
        <f>SUM(F12:F23)</f>
        <v>175000</v>
      </c>
      <c r="G11" s="191"/>
    </row>
    <row r="12" spans="1:7" s="192" customFormat="1" ht="25.5">
      <c r="A12" s="189"/>
      <c r="B12" s="353"/>
      <c r="C12" s="190" t="s">
        <v>313</v>
      </c>
      <c r="D12" s="257">
        <v>15000</v>
      </c>
      <c r="E12" s="203" t="s">
        <v>334</v>
      </c>
      <c r="F12" s="191">
        <v>15000</v>
      </c>
      <c r="G12" s="191"/>
    </row>
    <row r="13" spans="1:7" s="192" customFormat="1" ht="25.5">
      <c r="A13" s="189"/>
      <c r="B13" s="353"/>
      <c r="C13" s="190" t="s">
        <v>314</v>
      </c>
      <c r="D13" s="257">
        <v>15000</v>
      </c>
      <c r="E13" s="203" t="s">
        <v>335</v>
      </c>
      <c r="F13" s="191">
        <v>15000</v>
      </c>
      <c r="G13" s="191"/>
    </row>
    <row r="14" spans="1:7" s="192" customFormat="1" ht="25.5">
      <c r="A14" s="189"/>
      <c r="B14" s="353"/>
      <c r="C14" s="190" t="s">
        <v>315</v>
      </c>
      <c r="D14" s="257">
        <v>15000</v>
      </c>
      <c r="E14" s="203" t="s">
        <v>336</v>
      </c>
      <c r="F14" s="191">
        <v>15000</v>
      </c>
      <c r="G14" s="191"/>
    </row>
    <row r="15" spans="1:7" s="192" customFormat="1" ht="25.5">
      <c r="A15" s="189"/>
      <c r="B15" s="353"/>
      <c r="C15" s="190" t="s">
        <v>316</v>
      </c>
      <c r="D15" s="257">
        <v>15000</v>
      </c>
      <c r="E15" s="203" t="s">
        <v>337</v>
      </c>
      <c r="F15" s="191">
        <v>15000</v>
      </c>
      <c r="G15" s="191"/>
    </row>
    <row r="16" spans="1:7" s="192" customFormat="1" ht="25.5">
      <c r="A16" s="189"/>
      <c r="B16" s="353"/>
      <c r="C16" s="190" t="s">
        <v>317</v>
      </c>
      <c r="D16" s="257">
        <v>15000</v>
      </c>
      <c r="E16" s="203" t="s">
        <v>338</v>
      </c>
      <c r="F16" s="191">
        <v>15000</v>
      </c>
      <c r="G16" s="191"/>
    </row>
    <row r="17" spans="1:7" s="192" customFormat="1" ht="25.5">
      <c r="A17" s="189"/>
      <c r="B17" s="353"/>
      <c r="C17" s="190" t="s">
        <v>318</v>
      </c>
      <c r="D17" s="257">
        <v>15000</v>
      </c>
      <c r="E17" s="203" t="s">
        <v>339</v>
      </c>
      <c r="F17" s="191">
        <v>15000</v>
      </c>
      <c r="G17" s="191"/>
    </row>
    <row r="18" spans="1:7" s="192" customFormat="1" ht="25.5">
      <c r="A18" s="189"/>
      <c r="B18" s="353"/>
      <c r="C18" s="190" t="s">
        <v>319</v>
      </c>
      <c r="D18" s="257">
        <v>15000</v>
      </c>
      <c r="E18" s="203" t="s">
        <v>340</v>
      </c>
      <c r="F18" s="191">
        <v>15000</v>
      </c>
      <c r="G18" s="191"/>
    </row>
    <row r="19" spans="1:7" s="192" customFormat="1" ht="25.5">
      <c r="A19" s="189"/>
      <c r="B19" s="353"/>
      <c r="C19" s="190" t="s">
        <v>320</v>
      </c>
      <c r="D19" s="257">
        <v>15000</v>
      </c>
      <c r="E19" s="203" t="s">
        <v>341</v>
      </c>
      <c r="F19" s="191">
        <v>15000</v>
      </c>
      <c r="G19" s="191"/>
    </row>
    <row r="20" spans="1:7" s="192" customFormat="1" ht="25.5">
      <c r="A20" s="189"/>
      <c r="B20" s="353"/>
      <c r="C20" s="190" t="s">
        <v>321</v>
      </c>
      <c r="D20" s="257">
        <v>15000</v>
      </c>
      <c r="E20" s="203" t="s">
        <v>345</v>
      </c>
      <c r="F20" s="191">
        <v>15000</v>
      </c>
      <c r="G20" s="191"/>
    </row>
    <row r="21" spans="1:7" s="192" customFormat="1" ht="25.5">
      <c r="A21" s="189"/>
      <c r="B21" s="353"/>
      <c r="C21" s="190" t="s">
        <v>322</v>
      </c>
      <c r="D21" s="257">
        <v>15000</v>
      </c>
      <c r="E21" s="203" t="s">
        <v>342</v>
      </c>
      <c r="F21" s="191">
        <v>15000</v>
      </c>
      <c r="G21" s="191"/>
    </row>
    <row r="22" spans="1:7" s="192" customFormat="1" ht="25.5">
      <c r="A22" s="189"/>
      <c r="B22" s="353"/>
      <c r="C22" s="190" t="s">
        <v>323</v>
      </c>
      <c r="D22" s="257">
        <v>15000</v>
      </c>
      <c r="E22" s="203" t="s">
        <v>343</v>
      </c>
      <c r="F22" s="191">
        <v>15000</v>
      </c>
      <c r="G22" s="191"/>
    </row>
    <row r="23" spans="1:7" s="192" customFormat="1" ht="25.5">
      <c r="A23" s="189"/>
      <c r="B23" s="354"/>
      <c r="C23" s="190" t="s">
        <v>324</v>
      </c>
      <c r="D23" s="257">
        <v>10000</v>
      </c>
      <c r="E23" s="203" t="s">
        <v>344</v>
      </c>
      <c r="F23" s="191">
        <v>10000</v>
      </c>
      <c r="G23" s="191"/>
    </row>
    <row r="24" spans="1:7" s="192" customFormat="1" ht="12.75">
      <c r="A24" s="189">
        <v>4</v>
      </c>
      <c r="B24" s="352" t="s">
        <v>325</v>
      </c>
      <c r="C24" s="352" t="s">
        <v>369</v>
      </c>
      <c r="D24" s="257">
        <v>500000</v>
      </c>
      <c r="E24" s="197"/>
      <c r="F24" s="191">
        <f>SUM(F25:F31)</f>
        <v>500000</v>
      </c>
      <c r="G24" s="191"/>
    </row>
    <row r="25" spans="1:7" s="192" customFormat="1" ht="38.25">
      <c r="A25" s="189"/>
      <c r="B25" s="353"/>
      <c r="C25" s="353"/>
      <c r="D25" s="257"/>
      <c r="E25" s="203" t="s">
        <v>346</v>
      </c>
      <c r="F25" s="191">
        <v>100000</v>
      </c>
      <c r="G25" s="191"/>
    </row>
    <row r="26" spans="1:7" s="192" customFormat="1" ht="38.25">
      <c r="A26" s="189"/>
      <c r="B26" s="353"/>
      <c r="C26" s="353"/>
      <c r="D26" s="257"/>
      <c r="E26" s="203" t="s">
        <v>347</v>
      </c>
      <c r="F26" s="191">
        <v>50000</v>
      </c>
      <c r="G26" s="191"/>
    </row>
    <row r="27" spans="1:7" s="192" customFormat="1" ht="25.5">
      <c r="A27" s="189"/>
      <c r="B27" s="353"/>
      <c r="C27" s="353"/>
      <c r="D27" s="257"/>
      <c r="E27" s="203" t="s">
        <v>348</v>
      </c>
      <c r="F27" s="191">
        <v>130020</v>
      </c>
      <c r="G27" s="191"/>
    </row>
    <row r="28" spans="1:7" s="192" customFormat="1" ht="25.5">
      <c r="A28" s="189"/>
      <c r="B28" s="353"/>
      <c r="C28" s="353"/>
      <c r="D28" s="257"/>
      <c r="E28" s="203" t="s">
        <v>349</v>
      </c>
      <c r="F28" s="191">
        <v>70000</v>
      </c>
      <c r="G28" s="191"/>
    </row>
    <row r="29" spans="1:7" s="192" customFormat="1" ht="25.5">
      <c r="A29" s="189"/>
      <c r="B29" s="353"/>
      <c r="C29" s="353"/>
      <c r="D29" s="257"/>
      <c r="E29" s="203" t="s">
        <v>350</v>
      </c>
      <c r="F29" s="191">
        <v>120000</v>
      </c>
      <c r="G29" s="191"/>
    </row>
    <row r="30" spans="1:7" s="192" customFormat="1" ht="51">
      <c r="A30" s="189"/>
      <c r="B30" s="353"/>
      <c r="C30" s="353"/>
      <c r="D30" s="257"/>
      <c r="E30" s="203" t="s">
        <v>351</v>
      </c>
      <c r="F30" s="191">
        <v>27900</v>
      </c>
      <c r="G30" s="191"/>
    </row>
    <row r="31" spans="1:7" s="192" customFormat="1" ht="38.25">
      <c r="A31" s="189"/>
      <c r="B31" s="354"/>
      <c r="C31" s="354"/>
      <c r="D31" s="257"/>
      <c r="E31" s="203" t="s">
        <v>352</v>
      </c>
      <c r="F31" s="191">
        <v>2080</v>
      </c>
      <c r="G31" s="191"/>
    </row>
    <row r="32" spans="1:7" s="192" customFormat="1" ht="51">
      <c r="A32" s="189">
        <v>5</v>
      </c>
      <c r="B32" s="190" t="s">
        <v>326</v>
      </c>
      <c r="C32" s="190" t="s">
        <v>327</v>
      </c>
      <c r="D32" s="257">
        <v>100000</v>
      </c>
      <c r="E32" s="203" t="s">
        <v>353</v>
      </c>
      <c r="F32" s="191">
        <v>100000</v>
      </c>
      <c r="G32" s="191"/>
    </row>
    <row r="33" spans="1:7" s="262" customFormat="1" ht="12.75">
      <c r="A33" s="258"/>
      <c r="B33" s="355" t="s">
        <v>370</v>
      </c>
      <c r="C33" s="350" t="s">
        <v>369</v>
      </c>
      <c r="D33" s="259">
        <v>442770</v>
      </c>
      <c r="E33" s="260"/>
      <c r="F33" s="261">
        <f>SUM(F34:F44)</f>
        <v>442770</v>
      </c>
      <c r="G33" s="261"/>
    </row>
    <row r="34" spans="1:7" s="262" customFormat="1" ht="38.25">
      <c r="A34" s="258"/>
      <c r="B34" s="356"/>
      <c r="C34" s="351"/>
      <c r="D34" s="259"/>
      <c r="E34" s="260" t="s">
        <v>393</v>
      </c>
      <c r="F34" s="261">
        <v>40000</v>
      </c>
      <c r="G34" s="261"/>
    </row>
    <row r="35" spans="1:7" s="262" customFormat="1" ht="38.25">
      <c r="A35" s="258"/>
      <c r="B35" s="356"/>
      <c r="C35" s="351"/>
      <c r="D35" s="259"/>
      <c r="E35" s="260" t="s">
        <v>394</v>
      </c>
      <c r="F35" s="261">
        <v>35000</v>
      </c>
      <c r="G35" s="261"/>
    </row>
    <row r="36" spans="1:7" s="262" customFormat="1" ht="51">
      <c r="A36" s="258"/>
      <c r="B36" s="356"/>
      <c r="C36" s="351"/>
      <c r="D36" s="259"/>
      <c r="E36" s="260" t="s">
        <v>395</v>
      </c>
      <c r="F36" s="261">
        <v>92630</v>
      </c>
      <c r="G36" s="261"/>
    </row>
    <row r="37" spans="1:7" s="262" customFormat="1" ht="38.25">
      <c r="A37" s="258"/>
      <c r="B37" s="356"/>
      <c r="C37" s="351"/>
      <c r="D37" s="259"/>
      <c r="E37" s="260" t="s">
        <v>396</v>
      </c>
      <c r="F37" s="261">
        <v>75050</v>
      </c>
      <c r="G37" s="261"/>
    </row>
    <row r="38" spans="1:7" s="262" customFormat="1" ht="89.25">
      <c r="A38" s="258"/>
      <c r="B38" s="356"/>
      <c r="C38" s="351"/>
      <c r="D38" s="259"/>
      <c r="E38" s="260" t="s">
        <v>397</v>
      </c>
      <c r="F38" s="261">
        <v>40422</v>
      </c>
      <c r="G38" s="261"/>
    </row>
    <row r="39" spans="1:7" s="262" customFormat="1" ht="38.25">
      <c r="A39" s="258"/>
      <c r="B39" s="356"/>
      <c r="C39" s="351"/>
      <c r="D39" s="259"/>
      <c r="E39" s="260" t="s">
        <v>398</v>
      </c>
      <c r="F39" s="261">
        <v>21594</v>
      </c>
      <c r="G39" s="261"/>
    </row>
    <row r="40" spans="1:7" s="262" customFormat="1" ht="38.25">
      <c r="A40" s="258"/>
      <c r="B40" s="356"/>
      <c r="C40" s="351"/>
      <c r="D40" s="259"/>
      <c r="E40" s="260" t="s">
        <v>399</v>
      </c>
      <c r="F40" s="261">
        <v>75000</v>
      </c>
      <c r="G40" s="261"/>
    </row>
    <row r="41" spans="1:7" s="262" customFormat="1" ht="38.25">
      <c r="A41" s="258"/>
      <c r="B41" s="356"/>
      <c r="C41" s="351"/>
      <c r="D41" s="259"/>
      <c r="E41" s="260" t="s">
        <v>400</v>
      </c>
      <c r="F41" s="261">
        <v>15000</v>
      </c>
      <c r="G41" s="261"/>
    </row>
    <row r="42" spans="1:7" s="262" customFormat="1" ht="38.25">
      <c r="A42" s="258"/>
      <c r="B42" s="356"/>
      <c r="C42" s="351"/>
      <c r="D42" s="259"/>
      <c r="E42" s="260" t="s">
        <v>401</v>
      </c>
      <c r="F42" s="261">
        <v>5000</v>
      </c>
      <c r="G42" s="261"/>
    </row>
    <row r="43" spans="1:7" s="262" customFormat="1" ht="38.25">
      <c r="A43" s="258"/>
      <c r="B43" s="356"/>
      <c r="C43" s="351"/>
      <c r="D43" s="259"/>
      <c r="E43" s="260" t="s">
        <v>402</v>
      </c>
      <c r="F43" s="261">
        <v>25000</v>
      </c>
      <c r="G43" s="261"/>
    </row>
    <row r="44" spans="1:7" s="262" customFormat="1" ht="38.25">
      <c r="A44" s="258"/>
      <c r="B44" s="357"/>
      <c r="C44" s="351"/>
      <c r="D44" s="259"/>
      <c r="E44" s="260" t="s">
        <v>403</v>
      </c>
      <c r="F44" s="261">
        <f>14724+3350</f>
        <v>18074</v>
      </c>
      <c r="G44" s="261"/>
    </row>
    <row r="45" spans="1:7" s="192" customFormat="1" ht="12.75">
      <c r="A45" s="189">
        <v>6</v>
      </c>
      <c r="B45" s="352" t="s">
        <v>328</v>
      </c>
      <c r="C45" s="348" t="s">
        <v>392</v>
      </c>
      <c r="D45" s="257">
        <v>165000</v>
      </c>
      <c r="E45" s="197"/>
      <c r="F45" s="191">
        <f>SUM(F46:F48)</f>
        <v>165000</v>
      </c>
      <c r="G45" s="191"/>
    </row>
    <row r="46" spans="1:7" s="192" customFormat="1" ht="25.5">
      <c r="A46" s="189"/>
      <c r="B46" s="353"/>
      <c r="C46" s="349"/>
      <c r="D46" s="257">
        <v>55000</v>
      </c>
      <c r="E46" s="203" t="s">
        <v>354</v>
      </c>
      <c r="F46" s="191">
        <v>55000</v>
      </c>
      <c r="G46" s="191"/>
    </row>
    <row r="47" spans="1:7" s="192" customFormat="1" ht="25.5">
      <c r="A47" s="189"/>
      <c r="B47" s="353"/>
      <c r="C47" s="349"/>
      <c r="D47" s="257">
        <v>55000</v>
      </c>
      <c r="E47" s="203" t="s">
        <v>355</v>
      </c>
      <c r="F47" s="191">
        <v>55000</v>
      </c>
      <c r="G47" s="191"/>
    </row>
    <row r="48" spans="1:7" s="192" customFormat="1" ht="25.5">
      <c r="A48" s="189"/>
      <c r="B48" s="354"/>
      <c r="C48" s="349"/>
      <c r="D48" s="257">
        <v>55000</v>
      </c>
      <c r="E48" s="203" t="s">
        <v>356</v>
      </c>
      <c r="F48" s="191">
        <v>55000</v>
      </c>
      <c r="G48" s="191"/>
    </row>
    <row r="49" spans="1:7" s="192" customFormat="1" ht="12.75" hidden="1">
      <c r="A49" s="189"/>
      <c r="B49" s="199"/>
      <c r="C49" s="234"/>
      <c r="D49" s="190"/>
      <c r="E49" s="197"/>
      <c r="F49" s="191"/>
      <c r="G49" s="191"/>
    </row>
    <row r="50" spans="1:7" s="192" customFormat="1" ht="12.75" hidden="1">
      <c r="A50" s="189"/>
      <c r="B50" s="190"/>
      <c r="C50" s="234"/>
      <c r="D50" s="190"/>
      <c r="E50" s="197"/>
      <c r="F50" s="191"/>
      <c r="G50" s="191"/>
    </row>
    <row r="51" spans="1:7" s="192" customFormat="1" ht="12.75">
      <c r="A51" s="193"/>
      <c r="B51" s="193" t="s">
        <v>306</v>
      </c>
      <c r="C51" s="199"/>
      <c r="D51" s="191">
        <f>D8+D10+D11+D24+D32+D45+D9+D33</f>
        <v>1487770</v>
      </c>
      <c r="E51" s="197"/>
      <c r="F51" s="191">
        <f>F8+F10+F11+F24+F32+F45+F9+F33</f>
        <v>1487770</v>
      </c>
      <c r="G51" s="191">
        <f>G8</f>
        <v>0</v>
      </c>
    </row>
    <row r="52" spans="3:6" ht="15">
      <c r="C52" s="194">
        <v>1003</v>
      </c>
      <c r="D52" s="184">
        <f>D8+D10+D11+D32+D45</f>
        <v>525000</v>
      </c>
      <c r="E52" s="263"/>
      <c r="F52" s="264"/>
    </row>
    <row r="53" spans="3:4" ht="15">
      <c r="C53" s="200" t="s">
        <v>156</v>
      </c>
      <c r="D53" s="184">
        <f>D24</f>
        <v>500000</v>
      </c>
    </row>
    <row r="54" spans="3:6" ht="15">
      <c r="C54" s="194" t="s">
        <v>330</v>
      </c>
      <c r="D54" s="184">
        <f>D8+D11+D32+D45+D9</f>
        <v>495000</v>
      </c>
      <c r="F54" s="184">
        <f>F8+F11+F32+F45+F9</f>
        <v>495000</v>
      </c>
    </row>
    <row r="55" spans="3:6" ht="15">
      <c r="C55" s="194" t="s">
        <v>329</v>
      </c>
      <c r="D55" s="184">
        <f>D10</f>
        <v>50000</v>
      </c>
      <c r="F55" s="184">
        <f>F10</f>
        <v>50000</v>
      </c>
    </row>
    <row r="56" spans="4:6" ht="15">
      <c r="D56" s="184">
        <v>545000</v>
      </c>
      <c r="F56" s="184">
        <v>545000</v>
      </c>
    </row>
  </sheetData>
  <sheetProtection/>
  <mergeCells count="14">
    <mergeCell ref="A2:G2"/>
    <mergeCell ref="A3:G3"/>
    <mergeCell ref="A4:A5"/>
    <mergeCell ref="B4:B5"/>
    <mergeCell ref="C4:D4"/>
    <mergeCell ref="E4:F4"/>
    <mergeCell ref="G4:G5"/>
    <mergeCell ref="C45:C48"/>
    <mergeCell ref="C33:C44"/>
    <mergeCell ref="C24:C31"/>
    <mergeCell ref="B24:B31"/>
    <mergeCell ref="B45:B48"/>
    <mergeCell ref="B11:B23"/>
    <mergeCell ref="B33:B44"/>
  </mergeCells>
  <printOptions/>
  <pageMargins left="0.7086614173228347" right="0" top="0.35433070866141736" bottom="0.15748031496062992" header="0" footer="0"/>
  <pageSetup horizontalDpi="180" verticalDpi="18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view="pageBreakPreview" zoomScale="60" zoomScaleNormal="75" zoomScalePageLayoutView="0" workbookViewId="0" topLeftCell="A1">
      <selection activeCell="K8" sqref="K8"/>
    </sheetView>
  </sheetViews>
  <sheetFormatPr defaultColWidth="9.140625" defaultRowHeight="12.75"/>
  <cols>
    <col min="1" max="1" width="27.8515625" style="236" customWidth="1"/>
    <col min="2" max="2" width="42.28125" style="254" customWidth="1"/>
    <col min="3" max="3" width="53.421875" style="254" customWidth="1"/>
    <col min="4" max="4" width="0.2890625" style="236" customWidth="1"/>
    <col min="5" max="5" width="21.140625" style="236" customWidth="1"/>
    <col min="6" max="7" width="18.57421875" style="236" customWidth="1"/>
    <col min="8" max="9" width="17.7109375" style="236" customWidth="1"/>
    <col min="10" max="10" width="16.28125" style="236" customWidth="1"/>
    <col min="11" max="11" width="15.28125" style="236" customWidth="1"/>
    <col min="12" max="12" width="16.7109375" style="236" customWidth="1"/>
    <col min="13" max="16384" width="9.140625" style="236" customWidth="1"/>
  </cols>
  <sheetData>
    <row r="1" spans="1:256" s="184" customFormat="1" ht="18.75">
      <c r="A1" s="180" t="s">
        <v>421</v>
      </c>
      <c r="B1" s="181"/>
      <c r="C1" s="182"/>
      <c r="D1" s="182"/>
      <c r="E1" s="195"/>
      <c r="F1" s="182"/>
      <c r="G1" s="182"/>
      <c r="H1" s="182"/>
      <c r="I1" s="182"/>
      <c r="J1" s="104"/>
      <c r="K1" s="104"/>
      <c r="L1" s="183"/>
      <c r="M1" s="183"/>
      <c r="N1" s="183"/>
      <c r="O1" s="183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1:12" ht="43.5" customHeight="1">
      <c r="A2" s="364" t="s">
        <v>371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</row>
    <row r="3" spans="1:12" ht="19.5" customHeight="1">
      <c r="A3" s="233"/>
      <c r="B3" s="233"/>
      <c r="C3" s="233"/>
      <c r="D3" s="237"/>
      <c r="E3" s="233"/>
      <c r="F3" s="233"/>
      <c r="G3" s="233"/>
      <c r="H3" s="233"/>
      <c r="I3" s="233"/>
      <c r="J3" s="233"/>
      <c r="K3" s="233"/>
      <c r="L3" s="233"/>
    </row>
    <row r="4" spans="1:12" ht="13.5" customHeight="1">
      <c r="A4" s="365" t="s">
        <v>372</v>
      </c>
      <c r="B4" s="365" t="s">
        <v>373</v>
      </c>
      <c r="C4" s="365" t="s">
        <v>374</v>
      </c>
      <c r="D4" s="238" t="s">
        <v>375</v>
      </c>
      <c r="E4" s="372" t="s">
        <v>389</v>
      </c>
      <c r="F4" s="373"/>
      <c r="G4" s="373"/>
      <c r="H4" s="374"/>
      <c r="I4" s="375" t="s">
        <v>416</v>
      </c>
      <c r="J4" s="376"/>
      <c r="K4" s="376"/>
      <c r="L4" s="377"/>
    </row>
    <row r="5" spans="1:12" ht="13.5" customHeight="1">
      <c r="A5" s="366"/>
      <c r="B5" s="368"/>
      <c r="C5" s="370"/>
      <c r="D5" s="378" t="s">
        <v>376</v>
      </c>
      <c r="E5" s="382" t="s">
        <v>220</v>
      </c>
      <c r="F5" s="372" t="s">
        <v>377</v>
      </c>
      <c r="G5" s="373"/>
      <c r="H5" s="374"/>
      <c r="I5" s="384" t="s">
        <v>220</v>
      </c>
      <c r="J5" s="239" t="s">
        <v>377</v>
      </c>
      <c r="K5" s="239"/>
      <c r="L5" s="240"/>
    </row>
    <row r="6" spans="1:12" ht="46.5" customHeight="1">
      <c r="A6" s="367"/>
      <c r="B6" s="369"/>
      <c r="C6" s="371"/>
      <c r="D6" s="379"/>
      <c r="E6" s="383"/>
      <c r="F6" s="241" t="s">
        <v>378</v>
      </c>
      <c r="G6" s="241" t="s">
        <v>379</v>
      </c>
      <c r="H6" s="242" t="s">
        <v>380</v>
      </c>
      <c r="I6" s="385"/>
      <c r="J6" s="242" t="s">
        <v>378</v>
      </c>
      <c r="K6" s="242" t="s">
        <v>379</v>
      </c>
      <c r="L6" s="242" t="s">
        <v>380</v>
      </c>
    </row>
    <row r="7" spans="1:12" ht="125.25" customHeight="1">
      <c r="A7" s="386"/>
      <c r="B7" s="245" t="s">
        <v>381</v>
      </c>
      <c r="C7" s="245" t="s">
        <v>382</v>
      </c>
      <c r="D7" s="243"/>
      <c r="E7" s="244">
        <f>SUM(F7:H7)</f>
        <v>609.21</v>
      </c>
      <c r="F7" s="244">
        <v>609.21</v>
      </c>
      <c r="G7" s="244"/>
      <c r="H7" s="244"/>
      <c r="I7" s="244">
        <f>SUM(J7:L7)</f>
        <v>609.21</v>
      </c>
      <c r="J7" s="244">
        <v>609.21</v>
      </c>
      <c r="K7" s="244"/>
      <c r="L7" s="244"/>
    </row>
    <row r="8" spans="1:12" ht="114" customHeight="1">
      <c r="A8" s="386"/>
      <c r="B8" s="246" t="s">
        <v>383</v>
      </c>
      <c r="C8" s="246" t="s">
        <v>384</v>
      </c>
      <c r="D8" s="243"/>
      <c r="E8" s="244">
        <f>SUM(F8:H8)</f>
        <v>275.065</v>
      </c>
      <c r="F8" s="244"/>
      <c r="G8" s="244"/>
      <c r="H8" s="244">
        <v>275.065</v>
      </c>
      <c r="I8" s="244">
        <f>SUM(J8:L8)</f>
        <v>275.07</v>
      </c>
      <c r="J8" s="244"/>
      <c r="K8" s="244"/>
      <c r="L8" s="244">
        <v>275.07</v>
      </c>
    </row>
    <row r="9" spans="1:12" ht="220.5">
      <c r="A9" s="387"/>
      <c r="B9" s="247" t="s">
        <v>385</v>
      </c>
      <c r="C9" s="246" t="s">
        <v>386</v>
      </c>
      <c r="D9" s="243"/>
      <c r="E9" s="244">
        <f>SUM(F9:H9)</f>
        <v>3880.8889999999997</v>
      </c>
      <c r="F9" s="244">
        <v>1712.983</v>
      </c>
      <c r="G9" s="244">
        <v>1347.346</v>
      </c>
      <c r="H9" s="244">
        <v>820.56</v>
      </c>
      <c r="I9" s="244">
        <f>SUM(J9:L9)</f>
        <v>3880.8889999999997</v>
      </c>
      <c r="J9" s="244">
        <v>1712.983</v>
      </c>
      <c r="K9" s="244">
        <v>1347.346</v>
      </c>
      <c r="L9" s="244">
        <v>820.56</v>
      </c>
    </row>
    <row r="10" spans="1:12" ht="15.75">
      <c r="A10" s="388" t="s">
        <v>387</v>
      </c>
      <c r="B10" s="389"/>
      <c r="C10" s="248"/>
      <c r="D10" s="249"/>
      <c r="E10" s="250">
        <f aca="true" t="shared" si="0" ref="E10:L10">SUM(E7:E9)</f>
        <v>4765.164</v>
      </c>
      <c r="F10" s="250">
        <f t="shared" si="0"/>
        <v>2322.193</v>
      </c>
      <c r="G10" s="250">
        <f t="shared" si="0"/>
        <v>1347.346</v>
      </c>
      <c r="H10" s="250">
        <f t="shared" si="0"/>
        <v>1095.625</v>
      </c>
      <c r="I10" s="250">
        <f t="shared" si="0"/>
        <v>4765.169</v>
      </c>
      <c r="J10" s="250">
        <f t="shared" si="0"/>
        <v>2322.193</v>
      </c>
      <c r="K10" s="250">
        <f t="shared" si="0"/>
        <v>1347.346</v>
      </c>
      <c r="L10" s="250">
        <f t="shared" si="0"/>
        <v>1095.6299999999999</v>
      </c>
    </row>
    <row r="11" spans="1:12" ht="15.75">
      <c r="A11" s="251"/>
      <c r="B11" s="251" t="s">
        <v>388</v>
      </c>
      <c r="C11" s="251"/>
      <c r="D11" s="252"/>
      <c r="E11" s="253">
        <f>E10</f>
        <v>4765.164</v>
      </c>
      <c r="F11" s="253">
        <f aca="true" t="shared" si="1" ref="F11:L11">F10</f>
        <v>2322.193</v>
      </c>
      <c r="G11" s="253">
        <f t="shared" si="1"/>
        <v>1347.346</v>
      </c>
      <c r="H11" s="253">
        <f t="shared" si="1"/>
        <v>1095.625</v>
      </c>
      <c r="I11" s="253">
        <f t="shared" si="1"/>
        <v>4765.169</v>
      </c>
      <c r="J11" s="253">
        <f t="shared" si="1"/>
        <v>2322.193</v>
      </c>
      <c r="K11" s="253">
        <f t="shared" si="1"/>
        <v>1347.346</v>
      </c>
      <c r="L11" s="253">
        <f t="shared" si="1"/>
        <v>1095.6299999999999</v>
      </c>
    </row>
    <row r="12" spans="3:12" ht="15">
      <c r="C12" s="255"/>
      <c r="E12" s="256"/>
      <c r="F12" s="256"/>
      <c r="G12" s="256"/>
      <c r="H12" s="256"/>
      <c r="I12" s="256"/>
      <c r="J12" s="256"/>
      <c r="K12" s="256"/>
      <c r="L12" s="256"/>
    </row>
    <row r="13" spans="5:12" ht="15">
      <c r="E13" s="256"/>
      <c r="F13" s="256"/>
      <c r="G13" s="256"/>
      <c r="H13" s="256"/>
      <c r="I13" s="256"/>
      <c r="J13" s="256"/>
      <c r="K13" s="256"/>
      <c r="L13" s="256"/>
    </row>
    <row r="14" spans="1:24" s="235" customFormat="1" ht="15">
      <c r="A14" s="236"/>
      <c r="B14" s="254"/>
      <c r="C14" s="254"/>
      <c r="D14" s="236"/>
      <c r="E14" s="256"/>
      <c r="F14" s="256"/>
      <c r="G14" s="256"/>
      <c r="H14" s="256"/>
      <c r="I14" s="256"/>
      <c r="J14" s="256"/>
      <c r="K14" s="256"/>
      <c r="L14" s="25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</row>
    <row r="15" spans="1:24" s="235" customFormat="1" ht="15">
      <c r="A15" s="236"/>
      <c r="B15" s="254"/>
      <c r="C15" s="254"/>
      <c r="D15" s="236"/>
      <c r="E15" s="256"/>
      <c r="F15" s="256"/>
      <c r="G15" s="256"/>
      <c r="H15" s="256"/>
      <c r="I15" s="256"/>
      <c r="J15" s="256"/>
      <c r="K15" s="256"/>
      <c r="L15" s="25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</row>
    <row r="16" spans="1:24" s="235" customFormat="1" ht="15">
      <c r="A16" s="236"/>
      <c r="B16" s="254"/>
      <c r="C16" s="254"/>
      <c r="D16" s="236"/>
      <c r="E16" s="256"/>
      <c r="F16" s="256"/>
      <c r="G16" s="256"/>
      <c r="H16" s="256"/>
      <c r="I16" s="256"/>
      <c r="J16" s="256"/>
      <c r="K16" s="256"/>
      <c r="L16" s="25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</row>
    <row r="17" spans="1:24" s="235" customFormat="1" ht="15">
      <c r="A17" s="236"/>
      <c r="B17" s="254"/>
      <c r="C17" s="254"/>
      <c r="D17" s="236"/>
      <c r="E17" s="256"/>
      <c r="F17" s="256"/>
      <c r="G17" s="256"/>
      <c r="H17" s="256"/>
      <c r="I17" s="256"/>
      <c r="J17" s="256"/>
      <c r="K17" s="256"/>
      <c r="L17" s="25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</row>
    <row r="18" spans="1:24" s="235" customFormat="1" ht="15">
      <c r="A18" s="236"/>
      <c r="B18" s="254"/>
      <c r="C18" s="254"/>
      <c r="D18" s="236"/>
      <c r="E18" s="256"/>
      <c r="F18" s="256"/>
      <c r="G18" s="256"/>
      <c r="H18" s="256"/>
      <c r="I18" s="256"/>
      <c r="J18" s="256"/>
      <c r="K18" s="256"/>
      <c r="L18" s="25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</row>
    <row r="19" spans="1:24" s="235" customFormat="1" ht="15">
      <c r="A19" s="236"/>
      <c r="B19" s="254"/>
      <c r="C19" s="254"/>
      <c r="D19" s="236"/>
      <c r="E19" s="256"/>
      <c r="F19" s="256"/>
      <c r="G19" s="256"/>
      <c r="H19" s="256"/>
      <c r="I19" s="256"/>
      <c r="J19" s="256"/>
      <c r="K19" s="256"/>
      <c r="L19" s="25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</row>
    <row r="20" spans="1:24" s="235" customFormat="1" ht="15">
      <c r="A20" s="236"/>
      <c r="B20" s="254"/>
      <c r="C20" s="254"/>
      <c r="D20" s="236"/>
      <c r="E20" s="256"/>
      <c r="F20" s="256"/>
      <c r="G20" s="256"/>
      <c r="H20" s="256"/>
      <c r="I20" s="256"/>
      <c r="J20" s="256"/>
      <c r="K20" s="256"/>
      <c r="L20" s="25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</row>
    <row r="21" spans="1:24" s="235" customFormat="1" ht="15">
      <c r="A21" s="236"/>
      <c r="B21" s="380"/>
      <c r="C21" s="381"/>
      <c r="D21" s="381"/>
      <c r="E21" s="256"/>
      <c r="F21" s="256"/>
      <c r="G21" s="256"/>
      <c r="H21" s="256"/>
      <c r="I21" s="256"/>
      <c r="J21" s="256"/>
      <c r="K21" s="256"/>
      <c r="L21" s="25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</row>
    <row r="22" spans="1:24" s="235" customFormat="1" ht="15">
      <c r="A22" s="236"/>
      <c r="B22" s="254"/>
      <c r="C22" s="254"/>
      <c r="D22" s="236"/>
      <c r="E22" s="256"/>
      <c r="F22" s="256"/>
      <c r="G22" s="256"/>
      <c r="H22" s="256"/>
      <c r="I22" s="256"/>
      <c r="J22" s="256"/>
      <c r="K22" s="256"/>
      <c r="L22" s="25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</row>
    <row r="23" spans="1:24" s="235" customFormat="1" ht="15">
      <c r="A23" s="236"/>
      <c r="B23" s="254"/>
      <c r="C23" s="254"/>
      <c r="D23" s="236"/>
      <c r="E23" s="256"/>
      <c r="F23" s="256"/>
      <c r="G23" s="256"/>
      <c r="H23" s="256"/>
      <c r="I23" s="256"/>
      <c r="J23" s="256"/>
      <c r="K23" s="256"/>
      <c r="L23" s="25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</row>
  </sheetData>
  <sheetProtection/>
  <mergeCells count="13">
    <mergeCell ref="B21:D21"/>
    <mergeCell ref="E5:E6"/>
    <mergeCell ref="F5:H5"/>
    <mergeCell ref="I5:I6"/>
    <mergeCell ref="A7:A9"/>
    <mergeCell ref="A10:B10"/>
    <mergeCell ref="A2:L2"/>
    <mergeCell ref="A4:A6"/>
    <mergeCell ref="B4:B6"/>
    <mergeCell ref="C4:C6"/>
    <mergeCell ref="E4:H4"/>
    <mergeCell ref="I4:L4"/>
    <mergeCell ref="D5:D6"/>
  </mergeCells>
  <printOptions/>
  <pageMargins left="0.1968503937007874" right="0" top="1.1811023622047245" bottom="0.1968503937007874" header="0" footer="0"/>
  <pageSetup firstPageNumber="32" useFirstPageNumber="1" fitToHeight="2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finOtdeL</dc:creator>
  <cp:keywords/>
  <dc:description/>
  <cp:lastModifiedBy>finOtdeL</cp:lastModifiedBy>
  <cp:lastPrinted>2015-03-30T05:49:16Z</cp:lastPrinted>
  <dcterms:created xsi:type="dcterms:W3CDTF">2015-01-24T09:48:34Z</dcterms:created>
  <dcterms:modified xsi:type="dcterms:W3CDTF">2015-04-10T03:14:10Z</dcterms:modified>
  <cp:category/>
  <cp:version/>
  <cp:contentType/>
  <cp:contentStatus/>
</cp:coreProperties>
</file>