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1355" windowHeight="5730" firstSheet="4" activeTab="4"/>
  </bookViews>
  <sheets>
    <sheet name="МЦП" sheetId="1" r:id="rId1"/>
    <sheet name="Фин СП" sheetId="2" r:id="rId2"/>
    <sheet name="Кап.стр 2013г" sheetId="3" r:id="rId3"/>
    <sheet name="Софин-ние 2013г " sheetId="4" r:id="rId4"/>
    <sheet name="Прил 8 (2013)" sheetId="5" r:id="rId5"/>
    <sheet name="Публ.обяз" sheetId="6" r:id="rId6"/>
    <sheet name="Кап и тек рем" sheetId="7" r:id="rId7"/>
    <sheet name="Лист1" sheetId="8" r:id="rId8"/>
  </sheets>
  <externalReferences>
    <externalReference r:id="rId11"/>
  </externalReferences>
  <definedNames>
    <definedName name="В11">#REF!</definedName>
    <definedName name="_xlnm.Print_Titles" localSheetId="4">'Прил 8 (2013)'!$5:$5</definedName>
    <definedName name="_xlnm.Print_Area" localSheetId="6">'Кап и тек рем'!$F$1:$N$31</definedName>
    <definedName name="_xlnm.Print_Area" localSheetId="2">'Кап.стр 2013г'!$A$2:$Q$32</definedName>
    <definedName name="_xlnm.Print_Area" localSheetId="4">'Прил 8 (2013)'!$A$1:$M$62</definedName>
    <definedName name="_xlnm.Print_Area" localSheetId="5">'Публ.обяз'!$A$1:$AB$17</definedName>
    <definedName name="_xlnm.Print_Area" localSheetId="3">'Софин-ние 2013г '!$F$1:$N$88</definedName>
    <definedName name="_xlnm.Print_Area" localSheetId="1">'Фин СП'!$A$1:$Z$46</definedName>
  </definedNames>
  <calcPr fullCalcOnLoad="1"/>
</workbook>
</file>

<file path=xl/sharedStrings.xml><?xml version="1.0" encoding="utf-8"?>
<sst xmlns="http://schemas.openxmlformats.org/spreadsheetml/2006/main" count="734" uniqueCount="413">
  <si>
    <t>Федеральный бюджет (справочно)</t>
  </si>
  <si>
    <t>Наименование объектов</t>
  </si>
  <si>
    <t>Всего</t>
  </si>
  <si>
    <t xml:space="preserve">РАСПРЕДЕЛЕНИЕ БЮДЖЕТНЫХ АССИГНОВАНИЙ НА ОСУЩЕСТВЛЕНИЕ  БЮДЖЕТНЫХ ИНВЕСТИЦИЙ  В ОБЪЕКТЫ  КАПИТАЛЬНОГО СТРОИТЕЛЬСТВА  МУНИЦИПАЛЬНОЙ СОБСТВЕННОСТИ  МУНИЦИПАЛЬНОГО ОБРАЗОВАНИЯ "ОНГУДАЙСКИЙ РАЙОН" </t>
  </si>
  <si>
    <t>№п/п</t>
  </si>
  <si>
    <t>республиканский  бюджет</t>
  </si>
  <si>
    <t>местный бюджет</t>
  </si>
  <si>
    <t>Непрограммная часть</t>
  </si>
  <si>
    <t>Программная часть</t>
  </si>
  <si>
    <t>ВСЕГО ПО МУНИЦИПАЛЬНОМУ ОБРАЗОВАНИЮ:</t>
  </si>
  <si>
    <t>РЦП "Демографическое развитие РА на 2010-2015 г.</t>
  </si>
  <si>
    <t>2.1.</t>
  </si>
  <si>
    <t>федеральный бюджет</t>
  </si>
  <si>
    <t>Реконструкция средней школы в с.Онгудай (1 очередь строительства)</t>
  </si>
  <si>
    <t>на 2013 год</t>
  </si>
  <si>
    <t>ФПЦ  "Повышние устойчивости  жилых  домов и основных объектов жизнеобеспечения"</t>
  </si>
  <si>
    <t>РАИП  Республики Алтай "Инвестиционная программа в социальной сфере Респблики Алтай на 2011-2014 годы"</t>
  </si>
  <si>
    <t>Полная средняя школа на 260 уч-ся с интернатом на 80 мест в с.Иня Онгудайского района  РА</t>
  </si>
  <si>
    <t>РЦП "Развитие агропромышленного комплекса РА на 2009-2013 г.г."</t>
  </si>
  <si>
    <t>Реконструкция  водопровода в с.Шашикман Онгудайского района РА</t>
  </si>
  <si>
    <t>РЦП "Развитие агропромышленного комплекса РА на 2009-2012 г.г."</t>
  </si>
  <si>
    <t>Электроснабжение в с . Онгудай (северо-восточная часть) Онгудайского района РА</t>
  </si>
  <si>
    <t>1.1.</t>
  </si>
  <si>
    <t>2.1.1.</t>
  </si>
  <si>
    <t>2.2.</t>
  </si>
  <si>
    <t>2.2.1.</t>
  </si>
  <si>
    <t>2.3.</t>
  </si>
  <si>
    <t>2.3.1.</t>
  </si>
  <si>
    <t>2.4.</t>
  </si>
  <si>
    <t>2.4.1.</t>
  </si>
  <si>
    <t>2.4.2.</t>
  </si>
  <si>
    <t>2.4.3.</t>
  </si>
  <si>
    <t>2.5.</t>
  </si>
  <si>
    <t>2.5.1.</t>
  </si>
  <si>
    <t>Инвестиции на 2013 год</t>
  </si>
  <si>
    <t>Экспертиза ПИР на реконструкцию СОШ в с Ело ил Э.М.Палкина</t>
  </si>
  <si>
    <t>Разработка ПИР  на строительство 2-х скважин в с. Купчегень</t>
  </si>
  <si>
    <t>Разработка ПИР  на реконструкцию водопровода  в с. Купчегень</t>
  </si>
  <si>
    <t>Инженерные изыскания на разработку ПИР на реконструкцию водопровода  в с. Купчегень</t>
  </si>
  <si>
    <t>1.2.</t>
  </si>
  <si>
    <t>1.3.</t>
  </si>
  <si>
    <t>1.4.</t>
  </si>
  <si>
    <t>тыс.руб.</t>
  </si>
  <si>
    <t>Изменения  в бюджет:+;-</t>
  </si>
  <si>
    <t>Всего утверждено</t>
  </si>
  <si>
    <t>Уточненный план на 2013 год</t>
  </si>
  <si>
    <t>1.5.</t>
  </si>
  <si>
    <t>Строительство детского сада на 150 мест в с Онгудай: экспертиза ПИР, радоновое измерение участка</t>
  </si>
  <si>
    <t>Устройство специальных элементов наружного фасада  (Реконструкция средней школы в с.Онгудай (1 очередь строительства)</t>
  </si>
  <si>
    <t>Наименование программы (подпрограммы)</t>
  </si>
  <si>
    <t>Районная целевая программа «Реализация молодежной политики в Онгудайском районе на 2010-2013 годы», в т.ч. подпрограмма « Обеспечение жильем молодых семей»</t>
  </si>
  <si>
    <t>Районная подпрограмма «Социальная поддержка населения муниципального образования «Онгудайский район»</t>
  </si>
  <si>
    <t>Администрация  района (аймака)</t>
  </si>
  <si>
    <t>МЦП «Энергосбережение в МО «Онгудайском районе на 2010-2015г»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</si>
  <si>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</si>
  <si>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МЦП "Патриотическое воспитание граждан в Онгудайском районе  на 2011-2015 годы»"</t>
  </si>
  <si>
    <t>МЦП "О мерах по противодействию терроризму и экстремизму в мо "Онгудайский район" на 2012-2014 годы"</t>
  </si>
  <si>
    <t>(тыс.руб)</t>
  </si>
  <si>
    <t>% исполнения</t>
  </si>
  <si>
    <t>МЦП «Улучшение условий и охраны труда в муниципальном образовании «Онгудайский район» на 2011-2013г.г.»</t>
  </si>
  <si>
    <t>Развитие транспортной инфраструктуры Онгудайского района на  период 2012-2015 годы»</t>
  </si>
  <si>
    <t>Исполнение  бюджета за 2013 год (Муниципальные целевые программы)</t>
  </si>
  <si>
    <t xml:space="preserve"> РАСПРЕДЕЛЕНИЕ  МЕЖБЮДЖЕТНЫХ ТРАНСФЕРТОВ  БЮДЖЕТАМ СЕЛЬСКИХ ПОСЕЛЕНИЙ ИЗ БЮДЖЕТА МУНИЦИПАЛЬНОГО ОБРАЗОВАНИЯ "ОНГУДАЙСКИЙ РАЙОН"  на 2013г</t>
  </si>
  <si>
    <t>Наименования межбюджетных трансфертов</t>
  </si>
  <si>
    <t>Всего Муниципальный район</t>
  </si>
  <si>
    <t>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</si>
  <si>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</si>
  <si>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</si>
  <si>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</si>
  <si>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</si>
  <si>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</si>
  <si>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</si>
  <si>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</si>
  <si>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</si>
  <si>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</si>
  <si>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</si>
  <si>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план</t>
  </si>
  <si>
    <t>касса</t>
  </si>
  <si>
    <t>А</t>
  </si>
  <si>
    <t>Б</t>
  </si>
  <si>
    <t>1</t>
  </si>
  <si>
    <t xml:space="preserve">Региональный фонд финансовой поддержки  поселений </t>
  </si>
  <si>
    <t>Дотации на выравнивание бюджетной обеспеченности поселений</t>
  </si>
  <si>
    <t xml:space="preserve">Субсидии на капитальный и текущий ремонт объектов социально- культурной сферы </t>
  </si>
  <si>
    <t>2</t>
  </si>
  <si>
    <t xml:space="preserve">Региональный фонд компенсации </t>
  </si>
  <si>
    <t>Субвенции на осуществление  первичного  воинского учета на территориях, где отсутствуют военные комиссариаты</t>
  </si>
  <si>
    <t>3</t>
  </si>
  <si>
    <t>Межбюджетные трансферты бюджетам сельских поселений  из бюджета муниципального района</t>
  </si>
  <si>
    <t>3.1.</t>
  </si>
  <si>
    <t>Дотация на выравнивание уровня бюджетной обеспеченности  из районного фонда  финансовой поддержки  поселений</t>
  </si>
  <si>
    <t>4</t>
  </si>
  <si>
    <t xml:space="preserve">Прочие межбюджетные трансферты общего характера. 
</t>
  </si>
  <si>
    <t>4.1.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</si>
  <si>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</si>
  <si>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0409/7952033:МЦП "Развитие транспортной инфраструктуры Онгуд.района на период 2012-2015г" (софин-ние к рцп0</t>
  </si>
  <si>
    <t>0409/5225800: РЦП"Развитие транспортной инфраструктуры Республики Алтай  на 2011-2015 годы"</t>
  </si>
  <si>
    <t>0409/5201500:ремонт мостов, дорог</t>
  </si>
  <si>
    <t>0412: Оптико-волоконная связь</t>
  </si>
  <si>
    <t>0412/5201500/услуги межевания</t>
  </si>
  <si>
    <t>0502/5201500:Приобретение зап частей для пож машины</t>
  </si>
  <si>
    <t xml:space="preserve">0502/5201500:Приобретение трактора МТЗ </t>
  </si>
  <si>
    <t>0502/5201500:Приобретение КТП</t>
  </si>
  <si>
    <t>0502/5201500:Автогараж</t>
  </si>
  <si>
    <t>0502/5201500 Эл/эн.водонап.башням</t>
  </si>
  <si>
    <t>0502/5201500/ возмещение разницы в цене</t>
  </si>
  <si>
    <t>0502/7952020: Энергосбережение</t>
  </si>
  <si>
    <t>0502/7952021: Обеспечение питьевой водой</t>
  </si>
  <si>
    <t>0502/7952032: Обеспечение коммунальной инфраструктурой</t>
  </si>
  <si>
    <t>0502/5225101/: Поготока к отопит.периоду</t>
  </si>
  <si>
    <t>0502/5229606:РЦП п/прогр Стимулирование развития жилстр-ва на терр РА</t>
  </si>
  <si>
    <t>0503/5201500:перенос свалки, содерж.кладбища</t>
  </si>
  <si>
    <t>0503/7952036:МЦП "Благоустройство территории Онгудайского района на 2012-2014 годы"</t>
  </si>
  <si>
    <t>0801/5201500: Культура</t>
  </si>
  <si>
    <t>1101/5201500/Спорт: ремонт, приобретение</t>
  </si>
  <si>
    <t>1101/5201500/Спорт: ФОТ</t>
  </si>
  <si>
    <t>1403/5201500/ Кредит. зад-сть по ФОТ</t>
  </si>
  <si>
    <t>1403/5201500/выборы</t>
  </si>
  <si>
    <t>1403/5201500/ремонт</t>
  </si>
  <si>
    <t>1403/5100300: стажировка</t>
  </si>
  <si>
    <t>Итого межбюджетные трансферты бюджетам муниципальных образований</t>
  </si>
  <si>
    <t>по отчету на 01.01.2014г косгу 251</t>
  </si>
  <si>
    <t>в т.ч. Респ.бюджет</t>
  </si>
  <si>
    <t>в т.ч.Местный бюджет</t>
  </si>
  <si>
    <t>Справочная таблица №1 к пояснительной записке об исполнении бюджета на 2013 год</t>
  </si>
  <si>
    <t>Справочная таблица №3 к пояснительной записке об исполнении бюджета на 2013 год</t>
  </si>
  <si>
    <t>Справочная таблица №2 к пояснительной записке об исполнении бюджета на 2013год</t>
  </si>
  <si>
    <t>ИТОГО</t>
  </si>
  <si>
    <t>Справочная таблица №5 к пояснительной записке об исполнении бюджета на 2013 год</t>
  </si>
  <si>
    <t>Код</t>
  </si>
  <si>
    <t>Исполнители</t>
  </si>
  <si>
    <t>МЦП «Развитие малого предпринимательства в Онгудайском районе на 2013-2015 годы»</t>
  </si>
  <si>
    <t>Управление по экономике и финансам</t>
  </si>
  <si>
    <t>МЦП «Развитие  агропромышленного комплекса Онгудайского района на 2011-2014 годы»</t>
  </si>
  <si>
    <t>Отдел культуры, спорта и туризма</t>
  </si>
  <si>
    <t xml:space="preserve">Отдел культуры, спорта и туризма 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</si>
  <si>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</si>
  <si>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>Отдел образования Онгудайского района</t>
  </si>
  <si>
    <t>Управление по экономике и финансам: сельские поселения</t>
  </si>
  <si>
    <t>МЦП "Обеспечение населения Онгудайского района питьевой водой на 2010-2015г."</t>
  </si>
  <si>
    <t>МЦП «Медико – социальная поддержка слабозащищенных категорий населения в муниципальном образовании «Онгудайский район»  на 2012-2014 годы»</t>
  </si>
  <si>
    <t>Программа комплексного развития систем коммунальной инфраструктуры муниципального образования «Онгудайский район» на 2011-2020 годы</t>
  </si>
  <si>
    <t>МЦП "Обеспечение деятельности администрации района (аймака) муниципального образования "Онгудайский район" и её структурных подразделений на 2013-2015 годы"</t>
  </si>
  <si>
    <t>МЦП "Благоустройство территории Онгудайского района на 2012-2014 годы"</t>
  </si>
  <si>
    <t>МЦП "Совершенствование организации  питания в организованных детских коллективах Онгудайского района на 2013-2015годы"</t>
  </si>
  <si>
    <t>Отдел образования Онгудайского района: школы района</t>
  </si>
  <si>
    <t>МЦП "Улучшение условий и охраны труда в образоваительных учреждениях Онгудайского района на 2013-2015годы"</t>
  </si>
  <si>
    <t>МЦП "Повышение безопасности  дорожного движения на территории  муниципального образования "Онгудайский район" на 2013-2015годы"</t>
  </si>
  <si>
    <t>Отдел образования Онгудайского района БУ ЦДТ</t>
  </si>
  <si>
    <t>МЦП "Регулирование численности объектов  животного мира (волкка) на территории Онгудайского района на 2013-2015 годы"</t>
  </si>
  <si>
    <t xml:space="preserve">Кассовые расходы </t>
  </si>
  <si>
    <t xml:space="preserve">Уточненный план </t>
  </si>
  <si>
    <t>РАСПРЕДЕЛЕНИЕ</t>
  </si>
  <si>
    <t>тыс.руб</t>
  </si>
  <si>
    <t>Наименование разделов и подразделов</t>
  </si>
  <si>
    <t>Раздел</t>
  </si>
  <si>
    <t>Подраздел</t>
  </si>
  <si>
    <t>Сумма на  2013 г.</t>
  </si>
  <si>
    <t xml:space="preserve">Изменения </t>
  </si>
  <si>
    <t>Сумма на 2013г (тыс.руб.)</t>
  </si>
  <si>
    <t>Изменения и дополнения   (тыс.руб)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</si>
  <si>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</si>
  <si>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</si>
  <si>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</si>
  <si>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</si>
  <si>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</si>
  <si>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</si>
  <si>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</si>
  <si>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</si>
  <si>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</si>
  <si>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</si>
  <si>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</si>
  <si>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</si>
  <si>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</si>
  <si>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</si>
  <si>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</si>
  <si>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</si>
  <si>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</si>
  <si>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</si>
  <si>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</si>
  <si>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</si>
  <si>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</si>
  <si>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</si>
  <si>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</si>
  <si>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</si>
  <si>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</si>
  <si>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</si>
  <si>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</si>
  <si>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</si>
  <si>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</si>
  <si>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</si>
  <si>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</si>
  <si>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</si>
  <si>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</si>
  <si>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</si>
  <si>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</si>
  <si>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</si>
  <si>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</si>
  <si>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</si>
  <si>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</si>
  <si>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</si>
  <si>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</si>
  <si>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</si>
  <si>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</si>
  <si>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</si>
  <si>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</si>
  <si>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</si>
  <si>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</si>
  <si>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</si>
  <si>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</si>
  <si>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</si>
  <si>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</si>
  <si>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</si>
  <si>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</si>
  <si>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</si>
  <si>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</si>
  <si>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</si>
  <si>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</si>
  <si>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</si>
  <si>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</si>
  <si>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</si>
  <si>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</si>
  <si>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</si>
  <si>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</si>
  <si>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</si>
  <si>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</si>
  <si>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10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</si>
  <si>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</si>
  <si>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</si>
  <si>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</si>
  <si>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</si>
  <si>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</si>
  <si>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</si>
  <si>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</si>
  <si>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</si>
  <si>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</si>
  <si>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</si>
  <si>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</si>
  <si>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</si>
  <si>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</si>
  <si>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</si>
  <si>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</si>
  <si>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</si>
  <si>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</si>
  <si>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</si>
  <si>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99</t>
  </si>
  <si>
    <t>ВСЕГО РАСХОДОВ</t>
  </si>
  <si>
    <t>Исполнение 2012г</t>
  </si>
  <si>
    <t>Кассовое исполнение 2013г</t>
  </si>
  <si>
    <t>Процент исполнения плана (%)</t>
  </si>
  <si>
    <t>Доля в общем расходе 2013г (%)</t>
  </si>
  <si>
    <t>Темп роста в 2013г по сравн. с 2012г (%)</t>
  </si>
  <si>
    <t>расходов бюджета муниципального образования  "Онгудайский район" на 2013 год   по разделам и подразделам   классификации расходов бюджетов Российской Федерации</t>
  </si>
  <si>
    <t xml:space="preserve">Сумма на утверждение  c учетом изменений 2013г </t>
  </si>
  <si>
    <t>Справочная таблица №6 к пояснительной записке об исполнении бюджета на 2013 год</t>
  </si>
  <si>
    <t>0702</t>
  </si>
  <si>
    <t>0701</t>
  </si>
  <si>
    <t>0502</t>
  </si>
  <si>
    <t>0412</t>
  </si>
  <si>
    <t>0409</t>
  </si>
  <si>
    <t xml:space="preserve">Софинансирование по программам из федерального и республиканского бюджетов по мо "Онгудайский район" 2013г </t>
  </si>
  <si>
    <t>Коды бюджетной классификации</t>
  </si>
  <si>
    <t>код цели</t>
  </si>
  <si>
    <t>Кассовый расход на 01.01.2014</t>
  </si>
  <si>
    <t>Всего (тыс.руб)</t>
  </si>
  <si>
    <t>Федер.бюджет</t>
  </si>
  <si>
    <t>Респ.бюджет</t>
  </si>
  <si>
    <t>Местн.бюджет</t>
  </si>
  <si>
    <t>1. Распределение средств по РЦП "Энергосбережение и повышение  энергетической эффективности  РА на 2010-2015 годы и на период до 2020 года"" (Соглашение№04/2013 от 26.04.2013г, допсоглашение№1 от 04.09.2013г, доп.соглашение№2 от 22.11.2013г, доп.соглашение№3 от 13.12.2013г)</t>
  </si>
  <si>
    <t>0923400;  5225103</t>
  </si>
  <si>
    <t>612</t>
  </si>
  <si>
    <t>241</t>
  </si>
  <si>
    <t>304; 978</t>
  </si>
  <si>
    <t>Каракол детсад</t>
  </si>
  <si>
    <t>ОНШ: детсад ( д/сады Веселый городок, Колокольчик)</t>
  </si>
  <si>
    <t>0923400</t>
  </si>
  <si>
    <t>304</t>
  </si>
  <si>
    <t>ОНШ: детсад ( д/садОрешек)</t>
  </si>
  <si>
    <t>Нижняя Талда детсад</t>
  </si>
  <si>
    <t>Шашикман детсад</t>
  </si>
  <si>
    <t>Ело средняя школа (дет сад)</t>
  </si>
  <si>
    <t>МБОУ "Ининская СОШ" (Мало-Ининская НОШ детсад)</t>
  </si>
  <si>
    <t>МБОУ "Ининская СОШ" (Мало-Яломанская НОШ детсад)</t>
  </si>
  <si>
    <t>МБОУ "Хабаровская ООШ им.М.К.Бабакова" (детский сад)</t>
  </si>
  <si>
    <t>5225103</t>
  </si>
  <si>
    <t>243</t>
  </si>
  <si>
    <t>225</t>
  </si>
  <si>
    <t>978; 304</t>
  </si>
  <si>
    <t>ДЮСШ им Н.В.Кулачева</t>
  </si>
  <si>
    <t>2. Распределение средств из респ. Средств по  "Модернизации  региональной  системы общего образования РА"</t>
  </si>
  <si>
    <t>4362100,   4219900</t>
  </si>
  <si>
    <t>058</t>
  </si>
  <si>
    <t xml:space="preserve"> приобретение  оборудования для школьных столовых </t>
  </si>
  <si>
    <t>приобретение учебно-лабораторного оборудования</t>
  </si>
  <si>
    <t>приобретение компьютерного оборудования</t>
  </si>
  <si>
    <t>приобретение  спортивного инвентаря</t>
  </si>
  <si>
    <t>Интернет трафик: Боочи, Кулада, Н-Талда, Озерное, Туэкта, Улита, Шиба, Иодро, Б-Яломан, Каярлык, М-Иня, Инегень, Бич-Бом</t>
  </si>
  <si>
    <t>капитальный ремонт МБОУ "Туэктинская средняя общеобразовательная школа"</t>
  </si>
  <si>
    <t>2. Распределение средств из фед.. Бюдж. по  "Модернизации  региональной  системы дошкольного образования образования РА"</t>
  </si>
  <si>
    <t>4209900,      4362700</t>
  </si>
  <si>
    <t>Кап ремонт дет/сада с Каракол (доп-но 5 мест, до 25.09.2013)</t>
  </si>
  <si>
    <t>Кап ремонт дет/сада с М.Иня (на 30 мест, до 25.11.2013)</t>
  </si>
  <si>
    <t>Кап ремонт дет/сада с М.Яломан (на 10 мест, до 15.10.2013)</t>
  </si>
  <si>
    <t>Реконструкция дет/сада "Веселый городок"с Онгудай  (на 30мест, до15.10.13)</t>
  </si>
  <si>
    <t>Реконструкция дет/сада "Ручеёк"с Онгудай  (на 60мест, до25.09.13)</t>
  </si>
  <si>
    <t>4.РЦП "Отходы" (2011-2015годы) Субсидии мун.образ-иям на приобретение и установку мобильных туалетов в обществ.местах)</t>
  </si>
  <si>
    <t>Приобретение и установка  туалетн.модуля на Семинском перевале,автодорогоа М-52</t>
  </si>
  <si>
    <t>РЦП "Развитие транспортной  инфраструктуры Республики Алтай на 2011-2015годы" в 2013году</t>
  </si>
  <si>
    <t>5225800</t>
  </si>
  <si>
    <t>540</t>
  </si>
  <si>
    <t>251</t>
  </si>
  <si>
    <t>980</t>
  </si>
  <si>
    <t>Куладинское сельское поселение</t>
  </si>
  <si>
    <t>по ул Этенова</t>
  </si>
  <si>
    <t>ул Ч.Т.Кискина</t>
  </si>
  <si>
    <t>Каракольское сельское поселение</t>
  </si>
  <si>
    <t>ул Центральная</t>
  </si>
  <si>
    <t>ул Чорос -Гуркина</t>
  </si>
  <si>
    <t>Елинское  сельское поселение</t>
  </si>
  <si>
    <t>по ул Молодежная</t>
  </si>
  <si>
    <t>ул Лесная</t>
  </si>
  <si>
    <t>3. Подпрограмма "Энергосбережение в сфере предоставления коммунальных услуг на территории РА" (Подготовка к отопительному  сезону объектов жкх)</t>
  </si>
  <si>
    <t xml:space="preserve">Приобретение тмц для аварийного запаса </t>
  </si>
  <si>
    <t>Капитальный ремонт тепловой сети по ул Ленина в сОнгудай</t>
  </si>
  <si>
    <t>Замена котлов в котельной по ул. Рабочая,15 с Онгудай</t>
  </si>
  <si>
    <t>Приобретение дизельн.элстанций на котельныепредприятий жкх</t>
  </si>
  <si>
    <t>7. Развитие АПК  РА на 2011-2017годы:</t>
  </si>
  <si>
    <t>519,      911</t>
  </si>
  <si>
    <t>Строительство полной средней школы на 260 учащихся с интернатом на 80 мест в с.Иня Онгудайского района</t>
  </si>
  <si>
    <t>5222700</t>
  </si>
  <si>
    <t>411</t>
  </si>
  <si>
    <t>226,310</t>
  </si>
  <si>
    <t>Реконструкция  водопровода с Шашикман</t>
  </si>
  <si>
    <t>Мероприятия по улучшению жилусловий граждан, проживающих в сельской местности, вт.ч.молодых спец-тов и молод.семей</t>
  </si>
  <si>
    <t xml:space="preserve"> 8. РЦП "Демографическое развитие РА 2010-2015 гг.(Реконструкция ср.школы с Онгудай Соглашение №3-с/12 от 24.01.2012г, Постан Прав РА №21 от 18.02.2010г</t>
  </si>
  <si>
    <t>5228400</t>
  </si>
  <si>
    <t>289,   908</t>
  </si>
  <si>
    <t>Реконструкция средней школы с Онгудай(2очер строительства)</t>
  </si>
  <si>
    <t xml:space="preserve"> 8. РЦП "подпрограмма "стимулирование развития жилищного строительства на территории Республики Алтай, в том числе в сельской местности"</t>
  </si>
  <si>
    <t>5229606</t>
  </si>
  <si>
    <t>244</t>
  </si>
  <si>
    <t>226</t>
  </si>
  <si>
    <t>977</t>
  </si>
  <si>
    <t>Мероприятия по разработке документов  территориального планирования</t>
  </si>
  <si>
    <t>Обеспеч.инженерн.инфраструктуры:эл.снаб с Онгудай,ю2-очеред</t>
  </si>
  <si>
    <t xml:space="preserve">9.Субсидии для софинансирования муниципальных программ развития малого и среднего  предпринимательства </t>
  </si>
  <si>
    <t>3450100, 5227900</t>
  </si>
  <si>
    <t>810</t>
  </si>
  <si>
    <t>242</t>
  </si>
  <si>
    <t>260,916</t>
  </si>
  <si>
    <t>Поддержка малого бизнеса</t>
  </si>
  <si>
    <t>10.РЦП "Развитие образования в Республике Алтай" в части выплаты ежемесячн.надбавки  к зар плате  молод.специаистам в моу.</t>
  </si>
  <si>
    <t>5221600</t>
  </si>
  <si>
    <t>611</t>
  </si>
  <si>
    <t>966</t>
  </si>
  <si>
    <t xml:space="preserve">выплаты ежемесячн.надбавки  к зар плате </t>
  </si>
  <si>
    <t>повышение ФОТ пед.раболтникам доп.образования детей)</t>
  </si>
  <si>
    <t xml:space="preserve">11 РЦП "Культура Республики Алтай на 2011г-2016 годы"на комплектование книжных фондов библиотек м.о </t>
  </si>
  <si>
    <t>090</t>
  </si>
  <si>
    <t xml:space="preserve">комплектование книжных фондов библиотек м.о </t>
  </si>
  <si>
    <t xml:space="preserve">повышение ФОТ </t>
  </si>
  <si>
    <t>12 Совершенствование организации школьного питания в РА на 2012-2014гг, Постан Прав №327 от 18.11.2011г , Согл65/12 от 08.02.2012г</t>
  </si>
  <si>
    <t>981</t>
  </si>
  <si>
    <t xml:space="preserve">организация  школьного питания </t>
  </si>
  <si>
    <t>13 ФЦП "Жилище" подпрогр "Обеспечение жильем молодых семей"</t>
  </si>
  <si>
    <t>Обеспечение жильем молодых семей ч/з Мин обр</t>
  </si>
  <si>
    <t>ВСЕГО Конс.бюдж на 01.01.2014г</t>
  </si>
  <si>
    <t xml:space="preserve">Кассовое исполнение </t>
  </si>
  <si>
    <t>Справочная таблица №4 к пояснительной записке об исполнении бюджета на 2013 год</t>
  </si>
  <si>
    <t>тыс. рублей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</si>
  <si>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</si>
  <si>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</si>
  <si>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</si>
  <si>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</si>
  <si>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2008 год , тыс.руб.</t>
  </si>
  <si>
    <t xml:space="preserve">2009 год по закону о бюджете </t>
  </si>
  <si>
    <t>Изменения 2009 год (+/-)</t>
  </si>
  <si>
    <t>Изменения (+;-)</t>
  </si>
  <si>
    <t>раздел/ подраздел</t>
  </si>
  <si>
    <t>целевая статья</t>
  </si>
  <si>
    <t>вид расходов</t>
  </si>
  <si>
    <t>в том числе</t>
  </si>
  <si>
    <t>ФС</t>
  </si>
  <si>
    <t>РС</t>
  </si>
  <si>
    <t>Федераль-ные средства</t>
  </si>
  <si>
    <t>Республи-канские средства</t>
  </si>
  <si>
    <t>Местные средства</t>
  </si>
  <si>
    <t>Отдел образования Администрации района (аймака) муниципального образования "Онгудайский район"</t>
  </si>
  <si>
    <t>Содержание детей в семьях опекунов (попечителей) и приемных семьях, а так же  на оплату труда приемных родителей</t>
  </si>
  <si>
    <t>Закон Республики Алтай от 31.03.2008 №23-РЗ " О размере и порядке выплаты денежных средств на содержание  детей в семьях опекунов (попечителей) и приемных семьях, а  так же на оплату труда приемных родителей".Закон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</si>
  <si>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</si>
  <si>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Закон РА от 14.05.2007 №17-РЗ "О наделении органов местного самоуправления государственнми полномочиями РА по выплате компенсации части родительской платы за содержание детей в МОУ , реализующих основную общеобразовательную программу дошкольного образования"</t>
  </si>
  <si>
    <t xml:space="preserve">Итого по Отделу образования 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</si>
  <si>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</si>
  <si>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</si>
  <si>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Закон Республики Алтай от 18.04.2008 №30-РЗ " О респубиканской  целевой программе "Жилище" на 2008-2010 годы, подпрограмма "Обеспечение  жильем молодых семей"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</si>
  <si>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</si>
  <si>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</si>
  <si>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</si>
  <si>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</si>
  <si>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</si>
  <si>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Алтай", Решение Совета депутатов района (аймака) №24-4 от 04.03.2011г</t>
  </si>
  <si>
    <t>ФЦП "Социальное развитие села до 2013 года": Обеспечение жильем молодых специалистов и молодых семей и улучшение жилищных условий граждан, проживающих в сельской местности</t>
  </si>
  <si>
    <t>Постановление Правительства Российской Федерации  от 03.12.2002г №858  О "ФЦП "Социальное развитие села до 2013 года"", Постановление Праивтельства РА от 08.11.2010г №243 " О РЦП "Развитие апк РА на 2011-2017годы" и признании утратвишими силу некоторых постановлений  Правительства РА"</t>
  </si>
  <si>
    <t xml:space="preserve">Итого по Администрации района (аймака) </t>
  </si>
  <si>
    <t xml:space="preserve">Всего </t>
  </si>
  <si>
    <t>Уточненный план на 2013год</t>
  </si>
  <si>
    <t>Кассовое исполненне  2013год</t>
  </si>
  <si>
    <t>Справочная таблица №7 к пояснительной записке об исполнении бюджета на 2013 год</t>
  </si>
  <si>
    <t>Выплата денежного поощрения лучшим мунициальным учреждениям культуры</t>
  </si>
  <si>
    <t xml:space="preserve">Приобретение оборудования для детских садов района </t>
  </si>
  <si>
    <t>Объем бюджетных ассигнований, направленных на исполнение публичных нормативных обязательств в 2013 году по муниципальному образованию "Онгудайский район"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</si>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</sst>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  <numFmt numFmtId="197" formatCode="_-* #,##0.000_р_._-;\-* #,##0.000_р_._-;_-* &quot;-&quot;??_р_._-;_-@_-"/>
    <numFmt numFmtId="198" formatCode="_-* #,##0.000_р_._-;\-* #,##0.000_р_._-;_-* &quot;-&quot;???_р_._-;_-@_-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8"/>
      <name val="Arial Cyr"/>
      <family val="0"/>
    </font>
    <font>
      <b/>
      <i/>
      <sz val="12"/>
      <name val="Times New Roman"/>
      <family val="1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0"/>
      <name val="Times New Roman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sz val="10"/>
      <color indexed="8"/>
      <name val="Arial Cyr"/>
      <family val="0"/>
    </font>
    <font>
      <sz val="8"/>
      <color indexed="8"/>
      <name val="Tahoma"/>
      <family val="2"/>
    </font>
    <font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  <font>
      <sz val="9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46">
    <xf numFmtId="0" fontId="0" fillId="0" borderId="0" xfId="0" applyAlignment="1">
      <alignment/>
    </xf>
    <xf numFmtId="0" fontId="6" fillId="0" borderId="0" xfId="66" applyFont="1" applyAlignment="1">
      <alignment horizontal="center" wrapText="1"/>
      <protection/>
    </xf>
    <xf numFmtId="0" fontId="2" fillId="0" borderId="0" xfId="66">
      <alignment/>
      <protection/>
    </xf>
    <xf numFmtId="0" fontId="2" fillId="0" borderId="0" xfId="66" applyAlignment="1">
      <alignment/>
      <protection/>
    </xf>
    <xf numFmtId="0" fontId="8" fillId="0" borderId="0" xfId="66" applyFont="1" applyBorder="1" applyAlignment="1">
      <alignment vertical="top" wrapText="1"/>
      <protection/>
    </xf>
    <xf numFmtId="0" fontId="5" fillId="0" borderId="0" xfId="66" applyFont="1" applyBorder="1" applyAlignment="1">
      <alignment horizontal="left"/>
      <protection/>
    </xf>
    <xf numFmtId="180" fontId="5" fillId="0" borderId="0" xfId="66" applyNumberFormat="1" applyFont="1" applyBorder="1">
      <alignment/>
      <protection/>
    </xf>
    <xf numFmtId="0" fontId="0" fillId="0" borderId="0" xfId="0" applyFill="1" applyAlignment="1">
      <alignment/>
    </xf>
    <xf numFmtId="0" fontId="5" fillId="0" borderId="10" xfId="67" applyFont="1" applyFill="1" applyBorder="1" applyAlignment="1">
      <alignment horizontal="center" wrapText="1"/>
      <protection/>
    </xf>
    <xf numFmtId="2" fontId="5" fillId="0" borderId="10" xfId="66" applyNumberFormat="1" applyFont="1" applyFill="1" applyBorder="1">
      <alignment/>
      <protection/>
    </xf>
    <xf numFmtId="2" fontId="5" fillId="0" borderId="11" xfId="66" applyNumberFormat="1" applyFont="1" applyFill="1" applyBorder="1">
      <alignment/>
      <protection/>
    </xf>
    <xf numFmtId="2" fontId="11" fillId="0" borderId="12" xfId="66" applyNumberFormat="1" applyFont="1" applyBorder="1" applyAlignment="1">
      <alignment horizontal="center" vertical="center" wrapText="1"/>
      <protection/>
    </xf>
    <xf numFmtId="2" fontId="31" fillId="0" borderId="10" xfId="0" applyNumberFormat="1" applyFont="1" applyBorder="1" applyAlignment="1">
      <alignment horizontal="center" wrapText="1"/>
    </xf>
    <xf numFmtId="0" fontId="2" fillId="0" borderId="10" xfId="66" applyBorder="1">
      <alignment/>
      <protection/>
    </xf>
    <xf numFmtId="16" fontId="2" fillId="0" borderId="10" xfId="66" applyNumberFormat="1" applyBorder="1">
      <alignment/>
      <protection/>
    </xf>
    <xf numFmtId="0" fontId="5" fillId="0" borderId="10" xfId="66" applyFont="1" applyBorder="1">
      <alignment/>
      <protection/>
    </xf>
    <xf numFmtId="2" fontId="35" fillId="0" borderId="10" xfId="66" applyNumberFormat="1" applyFont="1" applyFill="1" applyBorder="1">
      <alignment/>
      <protection/>
    </xf>
    <xf numFmtId="3" fontId="11" fillId="24" borderId="10" xfId="66" applyNumberFormat="1" applyFont="1" applyFill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29" fillId="0" borderId="10" xfId="66" applyFont="1" applyFill="1" applyBorder="1" applyAlignment="1">
      <alignment horizontal="left" vertical="center" wrapText="1"/>
      <protection/>
    </xf>
    <xf numFmtId="0" fontId="6" fillId="0" borderId="10" xfId="66" applyFont="1" applyFill="1" applyBorder="1" applyAlignment="1">
      <alignment horizontal="center"/>
      <protection/>
    </xf>
    <xf numFmtId="49" fontId="6" fillId="0" borderId="10" xfId="66" applyNumberFormat="1" applyFont="1" applyBorder="1" applyAlignment="1">
      <alignment horizontal="center"/>
      <protection/>
    </xf>
    <xf numFmtId="49" fontId="32" fillId="0" borderId="10" xfId="66" applyNumberFormat="1" applyFont="1" applyBorder="1" applyAlignment="1">
      <alignment horizontal="center"/>
      <protection/>
    </xf>
    <xf numFmtId="49" fontId="6" fillId="0" borderId="10" xfId="66" applyNumberFormat="1" applyFont="1" applyFill="1" applyBorder="1" applyAlignment="1">
      <alignment horizontal="center"/>
      <protection/>
    </xf>
    <xf numFmtId="0" fontId="9" fillId="0" borderId="10" xfId="66" applyFont="1" applyFill="1" applyBorder="1" applyAlignment="1">
      <alignment horizontal="left" vertical="center" wrapText="1"/>
      <protection/>
    </xf>
    <xf numFmtId="0" fontId="36" fillId="0" borderId="10" xfId="66" applyFont="1" applyBorder="1" applyAlignment="1">
      <alignment horizontal="center" vertical="center" wrapText="1"/>
      <protection/>
    </xf>
    <xf numFmtId="0" fontId="36" fillId="0" borderId="10" xfId="66" applyFont="1" applyFill="1" applyBorder="1" applyAlignment="1">
      <alignment horizontal="center"/>
      <protection/>
    </xf>
    <xf numFmtId="2" fontId="11" fillId="0" borderId="10" xfId="66" applyNumberFormat="1" applyFont="1" applyFill="1" applyBorder="1" applyAlignment="1">
      <alignment horizontal="center" vertical="center" wrapText="1"/>
      <protection/>
    </xf>
    <xf numFmtId="0" fontId="36" fillId="0" borderId="0" xfId="66" applyFont="1" applyBorder="1" applyAlignment="1">
      <alignment vertical="top" wrapText="1"/>
      <protection/>
    </xf>
    <xf numFmtId="3" fontId="11" fillId="24" borderId="13" xfId="66" applyNumberFormat="1" applyFont="1" applyFill="1" applyBorder="1" applyAlignment="1">
      <alignment horizontal="center" vertical="center" wrapText="1"/>
      <protection/>
    </xf>
    <xf numFmtId="0" fontId="11" fillId="0" borderId="13" xfId="66" applyFont="1" applyBorder="1" applyAlignment="1">
      <alignment horizontal="center" vertical="center" wrapText="1"/>
      <protection/>
    </xf>
    <xf numFmtId="2" fontId="11" fillId="0" borderId="12" xfId="66" applyNumberFormat="1" applyFont="1" applyBorder="1" applyAlignment="1">
      <alignment horizontal="center" wrapText="1"/>
      <protection/>
    </xf>
    <xf numFmtId="2" fontId="11" fillId="0" borderId="10" xfId="66" applyNumberFormat="1" applyFont="1" applyBorder="1" applyAlignment="1">
      <alignment horizontal="center" wrapText="1"/>
      <protection/>
    </xf>
    <xf numFmtId="2" fontId="11" fillId="0" borderId="14" xfId="66" applyNumberFormat="1" applyFont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wrapText="1"/>
    </xf>
    <xf numFmtId="2" fontId="37" fillId="0" borderId="10" xfId="66" applyNumberFormat="1" applyFont="1" applyBorder="1" applyAlignment="1">
      <alignment horizontal="center" vertical="center" wrapText="1"/>
      <protection/>
    </xf>
    <xf numFmtId="2" fontId="37" fillId="0" borderId="12" xfId="66" applyNumberFormat="1" applyFont="1" applyBorder="1" applyAlignment="1">
      <alignment horizontal="center" wrapText="1"/>
      <protection/>
    </xf>
    <xf numFmtId="2" fontId="37" fillId="0" borderId="12" xfId="66" applyNumberFormat="1" applyFont="1" applyBorder="1" applyAlignment="1">
      <alignment horizontal="center" vertical="center" wrapText="1"/>
      <protection/>
    </xf>
    <xf numFmtId="0" fontId="7" fillId="0" borderId="0" xfId="63" applyFill="1" applyBorder="1">
      <alignment/>
      <protection/>
    </xf>
    <xf numFmtId="180" fontId="39" fillId="0" borderId="0" xfId="63" applyNumberFormat="1" applyFont="1" applyFill="1" applyBorder="1">
      <alignment/>
      <protection/>
    </xf>
    <xf numFmtId="0" fontId="8" fillId="0" borderId="0" xfId="63" applyFont="1" applyFill="1" applyBorder="1">
      <alignment/>
      <protection/>
    </xf>
    <xf numFmtId="0" fontId="0" fillId="0" borderId="0" xfId="0" applyAlignment="1">
      <alignment horizontal="center" vertical="top"/>
    </xf>
    <xf numFmtId="0" fontId="45" fillId="0" borderId="0" xfId="63" applyFont="1" applyFill="1" applyBorder="1" applyAlignment="1">
      <alignment/>
      <protection/>
    </xf>
    <xf numFmtId="0" fontId="31" fillId="0" borderId="0" xfId="63" applyFont="1" applyFill="1" applyBorder="1" applyAlignment="1">
      <alignment/>
      <protection/>
    </xf>
    <xf numFmtId="180" fontId="45" fillId="0" borderId="0" xfId="63" applyNumberFormat="1" applyFont="1" applyFill="1" applyBorder="1" applyAlignment="1">
      <alignment/>
      <protection/>
    </xf>
    <xf numFmtId="0" fontId="7" fillId="0" borderId="0" xfId="62">
      <alignment/>
      <protection/>
    </xf>
    <xf numFmtId="0" fontId="46" fillId="0" borderId="14" xfId="63" applyFont="1" applyFill="1" applyBorder="1">
      <alignment/>
      <protection/>
    </xf>
    <xf numFmtId="0" fontId="46" fillId="0" borderId="15" xfId="63" applyFont="1" applyFill="1" applyBorder="1">
      <alignment/>
      <protection/>
    </xf>
    <xf numFmtId="43" fontId="46" fillId="0" borderId="0" xfId="63" applyNumberFormat="1" applyFont="1" applyFill="1" applyBorder="1">
      <alignment/>
      <protection/>
    </xf>
    <xf numFmtId="0" fontId="46" fillId="0" borderId="0" xfId="63" applyFont="1" applyFill="1" applyBorder="1">
      <alignment/>
      <protection/>
    </xf>
    <xf numFmtId="0" fontId="46" fillId="0" borderId="16" xfId="63" applyFont="1" applyFill="1" applyBorder="1">
      <alignment/>
      <protection/>
    </xf>
    <xf numFmtId="0" fontId="7" fillId="0" borderId="0" xfId="62" applyFill="1">
      <alignment/>
      <protection/>
    </xf>
    <xf numFmtId="43" fontId="5" fillId="0" borderId="10" xfId="62" applyNumberFormat="1" applyFont="1" applyFill="1" applyBorder="1" applyAlignment="1">
      <alignment horizontal="center"/>
      <protection/>
    </xf>
    <xf numFmtId="0" fontId="47" fillId="0" borderId="0" xfId="62" applyFont="1" applyFill="1" applyAlignment="1">
      <alignment vertical="center"/>
      <protection/>
    </xf>
    <xf numFmtId="0" fontId="7" fillId="0" borderId="17" xfId="63" applyFill="1" applyBorder="1">
      <alignment/>
      <protection/>
    </xf>
    <xf numFmtId="0" fontId="7" fillId="0" borderId="18" xfId="63" applyFill="1" applyBorder="1">
      <alignment/>
      <protection/>
    </xf>
    <xf numFmtId="0" fontId="7" fillId="0" borderId="19" xfId="63" applyFill="1" applyBorder="1">
      <alignment/>
      <protection/>
    </xf>
    <xf numFmtId="0" fontId="44" fillId="0" borderId="10" xfId="62" applyFont="1" applyFill="1" applyBorder="1" applyAlignment="1">
      <alignment horizontal="justify" wrapText="1"/>
      <protection/>
    </xf>
    <xf numFmtId="0" fontId="7" fillId="0" borderId="14" xfId="63" applyFill="1" applyBorder="1">
      <alignment/>
      <protection/>
    </xf>
    <xf numFmtId="0" fontId="7" fillId="0" borderId="15" xfId="63" applyFill="1" applyBorder="1">
      <alignment/>
      <protection/>
    </xf>
    <xf numFmtId="43" fontId="7" fillId="0" borderId="10" xfId="84" applyNumberFormat="1" applyFont="1" applyFill="1" applyBorder="1" applyAlignment="1">
      <alignment horizontal="center"/>
    </xf>
    <xf numFmtId="43" fontId="7" fillId="0" borderId="10" xfId="63" applyNumberFormat="1" applyFill="1" applyBorder="1">
      <alignment/>
      <protection/>
    </xf>
    <xf numFmtId="182" fontId="46" fillId="0" borderId="10" xfId="63" applyNumberFormat="1" applyFont="1" applyFill="1" applyBorder="1">
      <alignment/>
      <protection/>
    </xf>
    <xf numFmtId="0" fontId="7" fillId="0" borderId="16" xfId="63" applyFill="1" applyBorder="1">
      <alignment/>
      <protection/>
    </xf>
    <xf numFmtId="49" fontId="7" fillId="0" borderId="10" xfId="63" applyNumberFormat="1" applyFont="1" applyFill="1" applyBorder="1" applyAlignment="1">
      <alignment horizontal="center" vertical="center"/>
      <protection/>
    </xf>
    <xf numFmtId="49" fontId="46" fillId="0" borderId="10" xfId="63" applyNumberFormat="1" applyFont="1" applyFill="1" applyBorder="1" applyAlignment="1" applyProtection="1">
      <alignment horizontal="justify" vertical="center" wrapText="1"/>
      <protection locked="0"/>
    </xf>
    <xf numFmtId="43" fontId="7" fillId="0" borderId="10" xfId="8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63" applyFill="1">
      <alignment/>
      <protection/>
    </xf>
    <xf numFmtId="0" fontId="7" fillId="0" borderId="20" xfId="63" applyFont="1" applyFill="1" applyBorder="1" applyAlignment="1">
      <alignment horizontal="center" vertical="center"/>
      <protection/>
    </xf>
    <xf numFmtId="0" fontId="7" fillId="0" borderId="0" xfId="63" applyFont="1" applyFill="1">
      <alignment/>
      <protection/>
    </xf>
    <xf numFmtId="0" fontId="10" fillId="0" borderId="0" xfId="63" applyFont="1" applyFill="1">
      <alignment/>
      <protection/>
    </xf>
    <xf numFmtId="0" fontId="10" fillId="0" borderId="10" xfId="63" applyFont="1" applyFill="1" applyBorder="1">
      <alignment/>
      <protection/>
    </xf>
    <xf numFmtId="180" fontId="10" fillId="0" borderId="10" xfId="63" applyNumberFormat="1" applyFont="1" applyFill="1" applyBorder="1">
      <alignment/>
      <protection/>
    </xf>
    <xf numFmtId="0" fontId="10" fillId="0" borderId="0" xfId="63" applyFont="1" applyFill="1" applyBorder="1">
      <alignment/>
      <protection/>
    </xf>
    <xf numFmtId="0" fontId="39" fillId="0" borderId="20" xfId="63" applyFont="1" applyFill="1" applyBorder="1">
      <alignment/>
      <protection/>
    </xf>
    <xf numFmtId="180" fontId="39" fillId="0" borderId="20" xfId="63" applyNumberFormat="1" applyFont="1" applyFill="1" applyBorder="1">
      <alignment/>
      <protection/>
    </xf>
    <xf numFmtId="43" fontId="5" fillId="0" borderId="10" xfId="62" applyNumberFormat="1" applyFont="1" applyFill="1" applyBorder="1" applyAlignment="1">
      <alignment horizontal="center"/>
      <protection/>
    </xf>
    <xf numFmtId="0" fontId="7" fillId="0" borderId="0" xfId="63" applyFont="1" applyFill="1" applyBorder="1">
      <alignment/>
      <protection/>
    </xf>
    <xf numFmtId="0" fontId="38" fillId="0" borderId="0" xfId="63" applyFont="1" applyFill="1" applyBorder="1">
      <alignment/>
      <protection/>
    </xf>
    <xf numFmtId="0" fontId="38" fillId="0" borderId="0" xfId="63" applyFont="1" applyFill="1" applyBorder="1" applyAlignment="1">
      <alignment/>
      <protection/>
    </xf>
    <xf numFmtId="180" fontId="10" fillId="0" borderId="21" xfId="63" applyNumberFormat="1" applyFont="1" applyFill="1" applyBorder="1">
      <alignment/>
      <protection/>
    </xf>
    <xf numFmtId="0" fontId="7" fillId="0" borderId="10" xfId="62" applyBorder="1">
      <alignment/>
      <protection/>
    </xf>
    <xf numFmtId="0" fontId="8" fillId="0" borderId="10" xfId="62" applyFont="1" applyBorder="1" applyAlignment="1">
      <alignment horizontal="center"/>
      <protection/>
    </xf>
    <xf numFmtId="0" fontId="44" fillId="0" borderId="10" xfId="62" applyFont="1" applyBorder="1" applyAlignment="1">
      <alignment horizontal="center"/>
      <protection/>
    </xf>
    <xf numFmtId="0" fontId="47" fillId="0" borderId="10" xfId="63" applyFont="1" applyFill="1" applyBorder="1" applyAlignment="1">
      <alignment horizontal="justify" vertical="center" wrapText="1"/>
      <protection/>
    </xf>
    <xf numFmtId="43" fontId="47" fillId="0" borderId="10" xfId="84" applyNumberFormat="1" applyFont="1" applyFill="1" applyBorder="1" applyAlignment="1" applyProtection="1">
      <alignment vertical="center" wrapText="1"/>
      <protection locked="0"/>
    </xf>
    <xf numFmtId="0" fontId="2" fillId="0" borderId="10" xfId="64" applyFont="1" applyFill="1" applyBorder="1" applyAlignment="1">
      <alignment wrapText="1"/>
      <protection/>
    </xf>
    <xf numFmtId="43" fontId="44" fillId="0" borderId="10" xfId="62" applyNumberFormat="1" applyFont="1" applyFill="1" applyBorder="1" applyAlignment="1">
      <alignment horizontal="center"/>
      <protection/>
    </xf>
    <xf numFmtId="43" fontId="7" fillId="0" borderId="10" xfId="62" applyNumberFormat="1" applyFill="1" applyBorder="1" applyAlignment="1">
      <alignment horizontal="center"/>
      <protection/>
    </xf>
    <xf numFmtId="43" fontId="7" fillId="0" borderId="10" xfId="62" applyNumberFormat="1" applyFill="1" applyBorder="1">
      <alignment/>
      <protection/>
    </xf>
    <xf numFmtId="181" fontId="7" fillId="0" borderId="10" xfId="62" applyNumberFormat="1" applyFill="1" applyBorder="1">
      <alignment/>
      <protection/>
    </xf>
    <xf numFmtId="43" fontId="0" fillId="0" borderId="10" xfId="62" applyNumberFormat="1" applyFont="1" applyFill="1" applyBorder="1" applyAlignment="1">
      <alignment horizontal="center"/>
      <protection/>
    </xf>
    <xf numFmtId="0" fontId="7" fillId="0" borderId="10" xfId="62" applyFill="1" applyBorder="1">
      <alignment/>
      <protection/>
    </xf>
    <xf numFmtId="0" fontId="47" fillId="0" borderId="10" xfId="62" applyFont="1" applyFill="1" applyBorder="1" applyAlignment="1">
      <alignment horizontal="justify" vertical="center"/>
      <protection/>
    </xf>
    <xf numFmtId="43" fontId="47" fillId="0" borderId="10" xfId="62" applyNumberFormat="1" applyFont="1" applyFill="1" applyBorder="1" applyAlignment="1">
      <alignment horizontal="center" vertical="center"/>
      <protection/>
    </xf>
    <xf numFmtId="0" fontId="44" fillId="0" borderId="10" xfId="62" applyFont="1" applyFill="1" applyBorder="1" applyAlignment="1">
      <alignment horizontal="justify"/>
      <protection/>
    </xf>
    <xf numFmtId="43" fontId="47" fillId="0" borderId="10" xfId="63" applyNumberFormat="1" applyFont="1" applyFill="1" applyBorder="1" applyAlignment="1">
      <alignment horizontal="center" vertical="center" wrapText="1"/>
      <protection/>
    </xf>
    <xf numFmtId="43" fontId="2" fillId="0" borderId="10" xfId="62" applyNumberFormat="1" applyFont="1" applyFill="1" applyBorder="1" applyAlignment="1">
      <alignment horizontal="center"/>
      <protection/>
    </xf>
    <xf numFmtId="43" fontId="49" fillId="0" borderId="10" xfId="62" applyNumberFormat="1" applyFont="1" applyFill="1" applyBorder="1" applyAlignment="1">
      <alignment horizontal="center"/>
      <protection/>
    </xf>
    <xf numFmtId="1" fontId="7" fillId="0" borderId="10" xfId="62" applyNumberFormat="1" applyFill="1" applyBorder="1">
      <alignment/>
      <protection/>
    </xf>
    <xf numFmtId="1" fontId="46" fillId="0" borderId="10" xfId="63" applyNumberFormat="1" applyFont="1" applyFill="1" applyBorder="1" applyAlignment="1" applyProtection="1">
      <alignment horizontal="justify" vertical="center" wrapText="1"/>
      <protection locked="0"/>
    </xf>
    <xf numFmtId="49" fontId="46" fillId="0" borderId="10" xfId="63" applyNumberFormat="1" applyFont="1" applyFill="1" applyBorder="1" applyAlignment="1">
      <alignment horizontal="justify" vertical="center" wrapText="1"/>
      <protection/>
    </xf>
    <xf numFmtId="43" fontId="44" fillId="0" borderId="10" xfId="84" applyNumberFormat="1" applyFont="1" applyFill="1" applyBorder="1" applyAlignment="1">
      <alignment horizontal="center"/>
    </xf>
    <xf numFmtId="43" fontId="46" fillId="0" borderId="10" xfId="63" applyNumberFormat="1" applyFont="1" applyFill="1" applyBorder="1">
      <alignment/>
      <protection/>
    </xf>
    <xf numFmtId="0" fontId="7" fillId="0" borderId="10" xfId="63" applyFont="1" applyFill="1" applyBorder="1">
      <alignment/>
      <protection/>
    </xf>
    <xf numFmtId="4" fontId="50" fillId="24" borderId="10" xfId="59" applyNumberFormat="1" applyFont="1" applyFill="1" applyBorder="1" applyAlignment="1">
      <alignment horizontal="right" vertical="top" wrapText="1"/>
      <protection/>
    </xf>
    <xf numFmtId="0" fontId="7" fillId="0" borderId="10" xfId="63" applyFill="1" applyBorder="1">
      <alignment/>
      <protection/>
    </xf>
    <xf numFmtId="49" fontId="44" fillId="0" borderId="10" xfId="62" applyNumberFormat="1" applyFont="1" applyBorder="1">
      <alignment/>
      <protection/>
    </xf>
    <xf numFmtId="49" fontId="47" fillId="0" borderId="10" xfId="63" applyNumberFormat="1" applyFont="1" applyFill="1" applyBorder="1" applyAlignment="1">
      <alignment horizontal="center" vertical="center"/>
      <protection/>
    </xf>
    <xf numFmtId="49" fontId="44" fillId="0" borderId="10" xfId="62" applyNumberFormat="1" applyFont="1" applyFill="1" applyBorder="1">
      <alignment/>
      <protection/>
    </xf>
    <xf numFmtId="49" fontId="48" fillId="0" borderId="10" xfId="62" applyNumberFormat="1" applyFont="1" applyFill="1" applyBorder="1">
      <alignment/>
      <protection/>
    </xf>
    <xf numFmtId="49" fontId="47" fillId="0" borderId="10" xfId="62" applyNumberFormat="1" applyFont="1" applyFill="1" applyBorder="1" applyAlignment="1">
      <alignment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38" fillId="0" borderId="0" xfId="62" applyFont="1">
      <alignment/>
      <protection/>
    </xf>
    <xf numFmtId="49" fontId="38" fillId="0" borderId="22" xfId="62" applyNumberFormat="1" applyFont="1" applyBorder="1">
      <alignment/>
      <protection/>
    </xf>
    <xf numFmtId="49" fontId="10" fillId="0" borderId="23" xfId="62" applyNumberFormat="1" applyFont="1" applyBorder="1">
      <alignment/>
      <protection/>
    </xf>
    <xf numFmtId="0" fontId="10" fillId="0" borderId="10" xfId="62" applyFont="1" applyBorder="1" applyAlignment="1">
      <alignment horizontal="center" vertical="center"/>
      <protection/>
    </xf>
    <xf numFmtId="0" fontId="38" fillId="0" borderId="0" xfId="62" applyFont="1" applyAlignment="1">
      <alignment horizontal="center" vertical="center"/>
      <protection/>
    </xf>
    <xf numFmtId="49" fontId="10" fillId="0" borderId="20" xfId="62" applyNumberFormat="1" applyFont="1" applyBorder="1" applyAlignment="1">
      <alignment horizontal="center" vertical="center"/>
      <protection/>
    </xf>
    <xf numFmtId="49" fontId="31" fillId="0" borderId="10" xfId="63" applyNumberFormat="1" applyFont="1" applyFill="1" applyBorder="1" applyAlignment="1">
      <alignment horizontal="center" vertical="center"/>
      <protection/>
    </xf>
    <xf numFmtId="43" fontId="31" fillId="0" borderId="10" xfId="63" applyNumberFormat="1" applyFont="1" applyFill="1" applyBorder="1" applyAlignment="1" applyProtection="1">
      <alignment horizontal="center" vertical="center"/>
      <protection locked="0"/>
    </xf>
    <xf numFmtId="1" fontId="31" fillId="0" borderId="10" xfId="63" applyNumberFormat="1" applyFont="1" applyFill="1" applyBorder="1" applyAlignment="1" applyProtection="1">
      <alignment horizontal="center" vertical="center"/>
      <protection locked="0"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43" fontId="5" fillId="0" borderId="10" xfId="62" applyNumberFormat="1" applyFont="1" applyFill="1" applyBorder="1" applyAlignment="1">
      <alignment horizontal="center" vertical="center"/>
      <protection/>
    </xf>
    <xf numFmtId="43" fontId="7" fillId="0" borderId="0" xfId="63" applyNumberFormat="1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72" fillId="0" borderId="0" xfId="54" applyFont="1">
      <alignment/>
      <protection/>
    </xf>
    <xf numFmtId="0" fontId="39" fillId="0" borderId="0" xfId="63" applyFont="1" applyFill="1" applyBorder="1">
      <alignment/>
      <protection/>
    </xf>
    <xf numFmtId="0" fontId="7" fillId="0" borderId="0" xfId="63" applyFont="1" applyFill="1" applyBorder="1" applyAlignment="1">
      <alignment/>
      <protection/>
    </xf>
    <xf numFmtId="49" fontId="51" fillId="0" borderId="0" xfId="54" applyNumberFormat="1" applyFont="1" applyAlignment="1">
      <alignment horizontal="right"/>
      <protection/>
    </xf>
    <xf numFmtId="0" fontId="73" fillId="0" borderId="10" xfId="0" applyFont="1" applyFill="1" applyBorder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center" wrapText="1"/>
    </xf>
    <xf numFmtId="2" fontId="74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" fillId="0" borderId="0" xfId="65" applyFont="1">
      <alignment/>
      <protection/>
    </xf>
    <xf numFmtId="0" fontId="31" fillId="0" borderId="24" xfId="65" applyFont="1" applyBorder="1" applyAlignment="1">
      <alignment horizontal="center"/>
      <protection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0" fontId="31" fillId="0" borderId="10" xfId="65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2" fontId="31" fillId="0" borderId="10" xfId="65" applyNumberFormat="1" applyFont="1" applyBorder="1" applyAlignment="1">
      <alignment horizontal="center" vertical="center" wrapText="1"/>
      <protection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65" applyFont="1" applyBorder="1" applyAlignment="1">
      <alignment wrapText="1"/>
      <protection/>
    </xf>
    <xf numFmtId="49" fontId="31" fillId="0" borderId="10" xfId="65" applyNumberFormat="1" applyFont="1" applyBorder="1" applyAlignment="1">
      <alignment horizontal="center"/>
      <protection/>
    </xf>
    <xf numFmtId="2" fontId="31" fillId="0" borderId="10" xfId="65" applyNumberFormat="1" applyFont="1" applyBorder="1">
      <alignment/>
      <protection/>
    </xf>
    <xf numFmtId="2" fontId="31" fillId="0" borderId="10" xfId="65" applyNumberFormat="1" applyFont="1" applyBorder="1" applyAlignment="1">
      <alignment horizontal="center"/>
      <protection/>
    </xf>
    <xf numFmtId="0" fontId="7" fillId="0" borderId="10" xfId="65" applyFont="1" applyBorder="1" applyAlignment="1">
      <alignment wrapText="1"/>
      <protection/>
    </xf>
    <xf numFmtId="49" fontId="7" fillId="0" borderId="10" xfId="65" applyNumberFormat="1" applyFont="1" applyBorder="1" applyAlignment="1">
      <alignment horizontal="center"/>
      <protection/>
    </xf>
    <xf numFmtId="0" fontId="7" fillId="0" borderId="10" xfId="65" applyFont="1" applyFill="1" applyBorder="1" applyAlignment="1">
      <alignment horizontal="left" wrapText="1"/>
      <protection/>
    </xf>
    <xf numFmtId="0" fontId="31" fillId="0" borderId="0" xfId="65" applyFont="1">
      <alignment/>
      <protection/>
    </xf>
    <xf numFmtId="0" fontId="7" fillId="0" borderId="10" xfId="56" applyFont="1" applyFill="1" applyBorder="1" applyAlignment="1">
      <alignment horizontal="justify" vertical="top" wrapText="1" shrinkToFit="1"/>
      <protection/>
    </xf>
    <xf numFmtId="2" fontId="7" fillId="0" borderId="0" xfId="65" applyNumberFormat="1" applyFont="1">
      <alignment/>
      <protection/>
    </xf>
    <xf numFmtId="188" fontId="7" fillId="0" borderId="0" xfId="65" applyNumberFormat="1" applyFont="1">
      <alignment/>
      <protection/>
    </xf>
    <xf numFmtId="2" fontId="31" fillId="0" borderId="10" xfId="0" applyNumberFormat="1" applyFont="1" applyBorder="1" applyAlignment="1">
      <alignment wrapText="1"/>
    </xf>
    <xf numFmtId="0" fontId="7" fillId="0" borderId="10" xfId="65" applyFont="1" applyBorder="1" applyAlignment="1">
      <alignment/>
      <protection/>
    </xf>
    <xf numFmtId="2" fontId="7" fillId="0" borderId="10" xfId="65" applyNumberFormat="1" applyFont="1" applyBorder="1" applyAlignment="1">
      <alignment/>
      <protection/>
    </xf>
    <xf numFmtId="0" fontId="31" fillId="0" borderId="10" xfId="65" applyFont="1" applyBorder="1" applyAlignment="1">
      <alignment/>
      <protection/>
    </xf>
    <xf numFmtId="2" fontId="31" fillId="0" borderId="10" xfId="65" applyNumberFormat="1" applyFont="1" applyBorder="1" applyAlignment="1">
      <alignment/>
      <protection/>
    </xf>
    <xf numFmtId="2" fontId="7" fillId="0" borderId="10" xfId="0" applyNumberFormat="1" applyFont="1" applyBorder="1" applyAlignment="1">
      <alignment wrapText="1"/>
    </xf>
    <xf numFmtId="0" fontId="5" fillId="0" borderId="0" xfId="66" applyFont="1" applyAlignment="1">
      <alignment horizontal="center"/>
      <protection/>
    </xf>
    <xf numFmtId="0" fontId="2" fillId="0" borderId="0" xfId="66" applyFont="1" applyAlignment="1">
      <alignment horizontal="left" wrapText="1"/>
      <protection/>
    </xf>
    <xf numFmtId="0" fontId="0" fillId="0" borderId="0" xfId="55">
      <alignment/>
      <protection/>
    </xf>
    <xf numFmtId="0" fontId="6" fillId="0" borderId="0" xfId="66" applyFont="1" applyAlignment="1">
      <alignment horizontal="left" vertical="top" wrapText="1"/>
      <protection/>
    </xf>
    <xf numFmtId="0" fontId="4" fillId="0" borderId="0" xfId="55" applyFont="1">
      <alignment/>
      <protection/>
    </xf>
    <xf numFmtId="2" fontId="30" fillId="0" borderId="10" xfId="55" applyNumberFormat="1" applyFont="1" applyFill="1" applyBorder="1" applyAlignment="1">
      <alignment horizontal="center" wrapText="1"/>
      <protection/>
    </xf>
    <xf numFmtId="2" fontId="9" fillId="0" borderId="10" xfId="55" applyNumberFormat="1" applyFont="1" applyFill="1" applyBorder="1" applyAlignment="1">
      <alignment horizontal="center" wrapText="1"/>
      <protection/>
    </xf>
    <xf numFmtId="2" fontId="0" fillId="0" borderId="11" xfId="55" applyNumberFormat="1" applyFont="1" applyFill="1" applyBorder="1">
      <alignment/>
      <protection/>
    </xf>
    <xf numFmtId="0" fontId="0" fillId="0" borderId="0" xfId="55" applyFont="1" applyFill="1">
      <alignment/>
      <protection/>
    </xf>
    <xf numFmtId="2" fontId="30" fillId="0" borderId="25" xfId="55" applyNumberFormat="1" applyFont="1" applyFill="1" applyBorder="1" applyAlignment="1">
      <alignment horizontal="center" wrapText="1"/>
      <protection/>
    </xf>
    <xf numFmtId="2" fontId="30" fillId="0" borderId="12" xfId="55" applyNumberFormat="1" applyFont="1" applyFill="1" applyBorder="1" applyAlignment="1">
      <alignment horizontal="center" wrapText="1"/>
      <protection/>
    </xf>
    <xf numFmtId="0" fontId="0" fillId="0" borderId="0" xfId="55" applyFill="1">
      <alignment/>
      <protection/>
    </xf>
    <xf numFmtId="0" fontId="10" fillId="0" borderId="10" xfId="55" applyFont="1" applyBorder="1" applyAlignment="1">
      <alignment vertical="top" wrapText="1"/>
      <protection/>
    </xf>
    <xf numFmtId="2" fontId="31" fillId="0" borderId="10" xfId="55" applyNumberFormat="1" applyFont="1" applyBorder="1" applyAlignment="1">
      <alignment horizontal="center" wrapText="1"/>
      <protection/>
    </xf>
    <xf numFmtId="2" fontId="10" fillId="0" borderId="10" xfId="55" applyNumberFormat="1" applyFont="1" applyBorder="1" applyAlignment="1">
      <alignment horizontal="center" wrapText="1"/>
      <protection/>
    </xf>
    <xf numFmtId="0" fontId="9" fillId="0" borderId="10" xfId="55" applyFont="1" applyBorder="1" applyAlignment="1">
      <alignment vertical="top" wrapText="1"/>
      <protection/>
    </xf>
    <xf numFmtId="2" fontId="30" fillId="0" borderId="10" xfId="55" applyNumberFormat="1" applyFont="1" applyBorder="1" applyAlignment="1">
      <alignment horizontal="center" wrapText="1"/>
      <protection/>
    </xf>
    <xf numFmtId="2" fontId="9" fillId="0" borderId="10" xfId="55" applyNumberFormat="1" applyFont="1" applyBorder="1" applyAlignment="1">
      <alignment horizontal="center" wrapText="1"/>
      <protection/>
    </xf>
    <xf numFmtId="2" fontId="33" fillId="0" borderId="21" xfId="55" applyNumberFormat="1" applyFont="1" applyBorder="1" applyAlignment="1">
      <alignment horizontal="center" wrapText="1"/>
      <protection/>
    </xf>
    <xf numFmtId="0" fontId="34" fillId="0" borderId="0" xfId="55" applyFont="1">
      <alignment/>
      <protection/>
    </xf>
    <xf numFmtId="2" fontId="31" fillId="0" borderId="10" xfId="55" applyNumberFormat="1" applyFont="1" applyFill="1" applyBorder="1" applyAlignment="1">
      <alignment horizontal="center" wrapText="1"/>
      <protection/>
    </xf>
    <xf numFmtId="0" fontId="9" fillId="0" borderId="10" xfId="55" applyFont="1" applyFill="1" applyBorder="1" applyAlignment="1">
      <alignment vertical="top" wrapText="1"/>
      <protection/>
    </xf>
    <xf numFmtId="2" fontId="0" fillId="0" borderId="21" xfId="55" applyNumberFormat="1" applyFill="1" applyBorder="1">
      <alignment/>
      <protection/>
    </xf>
    <xf numFmtId="0" fontId="10" fillId="0" borderId="10" xfId="55" applyFont="1" applyBorder="1" applyAlignment="1">
      <alignment wrapText="1"/>
      <protection/>
    </xf>
    <xf numFmtId="2" fontId="0" fillId="0" borderId="12" xfId="55" applyNumberFormat="1" applyBorder="1">
      <alignment/>
      <protection/>
    </xf>
    <xf numFmtId="2" fontId="30" fillId="0" borderId="26" xfId="55" applyNumberFormat="1" applyFont="1" applyBorder="1" applyAlignment="1">
      <alignment horizontal="center" wrapText="1"/>
      <protection/>
    </xf>
    <xf numFmtId="2" fontId="0" fillId="0" borderId="0" xfId="55" applyNumberFormat="1" applyBorder="1">
      <alignment/>
      <protection/>
    </xf>
    <xf numFmtId="2" fontId="0" fillId="0" borderId="21" xfId="55" applyNumberFormat="1" applyBorder="1">
      <alignment/>
      <protection/>
    </xf>
    <xf numFmtId="2" fontId="31" fillId="0" borderId="25" xfId="55" applyNumberFormat="1" applyFont="1" applyBorder="1" applyAlignment="1">
      <alignment horizontal="center" wrapText="1"/>
      <protection/>
    </xf>
    <xf numFmtId="2" fontId="7" fillId="0" borderId="25" xfId="55" applyNumberFormat="1" applyFont="1" applyBorder="1" applyAlignment="1">
      <alignment horizontal="center" wrapText="1"/>
      <protection/>
    </xf>
    <xf numFmtId="2" fontId="7" fillId="0" borderId="10" xfId="55" applyNumberFormat="1" applyFont="1" applyBorder="1" applyAlignment="1">
      <alignment horizontal="center" wrapText="1"/>
      <protection/>
    </xf>
    <xf numFmtId="180" fontId="0" fillId="0" borderId="0" xfId="55" applyNumberFormat="1">
      <alignment/>
      <protection/>
    </xf>
    <xf numFmtId="180" fontId="4" fillId="0" borderId="0" xfId="55" applyNumberFormat="1" applyFont="1">
      <alignment/>
      <protection/>
    </xf>
    <xf numFmtId="188" fontId="0" fillId="0" borderId="0" xfId="55" applyNumberFormat="1">
      <alignment/>
      <protection/>
    </xf>
    <xf numFmtId="0" fontId="76" fillId="0" borderId="0" xfId="0" applyFont="1" applyFill="1" applyBorder="1" applyAlignment="1">
      <alignment/>
    </xf>
    <xf numFmtId="43" fontId="0" fillId="0" borderId="10" xfId="79" applyNumberFormat="1" applyFont="1" applyFill="1" applyBorder="1" applyAlignment="1">
      <alignment/>
    </xf>
    <xf numFmtId="43" fontId="76" fillId="0" borderId="0" xfId="0" applyNumberFormat="1" applyFont="1" applyFill="1" applyBorder="1" applyAlignment="1">
      <alignment/>
    </xf>
    <xf numFmtId="43" fontId="77" fillId="0" borderId="0" xfId="0" applyNumberFormat="1" applyFont="1" applyFill="1" applyBorder="1" applyAlignment="1">
      <alignment/>
    </xf>
    <xf numFmtId="43" fontId="31" fillId="0" borderId="0" xfId="0" applyNumberFormat="1" applyFont="1" applyFill="1" applyBorder="1" applyAlignment="1">
      <alignment/>
    </xf>
    <xf numFmtId="43" fontId="78" fillId="0" borderId="10" xfId="58" applyNumberFormat="1" applyFont="1" applyFill="1" applyBorder="1" applyAlignment="1">
      <alignment wrapText="1"/>
      <protection/>
    </xf>
    <xf numFmtId="43" fontId="6" fillId="0" borderId="10" xfId="0" applyNumberFormat="1" applyFont="1" applyFill="1" applyBorder="1" applyAlignment="1">
      <alignment/>
    </xf>
    <xf numFmtId="43" fontId="71" fillId="0" borderId="10" xfId="59" applyNumberFormat="1" applyFont="1" applyFill="1" applyBorder="1" applyAlignment="1">
      <alignment/>
      <protection/>
    </xf>
    <xf numFmtId="43" fontId="0" fillId="0" borderId="10" xfId="0" applyNumberFormat="1" applyFont="1" applyFill="1" applyBorder="1" applyAlignment="1">
      <alignment/>
    </xf>
    <xf numFmtId="43" fontId="39" fillId="0" borderId="10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3" fontId="79" fillId="0" borderId="0" xfId="0" applyNumberFormat="1" applyFont="1" applyFill="1" applyAlignment="1">
      <alignment/>
    </xf>
    <xf numFmtId="43" fontId="80" fillId="0" borderId="10" xfId="0" applyNumberFormat="1" applyFont="1" applyFill="1" applyBorder="1" applyAlignment="1">
      <alignment/>
    </xf>
    <xf numFmtId="43" fontId="79" fillId="0" borderId="10" xfId="0" applyNumberFormat="1" applyFont="1" applyFill="1" applyBorder="1" applyAlignment="1">
      <alignment/>
    </xf>
    <xf numFmtId="0" fontId="38" fillId="0" borderId="0" xfId="56" applyFont="1">
      <alignment/>
      <protection/>
    </xf>
    <xf numFmtId="0" fontId="53" fillId="0" borderId="0" xfId="56" applyFont="1">
      <alignment/>
      <protection/>
    </xf>
    <xf numFmtId="49" fontId="38" fillId="0" borderId="0" xfId="56" applyNumberFormat="1" applyFont="1" applyAlignment="1">
      <alignment horizontal="left"/>
      <protection/>
    </xf>
    <xf numFmtId="0" fontId="2" fillId="0" borderId="0" xfId="56">
      <alignment/>
      <protection/>
    </xf>
    <xf numFmtId="49" fontId="51" fillId="0" borderId="0" xfId="56" applyNumberFormat="1" applyFont="1" applyAlignment="1">
      <alignment horizontal="right"/>
      <protection/>
    </xf>
    <xf numFmtId="49" fontId="38" fillId="0" borderId="0" xfId="56" applyNumberFormat="1" applyFont="1" applyAlignment="1">
      <alignment horizontal="right"/>
      <protection/>
    </xf>
    <xf numFmtId="0" fontId="38" fillId="0" borderId="0" xfId="56" applyFont="1" applyBorder="1" applyAlignment="1">
      <alignment horizontal="right"/>
      <protection/>
    </xf>
    <xf numFmtId="0" fontId="47" fillId="0" borderId="10" xfId="56" applyFont="1" applyFill="1" applyBorder="1" applyAlignment="1">
      <alignment horizontal="center" wrapText="1"/>
      <protection/>
    </xf>
    <xf numFmtId="49" fontId="47" fillId="0" borderId="10" xfId="56" applyNumberFormat="1" applyFont="1" applyBorder="1" applyAlignment="1">
      <alignment horizontal="center" wrapText="1"/>
      <protection/>
    </xf>
    <xf numFmtId="0" fontId="47" fillId="0" borderId="10" xfId="56" applyFont="1" applyBorder="1" applyAlignment="1">
      <alignment horizontal="center" wrapText="1"/>
      <protection/>
    </xf>
    <xf numFmtId="0" fontId="47" fillId="0" borderId="10" xfId="56" applyFont="1" applyBorder="1" applyAlignment="1">
      <alignment horizontal="center" vertical="top" wrapText="1"/>
      <protection/>
    </xf>
    <xf numFmtId="0" fontId="47" fillId="0" borderId="10" xfId="56" applyFont="1" applyFill="1" applyBorder="1" applyAlignment="1">
      <alignment horizontal="center" vertical="center" wrapText="1"/>
      <protection/>
    </xf>
    <xf numFmtId="49" fontId="38" fillId="0" borderId="10" xfId="56" applyNumberFormat="1" applyFont="1" applyBorder="1" applyAlignment="1">
      <alignment horizontal="right"/>
      <protection/>
    </xf>
    <xf numFmtId="43" fontId="38" fillId="0" borderId="10" xfId="56" applyNumberFormat="1" applyFont="1" applyBorder="1">
      <alignment/>
      <protection/>
    </xf>
    <xf numFmtId="182" fontId="38" fillId="0" borderId="10" xfId="56" applyNumberFormat="1" applyFont="1" applyBorder="1" applyAlignment="1">
      <alignment wrapText="1"/>
      <protection/>
    </xf>
    <xf numFmtId="43" fontId="38" fillId="0" borderId="10" xfId="56" applyNumberFormat="1" applyFont="1" applyFill="1" applyBorder="1" applyAlignment="1">
      <alignment horizontal="center" wrapText="1"/>
      <protection/>
    </xf>
    <xf numFmtId="2" fontId="2" fillId="0" borderId="10" xfId="56" applyNumberFormat="1" applyBorder="1">
      <alignment/>
      <protection/>
    </xf>
    <xf numFmtId="43" fontId="38" fillId="0" borderId="10" xfId="82" applyNumberFormat="1" applyFont="1" applyFill="1" applyBorder="1" applyAlignment="1">
      <alignment/>
    </xf>
    <xf numFmtId="43" fontId="38" fillId="0" borderId="10" xfId="56" applyNumberFormat="1" applyFont="1" applyFill="1" applyBorder="1">
      <alignment/>
      <protection/>
    </xf>
    <xf numFmtId="0" fontId="2" fillId="0" borderId="0" xfId="56" applyFill="1">
      <alignment/>
      <protection/>
    </xf>
    <xf numFmtId="49" fontId="10" fillId="0" borderId="10" xfId="56" applyNumberFormat="1" applyFont="1" applyBorder="1" applyAlignment="1">
      <alignment horizontal="right"/>
      <protection/>
    </xf>
    <xf numFmtId="43" fontId="10" fillId="0" borderId="10" xfId="56" applyNumberFormat="1" applyFont="1" applyBorder="1">
      <alignment/>
      <protection/>
    </xf>
    <xf numFmtId="182" fontId="10" fillId="0" borderId="10" xfId="56" applyNumberFormat="1" applyFont="1" applyBorder="1" applyAlignment="1">
      <alignment wrapText="1"/>
      <protection/>
    </xf>
    <xf numFmtId="182" fontId="10" fillId="0" borderId="10" xfId="56" applyNumberFormat="1" applyFont="1" applyFill="1" applyBorder="1" applyAlignment="1">
      <alignment horizontal="center" wrapText="1"/>
      <protection/>
    </xf>
    <xf numFmtId="43" fontId="10" fillId="0" borderId="10" xfId="56" applyNumberFormat="1" applyFont="1" applyFill="1" applyBorder="1" applyAlignment="1">
      <alignment horizontal="center" wrapText="1"/>
      <protection/>
    </xf>
    <xf numFmtId="0" fontId="5" fillId="0" borderId="0" xfId="56" applyFont="1">
      <alignment/>
      <protection/>
    </xf>
    <xf numFmtId="43" fontId="10" fillId="0" borderId="10" xfId="56" applyNumberFormat="1" applyFont="1" applyBorder="1" applyAlignment="1">
      <alignment horizontal="right"/>
      <protection/>
    </xf>
    <xf numFmtId="43" fontId="10" fillId="0" borderId="10" xfId="56" applyNumberFormat="1" applyFont="1" applyFill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/>
      <protection/>
    </xf>
    <xf numFmtId="182" fontId="10" fillId="0" borderId="10" xfId="56" applyNumberFormat="1" applyFont="1" applyBorder="1" applyAlignment="1">
      <alignment horizontal="center"/>
      <protection/>
    </xf>
    <xf numFmtId="43" fontId="10" fillId="0" borderId="10" xfId="56" applyNumberFormat="1" applyFont="1" applyBorder="1" applyAlignment="1">
      <alignment horizontal="center" vertical="center"/>
      <protection/>
    </xf>
    <xf numFmtId="0" fontId="31" fillId="0" borderId="0" xfId="56" applyFont="1" applyAlignment="1">
      <alignment horizontal="center"/>
      <protection/>
    </xf>
    <xf numFmtId="0" fontId="2" fillId="0" borderId="0" xfId="56" applyAlignment="1">
      <alignment vertical="center"/>
      <protection/>
    </xf>
    <xf numFmtId="0" fontId="55" fillId="0" borderId="0" xfId="56" applyFont="1" applyAlignment="1">
      <alignment vertical="center"/>
      <protection/>
    </xf>
    <xf numFmtId="182" fontId="2" fillId="0" borderId="0" xfId="56" applyNumberFormat="1">
      <alignment/>
      <protection/>
    </xf>
    <xf numFmtId="0" fontId="55" fillId="0" borderId="0" xfId="56" applyFont="1">
      <alignment/>
      <protection/>
    </xf>
    <xf numFmtId="49" fontId="51" fillId="0" borderId="0" xfId="54" applyNumberFormat="1" applyFont="1" applyFill="1" applyAlignment="1">
      <alignment horizontal="right"/>
      <protection/>
    </xf>
    <xf numFmtId="0" fontId="5" fillId="0" borderId="10" xfId="0" applyFont="1" applyFill="1" applyBorder="1" applyAlignment="1">
      <alignment horizontal="center" vertical="center" wrapText="1"/>
    </xf>
    <xf numFmtId="43" fontId="0" fillId="0" borderId="10" xfId="79" applyNumberFormat="1" applyFont="1" applyFill="1" applyBorder="1" applyAlignment="1">
      <alignment/>
    </xf>
    <xf numFmtId="43" fontId="5" fillId="0" borderId="10" xfId="79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43" fontId="0" fillId="0" borderId="10" xfId="79" applyNumberFormat="1" applyFont="1" applyFill="1" applyBorder="1" applyAlignment="1">
      <alignment/>
    </xf>
    <xf numFmtId="43" fontId="4" fillId="0" borderId="10" xfId="79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0" fontId="39" fillId="0" borderId="10" xfId="56" applyFont="1" applyBorder="1" applyAlignment="1">
      <alignment horizontal="justify" vertical="center"/>
      <protection/>
    </xf>
    <xf numFmtId="0" fontId="39" fillId="0" borderId="10" xfId="56" applyFont="1" applyBorder="1" applyAlignment="1">
      <alignment horizontal="justify" vertical="center" wrapText="1"/>
      <protection/>
    </xf>
    <xf numFmtId="0" fontId="39" fillId="0" borderId="10" xfId="56" applyFont="1" applyFill="1" applyBorder="1" applyAlignment="1">
      <alignment horizontal="justify" vertical="center" wrapText="1"/>
      <protection/>
    </xf>
    <xf numFmtId="0" fontId="39" fillId="25" borderId="10" xfId="56" applyFont="1" applyFill="1" applyBorder="1" applyAlignment="1">
      <alignment horizontal="justify" vertical="center" wrapText="1"/>
      <protection/>
    </xf>
    <xf numFmtId="0" fontId="39" fillId="0" borderId="10" xfId="56" applyFont="1" applyFill="1" applyBorder="1" applyAlignment="1">
      <alignment horizontal="justify" vertical="top" wrapText="1" shrinkToFit="1"/>
      <protection/>
    </xf>
    <xf numFmtId="43" fontId="10" fillId="0" borderId="10" xfId="56" applyNumberFormat="1" applyFont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7" fillId="0" borderId="14" xfId="63" applyFill="1" applyBorder="1" applyAlignment="1">
      <alignment horizontal="center"/>
      <protection/>
    </xf>
    <xf numFmtId="0" fontId="7" fillId="0" borderId="15" xfId="63" applyFill="1" applyBorder="1" applyAlignment="1">
      <alignment horizontal="center"/>
      <protection/>
    </xf>
    <xf numFmtId="43" fontId="7" fillId="0" borderId="10" xfId="63" applyNumberFormat="1" applyFill="1" applyBorder="1" applyAlignment="1">
      <alignment horizontal="center"/>
      <protection/>
    </xf>
    <xf numFmtId="182" fontId="46" fillId="0" borderId="10" xfId="63" applyNumberFormat="1" applyFont="1" applyFill="1" applyBorder="1" applyAlignment="1">
      <alignment horizontal="center"/>
      <protection/>
    </xf>
    <xf numFmtId="43" fontId="46" fillId="0" borderId="0" xfId="63" applyNumberFormat="1" applyFont="1" applyFill="1" applyBorder="1" applyAlignment="1">
      <alignment horizontal="center"/>
      <protection/>
    </xf>
    <xf numFmtId="0" fontId="7" fillId="0" borderId="0" xfId="63" applyFill="1" applyBorder="1" applyAlignment="1">
      <alignment horizontal="center"/>
      <protection/>
    </xf>
    <xf numFmtId="0" fontId="7" fillId="0" borderId="16" xfId="63" applyFill="1" applyBorder="1" applyAlignment="1">
      <alignment horizontal="center"/>
      <protection/>
    </xf>
    <xf numFmtId="0" fontId="7" fillId="0" borderId="0" xfId="63" applyFill="1" applyAlignment="1">
      <alignment horizontal="center"/>
      <protection/>
    </xf>
    <xf numFmtId="49" fontId="7" fillId="0" borderId="10" xfId="63" applyNumberFormat="1" applyFont="1" applyFill="1" applyBorder="1" applyAlignment="1">
      <alignment horizontal="center"/>
      <protection/>
    </xf>
    <xf numFmtId="49" fontId="46" fillId="0" borderId="10" xfId="63" applyNumberFormat="1" applyFont="1" applyFill="1" applyBorder="1" applyAlignment="1" applyProtection="1">
      <alignment horizontal="center" wrapText="1"/>
      <protection locked="0"/>
    </xf>
    <xf numFmtId="43" fontId="7" fillId="0" borderId="10" xfId="84" applyNumberFormat="1" applyFont="1" applyFill="1" applyBorder="1" applyAlignment="1" applyProtection="1">
      <alignment horizontal="center" wrapText="1"/>
      <protection locked="0"/>
    </xf>
    <xf numFmtId="49" fontId="0" fillId="0" borderId="10" xfId="77" applyNumberFormat="1" applyFont="1" applyFill="1" applyBorder="1" applyAlignment="1">
      <alignment vertical="center" wrapText="1"/>
    </xf>
    <xf numFmtId="43" fontId="0" fillId="0" borderId="10" xfId="0" applyNumberFormat="1" applyFill="1" applyBorder="1" applyAlignment="1">
      <alignment wrapText="1"/>
    </xf>
    <xf numFmtId="43" fontId="79" fillId="0" borderId="10" xfId="0" applyNumberFormat="1" applyFont="1" applyFill="1" applyBorder="1" applyAlignment="1">
      <alignment wrapText="1"/>
    </xf>
    <xf numFmtId="43" fontId="0" fillId="0" borderId="10" xfId="59" applyNumberFormat="1" applyFill="1" applyBorder="1" applyAlignment="1">
      <alignment/>
      <protection/>
    </xf>
    <xf numFmtId="43" fontId="5" fillId="0" borderId="10" xfId="0" applyNumberFormat="1" applyFont="1" applyFill="1" applyBorder="1" applyAlignment="1">
      <alignment wrapText="1"/>
    </xf>
    <xf numFmtId="43" fontId="5" fillId="0" borderId="10" xfId="0" applyNumberFormat="1" applyFont="1" applyFill="1" applyBorder="1" applyAlignment="1">
      <alignment horizontal="right" wrapText="1"/>
    </xf>
    <xf numFmtId="43" fontId="81" fillId="0" borderId="10" xfId="59" applyNumberFormat="1" applyFont="1" applyFill="1" applyBorder="1" applyAlignment="1">
      <alignment/>
      <protection/>
    </xf>
    <xf numFmtId="0" fontId="72" fillId="0" borderId="0" xfId="54" applyFont="1" applyFill="1">
      <alignment/>
      <protection/>
    </xf>
    <xf numFmtId="43" fontId="0" fillId="0" borderId="10" xfId="0" applyNumberFormat="1" applyFont="1" applyFill="1" applyBorder="1" applyAlignment="1">
      <alignment wrapText="1"/>
    </xf>
    <xf numFmtId="43" fontId="0" fillId="0" borderId="25" xfId="0" applyNumberFormat="1" applyFill="1" applyBorder="1" applyAlignment="1">
      <alignment/>
    </xf>
    <xf numFmtId="43" fontId="76" fillId="0" borderId="0" xfId="79" applyNumberFormat="1" applyFont="1" applyFill="1" applyBorder="1" applyAlignment="1">
      <alignment/>
    </xf>
    <xf numFmtId="43" fontId="71" fillId="0" borderId="10" xfId="79" applyNumberFormat="1" applyFont="1" applyFill="1" applyBorder="1" applyAlignment="1">
      <alignment/>
    </xf>
    <xf numFmtId="43" fontId="5" fillId="0" borderId="2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3" fontId="80" fillId="0" borderId="10" xfId="0" applyNumberFormat="1" applyFont="1" applyFill="1" applyBorder="1" applyAlignment="1">
      <alignment wrapText="1"/>
    </xf>
    <xf numFmtId="43" fontId="78" fillId="0" borderId="10" xfId="59" applyNumberFormat="1" applyFont="1" applyFill="1" applyBorder="1" applyAlignment="1">
      <alignment/>
      <protection/>
    </xf>
    <xf numFmtId="0" fontId="82" fillId="0" borderId="27" xfId="0" applyFont="1" applyFill="1" applyBorder="1" applyAlignment="1">
      <alignment vertical="center" wrapText="1"/>
    </xf>
    <xf numFmtId="43" fontId="78" fillId="0" borderId="10" xfId="79" applyNumberFormat="1" applyFont="1" applyFill="1" applyBorder="1" applyAlignment="1">
      <alignment/>
    </xf>
    <xf numFmtId="43" fontId="78" fillId="0" borderId="10" xfId="79" applyNumberFormat="1" applyFont="1" applyFill="1" applyBorder="1" applyAlignment="1">
      <alignment/>
    </xf>
    <xf numFmtId="43" fontId="83" fillId="0" borderId="10" xfId="58" applyNumberFormat="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43" fontId="4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43" fontId="0" fillId="0" borderId="10" xfId="0" applyNumberFormat="1" applyFont="1" applyFill="1" applyBorder="1" applyAlignment="1">
      <alignment wrapText="1"/>
    </xf>
    <xf numFmtId="43" fontId="5" fillId="0" borderId="10" xfId="0" applyNumberFormat="1" applyFont="1" applyFill="1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43" fontId="79" fillId="0" borderId="0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0" fontId="2" fillId="0" borderId="0" xfId="61" applyFont="1" applyFill="1" applyBorder="1">
      <alignment/>
      <protection/>
    </xf>
    <xf numFmtId="0" fontId="2" fillId="0" borderId="0" xfId="61" applyFont="1" applyFill="1">
      <alignment/>
      <protection/>
    </xf>
    <xf numFmtId="0" fontId="42" fillId="0" borderId="0" xfId="0" applyFont="1" applyFill="1" applyAlignment="1">
      <alignment horizontal="center" vertical="center" wrapText="1"/>
    </xf>
    <xf numFmtId="0" fontId="2" fillId="0" borderId="0" xfId="61" applyFill="1" applyBorder="1">
      <alignment/>
      <protection/>
    </xf>
    <xf numFmtId="0" fontId="2" fillId="0" borderId="0" xfId="61" applyFill="1">
      <alignment/>
      <protection/>
    </xf>
    <xf numFmtId="0" fontId="43" fillId="0" borderId="0" xfId="61" applyFont="1" applyFill="1" applyBorder="1" applyAlignment="1">
      <alignment horizontal="center" vertical="top" wrapText="1"/>
      <protection/>
    </xf>
    <xf numFmtId="0" fontId="42" fillId="0" borderId="0" xfId="61" applyFont="1" applyFill="1" applyBorder="1" applyAlignment="1">
      <alignment horizontal="center" vertical="top" wrapText="1"/>
      <protection/>
    </xf>
    <xf numFmtId="0" fontId="42" fillId="0" borderId="0" xfId="61" applyFont="1" applyFill="1" applyBorder="1" applyAlignment="1">
      <alignment horizontal="left" vertical="top" wrapText="1"/>
      <protection/>
    </xf>
    <xf numFmtId="49" fontId="42" fillId="0" borderId="0" xfId="61" applyNumberFormat="1" applyFont="1" applyFill="1" applyBorder="1" applyAlignment="1">
      <alignment horizontal="center" vertical="top" wrapText="1"/>
      <protection/>
    </xf>
    <xf numFmtId="181" fontId="0" fillId="0" borderId="10" xfId="0" applyNumberFormat="1" applyFill="1" applyBorder="1" applyAlignment="1">
      <alignment/>
    </xf>
    <xf numFmtId="0" fontId="74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justify" vertical="center" wrapText="1"/>
    </xf>
    <xf numFmtId="0" fontId="75" fillId="0" borderId="0" xfId="0" applyFont="1" applyFill="1" applyAlignment="1">
      <alignment vertical="center" wrapText="1"/>
    </xf>
    <xf numFmtId="2" fontId="74" fillId="0" borderId="10" xfId="0" applyNumberFormat="1" applyFont="1" applyFill="1" applyBorder="1" applyAlignment="1">
      <alignment vertical="top" wrapText="1"/>
    </xf>
    <xf numFmtId="0" fontId="84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43" fontId="79" fillId="0" borderId="10" xfId="0" applyNumberFormat="1" applyFont="1" applyFill="1" applyBorder="1" applyAlignment="1">
      <alignment wrapText="1"/>
    </xf>
    <xf numFmtId="0" fontId="75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40" fillId="0" borderId="0" xfId="62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wrapText="1"/>
    </xf>
    <xf numFmtId="0" fontId="7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10" xfId="62" applyFont="1" applyBorder="1" applyAlignment="1">
      <alignment horizontal="center" vertical="center"/>
      <protection/>
    </xf>
    <xf numFmtId="0" fontId="38" fillId="0" borderId="10" xfId="0" applyFont="1" applyBorder="1" applyAlignment="1">
      <alignment horizontal="center" vertical="center"/>
    </xf>
    <xf numFmtId="1" fontId="10" fillId="0" borderId="28" xfId="62" applyNumberFormat="1" applyFont="1" applyBorder="1" applyAlignment="1">
      <alignment horizontal="center" vertical="center" wrapText="1"/>
      <protection/>
    </xf>
    <xf numFmtId="1" fontId="10" fillId="0" borderId="11" xfId="62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wrapText="1"/>
    </xf>
    <xf numFmtId="0" fontId="38" fillId="0" borderId="0" xfId="63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62" applyFont="1" applyFill="1" applyBorder="1" applyAlignment="1">
      <alignment horizontal="center" vertical="top" wrapText="1"/>
      <protection/>
    </xf>
    <xf numFmtId="0" fontId="7" fillId="0" borderId="0" xfId="0" applyFont="1" applyAlignment="1">
      <alignment horizontal="center" vertical="top" wrapText="1"/>
    </xf>
    <xf numFmtId="0" fontId="10" fillId="0" borderId="25" xfId="62" applyFont="1" applyBorder="1" applyAlignment="1">
      <alignment horizontal="center" vertical="center" wrapText="1"/>
      <protection/>
    </xf>
    <xf numFmtId="0" fontId="10" fillId="0" borderId="26" xfId="62" applyFont="1" applyBorder="1" applyAlignment="1">
      <alignment horizontal="center"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8" fillId="0" borderId="10" xfId="64" applyFont="1" applyBorder="1" applyAlignment="1">
      <alignment horizontal="center" vertical="center" wrapText="1"/>
      <protection/>
    </xf>
    <xf numFmtId="3" fontId="11" fillId="24" borderId="29" xfId="66" applyNumberFormat="1" applyFont="1" applyFill="1" applyBorder="1" applyAlignment="1">
      <alignment horizontal="center" vertical="center" wrapText="1"/>
      <protection/>
    </xf>
    <xf numFmtId="0" fontId="0" fillId="0" borderId="30" xfId="55" applyBorder="1" applyAlignment="1">
      <alignment horizontal="center" vertical="center" wrapText="1"/>
      <protection/>
    </xf>
    <xf numFmtId="0" fontId="0" fillId="0" borderId="31" xfId="55" applyBorder="1" applyAlignment="1">
      <alignment horizontal="center" vertical="center" wrapText="1"/>
      <protection/>
    </xf>
    <xf numFmtId="0" fontId="2" fillId="0" borderId="0" xfId="66" applyFont="1" applyAlignment="1">
      <alignment horizontal="left" wrapText="1"/>
      <protection/>
    </xf>
    <xf numFmtId="0" fontId="0" fillId="0" borderId="0" xfId="55" applyAlignment="1">
      <alignment/>
      <protection/>
    </xf>
    <xf numFmtId="188" fontId="52" fillId="0" borderId="0" xfId="55" applyNumberFormat="1" applyFont="1" applyAlignment="1">
      <alignment wrapText="1"/>
      <protection/>
    </xf>
    <xf numFmtId="188" fontId="0" fillId="0" borderId="0" xfId="55" applyNumberFormat="1" applyAlignment="1">
      <alignment wrapText="1"/>
      <protection/>
    </xf>
    <xf numFmtId="0" fontId="5" fillId="0" borderId="0" xfId="66" applyFont="1" applyAlignment="1">
      <alignment horizontal="center" wrapText="1"/>
      <protection/>
    </xf>
    <xf numFmtId="0" fontId="5" fillId="0" borderId="10" xfId="66" applyFont="1" applyBorder="1" applyAlignment="1">
      <alignment horizontal="left"/>
      <protection/>
    </xf>
    <xf numFmtId="179" fontId="38" fillId="0" borderId="0" xfId="77" applyFont="1" applyAlignment="1">
      <alignment horizontal="left" wrapText="1"/>
    </xf>
    <xf numFmtId="3" fontId="11" fillId="24" borderId="10" xfId="66" applyNumberFormat="1" applyFont="1" applyFill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3" fontId="11" fillId="24" borderId="25" xfId="66" applyNumberFormat="1" applyFont="1" applyFill="1" applyBorder="1" applyAlignment="1">
      <alignment horizontal="center" vertical="center" wrapText="1"/>
      <protection/>
    </xf>
    <xf numFmtId="3" fontId="11" fillId="24" borderId="26" xfId="66" applyNumberFormat="1" applyFont="1" applyFill="1" applyBorder="1" applyAlignment="1">
      <alignment horizontal="center" vertical="center" wrapText="1"/>
      <protection/>
    </xf>
    <xf numFmtId="3" fontId="11" fillId="24" borderId="28" xfId="66" applyNumberFormat="1" applyFont="1" applyFill="1" applyBorder="1" applyAlignment="1">
      <alignment horizontal="center" vertical="center" wrapText="1"/>
      <protection/>
    </xf>
    <xf numFmtId="3" fontId="11" fillId="24" borderId="11" xfId="66" applyNumberFormat="1" applyFont="1" applyFill="1" applyBorder="1" applyAlignment="1">
      <alignment horizontal="center" vertical="center" wrapText="1"/>
      <protection/>
    </xf>
    <xf numFmtId="3" fontId="11" fillId="24" borderId="21" xfId="66" applyNumberFormat="1" applyFont="1" applyFill="1" applyBorder="1" applyAlignment="1">
      <alignment horizontal="center" vertical="center" wrapText="1"/>
      <protection/>
    </xf>
    <xf numFmtId="0" fontId="4" fillId="0" borderId="32" xfId="55" applyFont="1" applyBorder="1" applyAlignment="1">
      <alignment horizontal="center" wrapText="1"/>
      <protection/>
    </xf>
    <xf numFmtId="0" fontId="4" fillId="0" borderId="33" xfId="55" applyFont="1" applyBorder="1" applyAlignment="1">
      <alignment horizontal="center" wrapText="1"/>
      <protection/>
    </xf>
    <xf numFmtId="3" fontId="11" fillId="24" borderId="34" xfId="66" applyNumberFormat="1" applyFont="1" applyFill="1" applyBorder="1" applyAlignment="1">
      <alignment horizontal="center" vertical="center" wrapText="1"/>
      <protection/>
    </xf>
    <xf numFmtId="3" fontId="11" fillId="24" borderId="30" xfId="66" applyNumberFormat="1" applyFont="1" applyFill="1" applyBorder="1" applyAlignment="1">
      <alignment horizontal="center" vertical="center" wrapText="1"/>
      <protection/>
    </xf>
    <xf numFmtId="3" fontId="11" fillId="24" borderId="31" xfId="66" applyNumberFormat="1" applyFont="1" applyFill="1" applyBorder="1" applyAlignment="1">
      <alignment horizontal="center" vertical="center" wrapText="1"/>
      <protection/>
    </xf>
    <xf numFmtId="0" fontId="4" fillId="0" borderId="35" xfId="55" applyFont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3" fontId="79" fillId="0" borderId="10" xfId="0" applyNumberFormat="1" applyFont="1" applyFill="1" applyBorder="1" applyAlignment="1">
      <alignment wrapText="1"/>
    </xf>
    <xf numFmtId="43" fontId="0" fillId="0" borderId="10" xfId="0" applyNumberFormat="1" applyFill="1" applyBorder="1" applyAlignment="1">
      <alignment wrapText="1"/>
    </xf>
    <xf numFmtId="43" fontId="0" fillId="0" borderId="10" xfId="0" applyNumberFormat="1" applyFont="1" applyFill="1" applyBorder="1" applyAlignment="1">
      <alignment vertical="center" wrapText="1"/>
    </xf>
    <xf numFmtId="43" fontId="0" fillId="0" borderId="10" xfId="0" applyNumberFormat="1" applyFill="1" applyBorder="1" applyAlignment="1">
      <alignment vertical="center" wrapText="1"/>
    </xf>
    <xf numFmtId="43" fontId="5" fillId="0" borderId="36" xfId="0" applyNumberFormat="1" applyFont="1" applyFill="1" applyBorder="1" applyAlignment="1">
      <alignment horizontal="center" vertical="center" wrapText="1"/>
    </xf>
    <xf numFmtId="43" fontId="5" fillId="0" borderId="24" xfId="0" applyNumberFormat="1" applyFont="1" applyFill="1" applyBorder="1" applyAlignment="1">
      <alignment horizontal="center" vertical="center" wrapText="1"/>
    </xf>
    <xf numFmtId="43" fontId="5" fillId="0" borderId="37" xfId="0" applyNumberFormat="1" applyFont="1" applyFill="1" applyBorder="1" applyAlignment="1">
      <alignment horizontal="center" vertical="center" wrapText="1"/>
    </xf>
    <xf numFmtId="43" fontId="4" fillId="0" borderId="28" xfId="0" applyNumberFormat="1" applyFont="1" applyFill="1" applyBorder="1" applyAlignment="1">
      <alignment horizontal="center" wrapText="1"/>
    </xf>
    <xf numFmtId="43" fontId="4" fillId="0" borderId="11" xfId="0" applyNumberFormat="1" applyFont="1" applyFill="1" applyBorder="1" applyAlignment="1">
      <alignment horizontal="center" wrapText="1"/>
    </xf>
    <xf numFmtId="43" fontId="4" fillId="0" borderId="21" xfId="0" applyNumberFormat="1" applyFont="1" applyFill="1" applyBorder="1" applyAlignment="1">
      <alignment horizontal="center" wrapText="1"/>
    </xf>
    <xf numFmtId="43" fontId="5" fillId="0" borderId="28" xfId="0" applyNumberFormat="1" applyFont="1" applyFill="1" applyBorder="1" applyAlignment="1">
      <alignment horizontal="center" wrapText="1"/>
    </xf>
    <xf numFmtId="43" fontId="5" fillId="0" borderId="11" xfId="0" applyNumberFormat="1" applyFont="1" applyFill="1" applyBorder="1" applyAlignment="1">
      <alignment horizontal="center" wrapText="1"/>
    </xf>
    <xf numFmtId="43" fontId="5" fillId="0" borderId="21" xfId="0" applyNumberFormat="1" applyFont="1" applyFill="1" applyBorder="1" applyAlignment="1">
      <alignment horizontal="center" wrapText="1"/>
    </xf>
    <xf numFmtId="43" fontId="5" fillId="0" borderId="38" xfId="0" applyNumberFormat="1" applyFont="1" applyFill="1" applyBorder="1" applyAlignment="1">
      <alignment horizontal="center" wrapText="1"/>
    </xf>
    <xf numFmtId="43" fontId="5" fillId="0" borderId="28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21" xfId="0" applyNumberFormat="1" applyFont="1" applyFill="1" applyBorder="1" applyAlignment="1">
      <alignment horizontal="center"/>
    </xf>
    <xf numFmtId="43" fontId="5" fillId="0" borderId="28" xfId="0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43" fontId="5" fillId="0" borderId="21" xfId="0" applyNumberFormat="1" applyFont="1" applyFill="1" applyBorder="1" applyAlignment="1">
      <alignment horizontal="center" vertical="center" wrapText="1"/>
    </xf>
    <xf numFmtId="49" fontId="31" fillId="0" borderId="10" xfId="65" applyNumberFormat="1" applyFont="1" applyBorder="1" applyAlignment="1">
      <alignment horizontal="center"/>
      <protection/>
    </xf>
    <xf numFmtId="0" fontId="5" fillId="0" borderId="0" xfId="65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31" fillId="0" borderId="0" xfId="65" applyFont="1" applyBorder="1" applyAlignment="1">
      <alignment horizontal="center" vertical="center" wrapText="1"/>
      <protection/>
    </xf>
    <xf numFmtId="0" fontId="7" fillId="0" borderId="0" xfId="65" applyFont="1" applyAlignment="1">
      <alignment vertical="center" wrapText="1"/>
      <protection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4" fillId="0" borderId="0" xfId="56" applyFont="1" applyAlignment="1">
      <alignment horizontal="center" wrapText="1"/>
      <protection/>
    </xf>
    <xf numFmtId="0" fontId="2" fillId="0" borderId="0" xfId="56" applyAlignment="1">
      <alignment wrapText="1"/>
      <protection/>
    </xf>
    <xf numFmtId="0" fontId="47" fillId="0" borderId="25" xfId="56" applyFont="1" applyBorder="1" applyAlignment="1">
      <alignment horizontal="center" vertical="center" wrapText="1"/>
      <protection/>
    </xf>
    <xf numFmtId="0" fontId="47" fillId="0" borderId="16" xfId="56" applyFont="1" applyBorder="1" applyAlignment="1">
      <alignment horizontal="center" wrapText="1"/>
      <protection/>
    </xf>
    <xf numFmtId="0" fontId="47" fillId="0" borderId="26" xfId="56" applyFont="1" applyBorder="1" applyAlignment="1">
      <alignment horizontal="center" wrapText="1"/>
      <protection/>
    </xf>
    <xf numFmtId="0" fontId="47" fillId="0" borderId="16" xfId="56" applyFont="1" applyBorder="1" applyAlignment="1">
      <alignment horizontal="center" vertical="center" wrapText="1"/>
      <protection/>
    </xf>
    <xf numFmtId="0" fontId="47" fillId="0" borderId="26" xfId="56" applyFont="1" applyBorder="1" applyAlignment="1">
      <alignment horizontal="center" vertical="center" wrapText="1"/>
      <protection/>
    </xf>
    <xf numFmtId="49" fontId="47" fillId="0" borderId="28" xfId="56" applyNumberFormat="1" applyFont="1" applyBorder="1" applyAlignment="1">
      <alignment horizontal="center" wrapText="1"/>
      <protection/>
    </xf>
    <xf numFmtId="49" fontId="47" fillId="0" borderId="11" xfId="56" applyNumberFormat="1" applyFont="1" applyBorder="1" applyAlignment="1">
      <alignment horizontal="center" wrapText="1"/>
      <protection/>
    </xf>
    <xf numFmtId="49" fontId="47" fillId="0" borderId="21" xfId="56" applyNumberFormat="1" applyFont="1" applyBorder="1" applyAlignment="1">
      <alignment horizontal="center" wrapText="1"/>
      <protection/>
    </xf>
    <xf numFmtId="0" fontId="47" fillId="0" borderId="28" xfId="56" applyFont="1" applyBorder="1" applyAlignment="1">
      <alignment horizontal="center" wrapText="1"/>
      <protection/>
    </xf>
    <xf numFmtId="0" fontId="47" fillId="0" borderId="11" xfId="56" applyFont="1" applyBorder="1" applyAlignment="1">
      <alignment horizontal="center" wrapText="1"/>
      <protection/>
    </xf>
    <xf numFmtId="0" fontId="47" fillId="0" borderId="21" xfId="56" applyFont="1" applyBorder="1" applyAlignment="1">
      <alignment horizontal="center" wrapText="1"/>
      <protection/>
    </xf>
    <xf numFmtId="0" fontId="47" fillId="0" borderId="28" xfId="56" applyFont="1" applyFill="1" applyBorder="1" applyAlignment="1">
      <alignment horizontal="center" wrapText="1"/>
      <protection/>
    </xf>
    <xf numFmtId="0" fontId="47" fillId="0" borderId="11" xfId="56" applyFont="1" applyFill="1" applyBorder="1" applyAlignment="1">
      <alignment horizontal="center" wrapText="1"/>
      <protection/>
    </xf>
    <xf numFmtId="0" fontId="47" fillId="0" borderId="21" xfId="56" applyFont="1" applyFill="1" applyBorder="1" applyAlignment="1">
      <alignment horizontal="center" wrapText="1"/>
      <protection/>
    </xf>
    <xf numFmtId="0" fontId="47" fillId="0" borderId="10" xfId="56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49" fontId="47" fillId="0" borderId="25" xfId="56" applyNumberFormat="1" applyFont="1" applyBorder="1" applyAlignment="1">
      <alignment horizontal="center" vertical="top" wrapText="1"/>
      <protection/>
    </xf>
    <xf numFmtId="49" fontId="47" fillId="0" borderId="26" xfId="56" applyNumberFormat="1" applyFont="1" applyBorder="1" applyAlignment="1">
      <alignment horizontal="center" vertical="top" wrapText="1"/>
      <protection/>
    </xf>
    <xf numFmtId="49" fontId="47" fillId="0" borderId="25" xfId="56" applyNumberFormat="1" applyFont="1" applyBorder="1" applyAlignment="1">
      <alignment horizontal="center" vertical="center" wrapText="1"/>
      <protection/>
    </xf>
    <xf numFmtId="49" fontId="47" fillId="0" borderId="26" xfId="56" applyNumberFormat="1" applyFont="1" applyBorder="1" applyAlignment="1">
      <alignment horizontal="center" vertical="center" wrapText="1"/>
      <protection/>
    </xf>
    <xf numFmtId="0" fontId="47" fillId="0" borderId="25" xfId="56" applyFont="1" applyFill="1" applyBorder="1" applyAlignment="1">
      <alignment horizontal="center" vertical="center" wrapText="1"/>
      <protection/>
    </xf>
    <xf numFmtId="0" fontId="47" fillId="0" borderId="26" xfId="56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6" fillId="0" borderId="25" xfId="56" applyFont="1" applyBorder="1" applyAlignment="1">
      <alignment horizontal="center" vertical="center" wrapText="1"/>
      <protection/>
    </xf>
    <xf numFmtId="0" fontId="56" fillId="0" borderId="26" xfId="56" applyFont="1" applyBorder="1" applyAlignment="1">
      <alignment horizontal="center" vertical="center" wrapText="1"/>
      <protection/>
    </xf>
    <xf numFmtId="0" fontId="56" fillId="0" borderId="28" xfId="56" applyFont="1" applyBorder="1" applyAlignment="1">
      <alignment horizontal="center" vertical="center" wrapText="1"/>
      <protection/>
    </xf>
    <xf numFmtId="0" fontId="56" fillId="0" borderId="11" xfId="56" applyFont="1" applyBorder="1" applyAlignment="1">
      <alignment horizontal="center" vertical="center" wrapText="1"/>
      <protection/>
    </xf>
    <xf numFmtId="0" fontId="43" fillId="0" borderId="21" xfId="0" applyFont="1" applyBorder="1" applyAlignment="1">
      <alignment vertical="center" wrapText="1"/>
    </xf>
    <xf numFmtId="0" fontId="56" fillId="0" borderId="39" xfId="56" applyFont="1" applyBorder="1" applyAlignment="1">
      <alignment horizontal="center" vertical="center" wrapText="1"/>
      <protection/>
    </xf>
    <xf numFmtId="0" fontId="56" fillId="0" borderId="15" xfId="56" applyFont="1" applyBorder="1" applyAlignment="1">
      <alignment horizontal="center" vertic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10" fillId="0" borderId="28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10" fillId="0" borderId="28" xfId="56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7" fillId="0" borderId="0" xfId="65" applyFont="1" applyBorder="1" applyAlignment="1">
      <alignment horizontal="center" wrapText="1"/>
      <protection/>
    </xf>
    <xf numFmtId="0" fontId="46" fillId="0" borderId="0" xfId="65" applyFont="1" applyAlignment="1">
      <alignment wrapText="1"/>
      <protection/>
    </xf>
    <xf numFmtId="0" fontId="46" fillId="0" borderId="0" xfId="56" applyFont="1" applyAlignment="1">
      <alignment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Обычный 5" xfId="59"/>
    <cellStyle name="Обычный 7" xfId="60"/>
    <cellStyle name="Обычный_Отч по сбалансир." xfId="61"/>
    <cellStyle name="Обычный_ПР 13 фин.помощь1" xfId="62"/>
    <cellStyle name="Обычный_Прил 22,23,24" xfId="63"/>
    <cellStyle name="Обычный_Прил 5,6,8,18" xfId="64"/>
    <cellStyle name="Обычный_прилож 8,10 -2008г." xfId="65"/>
    <cellStyle name="Обычный_Прилож.№9 кап.стр." xfId="66"/>
    <cellStyle name="Обычный_Район 2006г.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перечис.11" xfId="75"/>
    <cellStyle name="Тысячи_перечис.11" xfId="76"/>
    <cellStyle name="Comma" xfId="77"/>
    <cellStyle name="Comma [0]" xfId="78"/>
    <cellStyle name="Финансовый 13" xfId="79"/>
    <cellStyle name="Финансовый 2" xfId="80"/>
    <cellStyle name="Финансовый 3" xfId="81"/>
    <cellStyle name="Финансовый 7" xfId="82"/>
    <cellStyle name="Финансовый 9" xfId="83"/>
    <cellStyle name="Финансовый_Прилож_МР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3"/>
  <sheetViews>
    <sheetView view="pageBreakPreview" zoomScaleSheetLayoutView="100" zoomScalePageLayoutView="0" workbookViewId="0" topLeftCell="A1">
      <selection activeCell="E31" sqref="E31"/>
    </sheetView>
  </sheetViews>
  <sheetFormatPr defaultColWidth="9.140625" defaultRowHeight="12.75"/>
  <cols>
    <col min="1" max="1" width="29.00390625" style="7" customWidth="1"/>
    <col min="2" max="2" width="39.28125" style="7" customWidth="1"/>
    <col min="3" max="3" width="16.140625" style="7" customWidth="1"/>
    <col min="4" max="4" width="11.421875" style="7" customWidth="1"/>
    <col min="5" max="5" width="11.00390625" style="320" customWidth="1"/>
    <col min="6" max="6" width="10.140625" style="7" customWidth="1"/>
    <col min="7" max="16384" width="9.140625" style="7" customWidth="1"/>
  </cols>
  <sheetData>
    <row r="1" spans="1:162" s="306" customFormat="1" ht="28.5" customHeight="1">
      <c r="A1" s="326" t="s">
        <v>124</v>
      </c>
      <c r="B1" s="327"/>
      <c r="C1" s="327"/>
      <c r="D1" s="327"/>
      <c r="E1" s="327"/>
      <c r="F1" s="327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  <c r="CC1" s="305"/>
      <c r="CD1" s="305"/>
      <c r="CE1" s="305"/>
      <c r="CF1" s="305"/>
      <c r="CG1" s="305"/>
      <c r="CH1" s="305"/>
      <c r="CI1" s="305"/>
      <c r="CJ1" s="305"/>
      <c r="CK1" s="305"/>
      <c r="CL1" s="305"/>
      <c r="CM1" s="305"/>
      <c r="CN1" s="305"/>
      <c r="CO1" s="305"/>
      <c r="CP1" s="305"/>
      <c r="CQ1" s="305"/>
      <c r="CR1" s="305"/>
      <c r="CS1" s="305"/>
      <c r="CT1" s="305"/>
      <c r="CU1" s="305"/>
      <c r="CV1" s="305"/>
      <c r="CW1" s="305"/>
      <c r="CX1" s="305"/>
      <c r="CY1" s="305"/>
      <c r="CZ1" s="305"/>
      <c r="DA1" s="305"/>
      <c r="DB1" s="305"/>
      <c r="DC1" s="305"/>
      <c r="DD1" s="305"/>
      <c r="DE1" s="305"/>
      <c r="DF1" s="305"/>
      <c r="DG1" s="305"/>
      <c r="DH1" s="305"/>
      <c r="DI1" s="305"/>
      <c r="DJ1" s="305"/>
      <c r="DK1" s="305"/>
      <c r="DL1" s="305"/>
      <c r="DM1" s="305"/>
      <c r="DN1" s="305"/>
      <c r="DO1" s="305"/>
      <c r="DP1" s="305"/>
      <c r="DQ1" s="305"/>
      <c r="DR1" s="305"/>
      <c r="DS1" s="305"/>
      <c r="DT1" s="305"/>
      <c r="DU1" s="305"/>
      <c r="DV1" s="305"/>
      <c r="DW1" s="305"/>
      <c r="DX1" s="305"/>
      <c r="DY1" s="305"/>
      <c r="DZ1" s="305"/>
      <c r="EA1" s="305"/>
      <c r="EB1" s="305"/>
      <c r="EC1" s="305"/>
      <c r="ED1" s="305"/>
      <c r="EE1" s="305"/>
      <c r="EF1" s="305"/>
      <c r="EG1" s="305"/>
      <c r="EH1" s="305"/>
      <c r="EI1" s="305"/>
      <c r="EJ1" s="305"/>
      <c r="EK1" s="305"/>
      <c r="EL1" s="305"/>
      <c r="EM1" s="305"/>
      <c r="EN1" s="305"/>
      <c r="EO1" s="305"/>
      <c r="EP1" s="305"/>
      <c r="EQ1" s="305"/>
      <c r="ER1" s="305"/>
      <c r="ES1" s="305"/>
      <c r="ET1" s="305"/>
      <c r="EU1" s="305"/>
      <c r="EV1" s="305"/>
      <c r="EW1" s="305"/>
      <c r="EX1" s="305"/>
      <c r="EY1" s="305"/>
      <c r="EZ1" s="305"/>
      <c r="FA1" s="305"/>
      <c r="FB1" s="305"/>
      <c r="FC1" s="305"/>
      <c r="FD1" s="305"/>
      <c r="FE1" s="305"/>
      <c r="FF1" s="305"/>
    </row>
    <row r="2" spans="1:162" s="309" customFormat="1" ht="15">
      <c r="A2" s="328" t="s">
        <v>61</v>
      </c>
      <c r="B2" s="329"/>
      <c r="C2" s="329"/>
      <c r="D2" s="329"/>
      <c r="E2" s="329"/>
      <c r="F2" s="307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  <c r="CM2" s="308"/>
      <c r="CN2" s="308"/>
      <c r="CO2" s="308"/>
      <c r="CP2" s="308"/>
      <c r="CQ2" s="308"/>
      <c r="CR2" s="308"/>
      <c r="CS2" s="308"/>
      <c r="CT2" s="308"/>
      <c r="CU2" s="308"/>
      <c r="CV2" s="308"/>
      <c r="CW2" s="308"/>
      <c r="CX2" s="308"/>
      <c r="CY2" s="308"/>
      <c r="CZ2" s="308"/>
      <c r="DA2" s="308"/>
      <c r="DB2" s="308"/>
      <c r="DC2" s="308"/>
      <c r="DD2" s="308"/>
      <c r="DE2" s="308"/>
      <c r="DF2" s="308"/>
      <c r="DG2" s="308"/>
      <c r="DH2" s="308"/>
      <c r="DI2" s="308"/>
      <c r="DJ2" s="308"/>
      <c r="DK2" s="308"/>
      <c r="DL2" s="308"/>
      <c r="DM2" s="308"/>
      <c r="DN2" s="308"/>
      <c r="DO2" s="308"/>
      <c r="DP2" s="308"/>
      <c r="DQ2" s="308"/>
      <c r="DR2" s="308"/>
      <c r="DS2" s="308"/>
      <c r="DT2" s="308"/>
      <c r="DU2" s="308"/>
      <c r="DV2" s="308"/>
      <c r="DW2" s="308"/>
      <c r="DX2" s="308"/>
      <c r="DY2" s="308"/>
      <c r="DZ2" s="308"/>
      <c r="EA2" s="308"/>
      <c r="EB2" s="308"/>
      <c r="EC2" s="308"/>
      <c r="ED2" s="308"/>
      <c r="EE2" s="308"/>
      <c r="EF2" s="308"/>
      <c r="EG2" s="308"/>
      <c r="EH2" s="308"/>
      <c r="EI2" s="308"/>
      <c r="EJ2" s="308"/>
      <c r="EK2" s="308"/>
      <c r="EL2" s="308"/>
      <c r="EM2" s="308"/>
      <c r="EN2" s="308"/>
      <c r="EO2" s="308"/>
      <c r="EP2" s="308"/>
      <c r="EQ2" s="308"/>
      <c r="ER2" s="308"/>
      <c r="ES2" s="308"/>
      <c r="ET2" s="308"/>
      <c r="EU2" s="308"/>
      <c r="EV2" s="308"/>
      <c r="EW2" s="308"/>
      <c r="EX2" s="308"/>
      <c r="EY2" s="308"/>
      <c r="EZ2" s="308"/>
      <c r="FA2" s="308"/>
      <c r="FB2" s="308"/>
      <c r="FC2" s="308"/>
      <c r="FD2" s="308"/>
      <c r="FE2" s="308"/>
      <c r="FF2" s="308"/>
    </row>
    <row r="3" spans="1:6" s="308" customFormat="1" ht="15">
      <c r="A3" s="310"/>
      <c r="B3" s="311"/>
      <c r="C3" s="312"/>
      <c r="D3" s="313"/>
      <c r="E3" s="310"/>
      <c r="F3" s="310" t="s">
        <v>57</v>
      </c>
    </row>
    <row r="4" spans="1:6" ht="48.75" customHeight="1">
      <c r="A4" s="136" t="s">
        <v>130</v>
      </c>
      <c r="B4" s="136" t="s">
        <v>49</v>
      </c>
      <c r="C4" s="136" t="s">
        <v>129</v>
      </c>
      <c r="D4" s="137" t="s">
        <v>151</v>
      </c>
      <c r="E4" s="137" t="s">
        <v>150</v>
      </c>
      <c r="F4" s="136" t="s">
        <v>58</v>
      </c>
    </row>
    <row r="5" spans="1:6" ht="25.5">
      <c r="A5" s="139" t="s">
        <v>132</v>
      </c>
      <c r="B5" s="324" t="s">
        <v>131</v>
      </c>
      <c r="C5" s="322">
        <v>7950002</v>
      </c>
      <c r="D5" s="138">
        <v>147.498</v>
      </c>
      <c r="E5" s="138">
        <v>146.8</v>
      </c>
      <c r="F5" s="314">
        <f>E5/D5*100</f>
        <v>99.526773244383</v>
      </c>
    </row>
    <row r="6" spans="1:6" ht="12.75">
      <c r="A6" s="139" t="s">
        <v>52</v>
      </c>
      <c r="B6" s="323"/>
      <c r="C6" s="323"/>
      <c r="D6" s="138">
        <v>2.502</v>
      </c>
      <c r="E6" s="138">
        <v>2.502</v>
      </c>
      <c r="F6" s="314">
        <f aca="true" t="shared" si="0" ref="F6:F33">E6/D6*100</f>
        <v>100</v>
      </c>
    </row>
    <row r="7" spans="1:6" ht="38.25">
      <c r="A7" s="139" t="s">
        <v>52</v>
      </c>
      <c r="B7" s="315" t="s">
        <v>133</v>
      </c>
      <c r="C7" s="139">
        <v>7952005</v>
      </c>
      <c r="D7" s="138">
        <v>495</v>
      </c>
      <c r="E7" s="138">
        <v>493.2</v>
      </c>
      <c r="F7" s="314">
        <f t="shared" si="0"/>
        <v>99.63636363636364</v>
      </c>
    </row>
    <row r="8" spans="1:6" ht="25.5" customHeight="1">
      <c r="A8" s="139" t="s">
        <v>134</v>
      </c>
      <c r="B8" s="324" t="s">
        <v>50</v>
      </c>
      <c r="C8" s="322">
        <v>7952008</v>
      </c>
      <c r="D8" s="138">
        <v>166.7</v>
      </c>
      <c r="E8" s="138">
        <v>166.7</v>
      </c>
      <c r="F8" s="314">
        <f t="shared" si="0"/>
        <v>100</v>
      </c>
    </row>
    <row r="9" spans="1:6" ht="25.5" customHeight="1">
      <c r="A9" s="315" t="s">
        <v>52</v>
      </c>
      <c r="B9" s="323"/>
      <c r="C9" s="323"/>
      <c r="D9" s="138">
        <v>300</v>
      </c>
      <c r="E9" s="138">
        <v>300</v>
      </c>
      <c r="F9" s="314">
        <f t="shared" si="0"/>
        <v>100</v>
      </c>
    </row>
    <row r="10" spans="1:6" ht="38.25">
      <c r="A10" s="139" t="s">
        <v>135</v>
      </c>
      <c r="B10" s="315" t="s">
        <v>51</v>
      </c>
      <c r="C10" s="139">
        <v>7952009</v>
      </c>
      <c r="D10" s="138">
        <v>230</v>
      </c>
      <c r="E10" s="138">
        <v>230</v>
      </c>
      <c r="F10" s="314">
        <f t="shared" si="0"/>
        <v>100</v>
      </c>
    </row>
    <row r="11" spans="1:6" ht="38.25">
      <c r="A11" s="315" t="s">
        <v>52</v>
      </c>
      <c r="B11" s="315" t="s">
        <v>59</v>
      </c>
      <c r="C11" s="139">
        <v>7952011</v>
      </c>
      <c r="D11" s="138">
        <v>20</v>
      </c>
      <c r="E11" s="138">
        <v>20</v>
      </c>
      <c r="F11" s="314">
        <f t="shared" si="0"/>
        <v>100</v>
      </c>
    </row>
    <row r="12" spans="1:6" ht="51">
      <c r="A12" s="315" t="s">
        <v>137</v>
      </c>
      <c r="B12" s="316" t="s">
        <v>136</v>
      </c>
      <c r="C12" s="139">
        <v>7952018</v>
      </c>
      <c r="D12" s="138">
        <v>342</v>
      </c>
      <c r="E12" s="138">
        <v>218</v>
      </c>
      <c r="F12" s="314">
        <f t="shared" si="0"/>
        <v>63.74269005847953</v>
      </c>
    </row>
    <row r="13" spans="1:6" ht="12.75">
      <c r="A13" s="139" t="s">
        <v>52</v>
      </c>
      <c r="B13" s="322" t="s">
        <v>53</v>
      </c>
      <c r="C13" s="322">
        <v>7952020</v>
      </c>
      <c r="D13" s="138">
        <v>2240</v>
      </c>
      <c r="E13" s="138">
        <v>2240</v>
      </c>
      <c r="F13" s="314">
        <f t="shared" si="0"/>
        <v>100</v>
      </c>
    </row>
    <row r="14" spans="1:6" ht="25.5">
      <c r="A14" s="315" t="s">
        <v>137</v>
      </c>
      <c r="B14" s="325"/>
      <c r="C14" s="325"/>
      <c r="D14" s="138">
        <v>1610.1</v>
      </c>
      <c r="E14" s="138">
        <v>1610.1</v>
      </c>
      <c r="F14" s="314">
        <f t="shared" si="0"/>
        <v>100</v>
      </c>
    </row>
    <row r="15" spans="1:6" ht="27.75" customHeight="1">
      <c r="A15" s="139" t="s">
        <v>138</v>
      </c>
      <c r="B15" s="323"/>
      <c r="C15" s="323"/>
      <c r="D15" s="138">
        <v>249</v>
      </c>
      <c r="E15" s="138">
        <v>249</v>
      </c>
      <c r="F15" s="314">
        <f t="shared" si="0"/>
        <v>100</v>
      </c>
    </row>
    <row r="16" spans="1:6" ht="12.75">
      <c r="A16" s="139" t="s">
        <v>52</v>
      </c>
      <c r="B16" s="322" t="s">
        <v>139</v>
      </c>
      <c r="C16" s="322">
        <v>7952021</v>
      </c>
      <c r="D16" s="138">
        <v>585</v>
      </c>
      <c r="E16" s="138">
        <v>530.195</v>
      </c>
      <c r="F16" s="314">
        <f t="shared" si="0"/>
        <v>90.63162393162393</v>
      </c>
    </row>
    <row r="17" spans="1:6" ht="25.5">
      <c r="A17" s="315" t="s">
        <v>137</v>
      </c>
      <c r="B17" s="325"/>
      <c r="C17" s="325"/>
      <c r="D17" s="138">
        <v>167</v>
      </c>
      <c r="E17" s="138">
        <v>167</v>
      </c>
      <c r="F17" s="314">
        <f t="shared" si="0"/>
        <v>100</v>
      </c>
    </row>
    <row r="18" spans="1:6" ht="25.5">
      <c r="A18" s="139" t="s">
        <v>138</v>
      </c>
      <c r="B18" s="323"/>
      <c r="C18" s="323"/>
      <c r="D18" s="138">
        <v>1977.688</v>
      </c>
      <c r="E18" s="138">
        <v>1977.688</v>
      </c>
      <c r="F18" s="314">
        <f t="shared" si="0"/>
        <v>100</v>
      </c>
    </row>
    <row r="19" spans="1:6" ht="63.75">
      <c r="A19" s="139" t="s">
        <v>52</v>
      </c>
      <c r="B19" s="139" t="s">
        <v>54</v>
      </c>
      <c r="C19" s="139">
        <v>7952023</v>
      </c>
      <c r="D19" s="138">
        <v>15</v>
      </c>
      <c r="E19" s="138">
        <v>15</v>
      </c>
      <c r="F19" s="314">
        <f t="shared" si="0"/>
        <v>100</v>
      </c>
    </row>
    <row r="20" spans="1:6" ht="32.25" customHeight="1">
      <c r="A20" s="315" t="s">
        <v>52</v>
      </c>
      <c r="B20" s="139" t="s">
        <v>55</v>
      </c>
      <c r="C20" s="139">
        <v>7952025</v>
      </c>
      <c r="D20" s="138">
        <v>15</v>
      </c>
      <c r="E20" s="138">
        <v>15</v>
      </c>
      <c r="F20" s="314">
        <f t="shared" si="0"/>
        <v>100</v>
      </c>
    </row>
    <row r="21" spans="1:6" ht="38.25">
      <c r="A21" s="315" t="s">
        <v>52</v>
      </c>
      <c r="B21" s="139" t="s">
        <v>56</v>
      </c>
      <c r="C21" s="139">
        <v>7952027</v>
      </c>
      <c r="D21" s="138">
        <v>30.6</v>
      </c>
      <c r="E21" s="138">
        <v>30.6</v>
      </c>
      <c r="F21" s="314">
        <f t="shared" si="0"/>
        <v>100</v>
      </c>
    </row>
    <row r="22" spans="1:6" ht="51">
      <c r="A22" s="315" t="s">
        <v>52</v>
      </c>
      <c r="B22" s="139" t="s">
        <v>140</v>
      </c>
      <c r="C22" s="139">
        <v>7952030</v>
      </c>
      <c r="D22" s="138">
        <v>485</v>
      </c>
      <c r="E22" s="138">
        <v>485</v>
      </c>
      <c r="F22" s="314">
        <f t="shared" si="0"/>
        <v>100</v>
      </c>
    </row>
    <row r="23" spans="1:6" ht="23.25" customHeight="1">
      <c r="A23" s="139" t="s">
        <v>52</v>
      </c>
      <c r="B23" s="330" t="s">
        <v>141</v>
      </c>
      <c r="C23" s="322">
        <v>7952032</v>
      </c>
      <c r="D23" s="138">
        <v>1273.672</v>
      </c>
      <c r="E23" s="138">
        <v>1273.667</v>
      </c>
      <c r="F23" s="314">
        <f t="shared" si="0"/>
        <v>99.99960743425308</v>
      </c>
    </row>
    <row r="24" spans="1:6" ht="25.5">
      <c r="A24" s="139" t="s">
        <v>132</v>
      </c>
      <c r="B24" s="331"/>
      <c r="C24" s="323"/>
      <c r="D24" s="138">
        <v>1251</v>
      </c>
      <c r="E24" s="138">
        <v>1251</v>
      </c>
      <c r="F24" s="314">
        <f t="shared" si="0"/>
        <v>100</v>
      </c>
    </row>
    <row r="25" spans="1:6" ht="36.75" customHeight="1">
      <c r="A25" s="139" t="s">
        <v>138</v>
      </c>
      <c r="B25" s="317" t="s">
        <v>60</v>
      </c>
      <c r="C25" s="139">
        <v>7952033</v>
      </c>
      <c r="D25" s="138">
        <v>300</v>
      </c>
      <c r="E25" s="138">
        <v>300</v>
      </c>
      <c r="F25" s="314">
        <f t="shared" si="0"/>
        <v>100</v>
      </c>
    </row>
    <row r="26" spans="1:6" ht="63.75" customHeight="1">
      <c r="A26" s="139" t="s">
        <v>52</v>
      </c>
      <c r="B26" s="139" t="s">
        <v>142</v>
      </c>
      <c r="C26" s="139">
        <v>7952035</v>
      </c>
      <c r="D26" s="138">
        <v>5630.133</v>
      </c>
      <c r="E26" s="138">
        <v>5277.163</v>
      </c>
      <c r="F26" s="314">
        <f t="shared" si="0"/>
        <v>93.73069872416868</v>
      </c>
    </row>
    <row r="27" spans="1:6" ht="30" customHeight="1">
      <c r="A27" s="139" t="s">
        <v>52</v>
      </c>
      <c r="B27" s="322" t="s">
        <v>143</v>
      </c>
      <c r="C27" s="322">
        <v>7952036</v>
      </c>
      <c r="D27" s="138">
        <v>500.76</v>
      </c>
      <c r="E27" s="138">
        <v>484.411</v>
      </c>
      <c r="F27" s="314">
        <f t="shared" si="0"/>
        <v>96.73516255291956</v>
      </c>
    </row>
    <row r="28" spans="1:6" ht="25.5">
      <c r="A28" s="139" t="s">
        <v>138</v>
      </c>
      <c r="B28" s="323"/>
      <c r="C28" s="323"/>
      <c r="D28" s="138">
        <v>480</v>
      </c>
      <c r="E28" s="138">
        <v>480</v>
      </c>
      <c r="F28" s="314">
        <f t="shared" si="0"/>
        <v>100</v>
      </c>
    </row>
    <row r="29" spans="1:6" ht="38.25">
      <c r="A29" s="315" t="s">
        <v>145</v>
      </c>
      <c r="B29" s="318" t="s">
        <v>144</v>
      </c>
      <c r="C29" s="139">
        <v>7952037</v>
      </c>
      <c r="D29" s="138">
        <v>4500</v>
      </c>
      <c r="E29" s="138">
        <v>4500</v>
      </c>
      <c r="F29" s="314">
        <f t="shared" si="0"/>
        <v>100</v>
      </c>
    </row>
    <row r="30" spans="1:6" ht="38.25">
      <c r="A30" s="315" t="s">
        <v>145</v>
      </c>
      <c r="B30" s="139" t="s">
        <v>146</v>
      </c>
      <c r="C30" s="139">
        <v>7952038</v>
      </c>
      <c r="D30" s="138">
        <v>570.18</v>
      </c>
      <c r="E30" s="138">
        <v>300.88</v>
      </c>
      <c r="F30" s="314">
        <f t="shared" si="0"/>
        <v>52.769300922515704</v>
      </c>
    </row>
    <row r="31" spans="1:6" ht="45.75" customHeight="1">
      <c r="A31" s="315" t="s">
        <v>148</v>
      </c>
      <c r="B31" s="139" t="s">
        <v>147</v>
      </c>
      <c r="C31" s="139">
        <v>7952039</v>
      </c>
      <c r="D31" s="138">
        <v>50</v>
      </c>
      <c r="E31" s="138">
        <v>50</v>
      </c>
      <c r="F31" s="314">
        <f t="shared" si="0"/>
        <v>100</v>
      </c>
    </row>
    <row r="32" spans="1:6" ht="45.75" customHeight="1" hidden="1">
      <c r="A32" s="139" t="s">
        <v>52</v>
      </c>
      <c r="B32" s="139" t="s">
        <v>149</v>
      </c>
      <c r="C32" s="139">
        <v>7952040</v>
      </c>
      <c r="D32" s="138"/>
      <c r="E32" s="138"/>
      <c r="F32" s="314" t="e">
        <f t="shared" si="0"/>
        <v>#DIV/0!</v>
      </c>
    </row>
    <row r="33" spans="1:6" ht="12.75">
      <c r="A33" s="139"/>
      <c r="B33" s="319" t="s">
        <v>127</v>
      </c>
      <c r="C33" s="139"/>
      <c r="D33" s="138">
        <f>SUM(D5:D32)</f>
        <v>23633.833</v>
      </c>
      <c r="E33" s="138">
        <f>SUM(E5:E32)</f>
        <v>22813.906</v>
      </c>
      <c r="F33" s="314">
        <f t="shared" si="0"/>
        <v>96.53070663569468</v>
      </c>
    </row>
  </sheetData>
  <sheetProtection/>
  <mergeCells count="14">
    <mergeCell ref="A1:F1"/>
    <mergeCell ref="A2:E2"/>
    <mergeCell ref="B23:B24"/>
    <mergeCell ref="B27:B28"/>
    <mergeCell ref="C5:C6"/>
    <mergeCell ref="C8:C9"/>
    <mergeCell ref="C13:C15"/>
    <mergeCell ref="C16:C18"/>
    <mergeCell ref="C23:C24"/>
    <mergeCell ref="C27:C28"/>
    <mergeCell ref="B5:B6"/>
    <mergeCell ref="B8:B9"/>
    <mergeCell ref="B13:B15"/>
    <mergeCell ref="B16:B18"/>
  </mergeCells>
  <printOptions/>
  <pageMargins left="0.7086614173228347" right="0" top="0.15748031496062992" bottom="0.1968503937007874" header="0" footer="0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"/>
  <sheetViews>
    <sheetView view="pageBreakPreview" zoomScaleSheetLayoutView="100" zoomScalePageLayoutView="0" workbookViewId="0" topLeftCell="D1">
      <selection activeCell="E45" sqref="E45:E46"/>
    </sheetView>
  </sheetViews>
  <sheetFormatPr defaultColWidth="8.00390625" defaultRowHeight="12.75"/>
  <cols>
    <col min="1" max="1" width="7.8515625" style="69" hidden="1" customWidth="1"/>
    <col min="2" max="2" width="0.2890625" style="69" hidden="1" customWidth="1"/>
    <col min="3" max="3" width="6.00390625" style="70" hidden="1" customWidth="1"/>
    <col min="4" max="4" width="43.8515625" style="76" customWidth="1"/>
    <col min="5" max="5" width="14.140625" style="77" customWidth="1"/>
    <col min="6" max="6" width="14.140625" style="41" customWidth="1"/>
    <col min="7" max="7" width="11.00390625" style="71" customWidth="1"/>
    <col min="8" max="8" width="12.7109375" style="71" customWidth="1"/>
    <col min="9" max="10" width="13.57421875" style="71" customWidth="1"/>
    <col min="11" max="12" width="14.00390625" style="71" customWidth="1"/>
    <col min="13" max="14" width="13.8515625" style="71" customWidth="1"/>
    <col min="15" max="16" width="12.57421875" style="71" customWidth="1"/>
    <col min="17" max="22" width="12.7109375" style="71" customWidth="1"/>
    <col min="23" max="23" width="12.7109375" style="69" customWidth="1"/>
    <col min="24" max="24" width="13.7109375" style="69" customWidth="1"/>
    <col min="25" max="26" width="11.8515625" style="40" customWidth="1"/>
    <col min="27" max="27" width="14.7109375" style="40" customWidth="1"/>
    <col min="28" max="53" width="8.00390625" style="40" customWidth="1"/>
    <col min="54" max="16384" width="8.00390625" style="69" customWidth="1"/>
  </cols>
  <sheetData>
    <row r="1" spans="1:256" ht="15.75">
      <c r="A1" s="80"/>
      <c r="B1" s="80"/>
      <c r="C1" s="337" t="s">
        <v>126</v>
      </c>
      <c r="D1" s="338"/>
      <c r="E1" s="339"/>
      <c r="F1" s="339"/>
      <c r="G1" s="339"/>
      <c r="H1" s="339"/>
      <c r="I1" s="339"/>
      <c r="J1" s="339"/>
      <c r="K1" s="339"/>
      <c r="L1" s="80"/>
      <c r="M1" s="80"/>
      <c r="N1" s="80"/>
      <c r="O1" s="81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256" ht="20.25" customHeight="1">
      <c r="A2" s="40"/>
      <c r="B2" s="42"/>
      <c r="C2" s="340" t="s">
        <v>62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43"/>
      <c r="Q2" s="43"/>
      <c r="R2" s="43"/>
      <c r="S2" s="43"/>
      <c r="T2" s="43"/>
      <c r="U2" s="43"/>
      <c r="V2" s="43"/>
      <c r="W2" s="43"/>
      <c r="X2" s="43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17.25" customHeight="1" thickBot="1">
      <c r="A3" s="40"/>
      <c r="B3" s="40"/>
      <c r="C3" s="44"/>
      <c r="D3" s="45"/>
      <c r="E3" s="46"/>
      <c r="F3" s="46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2"/>
      <c r="X3" s="42"/>
      <c r="Y3" s="79" t="s">
        <v>57</v>
      </c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ht="36" customHeight="1">
      <c r="A4" s="117"/>
      <c r="B4" s="117"/>
      <c r="C4" s="118"/>
      <c r="D4" s="342" t="s">
        <v>63</v>
      </c>
      <c r="E4" s="344" t="s">
        <v>64</v>
      </c>
      <c r="F4" s="345"/>
      <c r="G4" s="334" t="s">
        <v>65</v>
      </c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6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ht="42" customHeight="1">
      <c r="A5" s="117"/>
      <c r="B5" s="117"/>
      <c r="C5" s="119"/>
      <c r="D5" s="343"/>
      <c r="E5" s="346"/>
      <c r="F5" s="345"/>
      <c r="G5" s="332" t="s">
        <v>66</v>
      </c>
      <c r="H5" s="333"/>
      <c r="I5" s="332" t="s">
        <v>67</v>
      </c>
      <c r="J5" s="333"/>
      <c r="K5" s="332" t="s">
        <v>68</v>
      </c>
      <c r="L5" s="333"/>
      <c r="M5" s="332" t="s">
        <v>69</v>
      </c>
      <c r="N5" s="333"/>
      <c r="O5" s="332" t="s">
        <v>70</v>
      </c>
      <c r="P5" s="333"/>
      <c r="Q5" s="332" t="s">
        <v>71</v>
      </c>
      <c r="R5" s="333"/>
      <c r="S5" s="332" t="s">
        <v>72</v>
      </c>
      <c r="T5" s="333"/>
      <c r="U5" s="332" t="s">
        <v>73</v>
      </c>
      <c r="V5" s="333"/>
      <c r="W5" s="332" t="s">
        <v>74</v>
      </c>
      <c r="X5" s="333"/>
      <c r="Y5" s="332" t="s">
        <v>75</v>
      </c>
      <c r="Z5" s="333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</row>
    <row r="6" spans="1:256" ht="15.75">
      <c r="A6" s="121"/>
      <c r="B6" s="121"/>
      <c r="C6" s="122"/>
      <c r="D6" s="116"/>
      <c r="E6" s="120" t="s">
        <v>76</v>
      </c>
      <c r="F6" s="120" t="s">
        <v>77</v>
      </c>
      <c r="G6" s="120" t="s">
        <v>76</v>
      </c>
      <c r="H6" s="120" t="s">
        <v>77</v>
      </c>
      <c r="I6" s="120" t="s">
        <v>76</v>
      </c>
      <c r="J6" s="120" t="s">
        <v>77</v>
      </c>
      <c r="K6" s="120" t="s">
        <v>76</v>
      </c>
      <c r="L6" s="120" t="s">
        <v>77</v>
      </c>
      <c r="M6" s="120" t="s">
        <v>76</v>
      </c>
      <c r="N6" s="120" t="s">
        <v>77</v>
      </c>
      <c r="O6" s="120" t="s">
        <v>76</v>
      </c>
      <c r="P6" s="120" t="s">
        <v>77</v>
      </c>
      <c r="Q6" s="120" t="s">
        <v>76</v>
      </c>
      <c r="R6" s="120" t="s">
        <v>77</v>
      </c>
      <c r="S6" s="120" t="s">
        <v>76</v>
      </c>
      <c r="T6" s="120" t="s">
        <v>77</v>
      </c>
      <c r="U6" s="120" t="s">
        <v>76</v>
      </c>
      <c r="V6" s="120" t="s">
        <v>77</v>
      </c>
      <c r="W6" s="120" t="s">
        <v>76</v>
      </c>
      <c r="X6" s="120" t="s">
        <v>77</v>
      </c>
      <c r="Y6" s="120" t="s">
        <v>76</v>
      </c>
      <c r="Z6" s="120" t="s">
        <v>77</v>
      </c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pans="1:256" ht="12.75">
      <c r="A7" s="47"/>
      <c r="B7" s="47"/>
      <c r="C7" s="109" t="s">
        <v>78</v>
      </c>
      <c r="D7" s="84" t="s">
        <v>79</v>
      </c>
      <c r="E7" s="84">
        <v>1</v>
      </c>
      <c r="F7" s="84"/>
      <c r="G7" s="84">
        <v>2</v>
      </c>
      <c r="H7" s="84"/>
      <c r="I7" s="85">
        <f>G7+1</f>
        <v>3</v>
      </c>
      <c r="J7" s="85"/>
      <c r="K7" s="84">
        <f>I7+1</f>
        <v>4</v>
      </c>
      <c r="L7" s="84"/>
      <c r="M7" s="84">
        <f>K7+1</f>
        <v>5</v>
      </c>
      <c r="N7" s="84"/>
      <c r="O7" s="84">
        <f>M7+1</f>
        <v>6</v>
      </c>
      <c r="P7" s="84"/>
      <c r="Q7" s="84">
        <f>O7+1</f>
        <v>7</v>
      </c>
      <c r="R7" s="84"/>
      <c r="S7" s="84">
        <f>Q7+1</f>
        <v>8</v>
      </c>
      <c r="T7" s="84"/>
      <c r="U7" s="84">
        <f>S7+1</f>
        <v>9</v>
      </c>
      <c r="V7" s="84"/>
      <c r="W7" s="84">
        <f>U7+1</f>
        <v>10</v>
      </c>
      <c r="X7" s="84"/>
      <c r="Y7" s="83">
        <v>11</v>
      </c>
      <c r="Z7" s="83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ht="28.5">
      <c r="A8" s="48"/>
      <c r="B8" s="49"/>
      <c r="C8" s="110" t="s">
        <v>80</v>
      </c>
      <c r="D8" s="86" t="s">
        <v>81</v>
      </c>
      <c r="E8" s="87">
        <f>E9</f>
        <v>9466.3</v>
      </c>
      <c r="F8" s="87">
        <f>F9</f>
        <v>9466.3</v>
      </c>
      <c r="G8" s="87">
        <f>SUM(G9:G10)</f>
        <v>812.5999999999999</v>
      </c>
      <c r="H8" s="87">
        <f aca="true" t="shared" si="0" ref="H8:Z8">SUM(H9:H10)</f>
        <v>812.6</v>
      </c>
      <c r="I8" s="87">
        <f t="shared" si="0"/>
        <v>1150.5</v>
      </c>
      <c r="J8" s="87">
        <f t="shared" si="0"/>
        <v>1150.5</v>
      </c>
      <c r="K8" s="87">
        <f t="shared" si="0"/>
        <v>497.9</v>
      </c>
      <c r="L8" s="87">
        <f t="shared" si="0"/>
        <v>497.9</v>
      </c>
      <c r="M8" s="87">
        <f t="shared" si="0"/>
        <v>676.5</v>
      </c>
      <c r="N8" s="87">
        <f t="shared" si="0"/>
        <v>676.5</v>
      </c>
      <c r="O8" s="87">
        <f t="shared" si="0"/>
        <v>334.09999999999997</v>
      </c>
      <c r="P8" s="87">
        <f t="shared" si="0"/>
        <v>334.1</v>
      </c>
      <c r="Q8" s="87">
        <f t="shared" si="0"/>
        <v>472.1</v>
      </c>
      <c r="R8" s="87">
        <f t="shared" si="0"/>
        <v>472.1</v>
      </c>
      <c r="S8" s="87">
        <f t="shared" si="0"/>
        <v>342.5</v>
      </c>
      <c r="T8" s="87">
        <f t="shared" si="0"/>
        <v>342.5</v>
      </c>
      <c r="U8" s="87">
        <f t="shared" si="0"/>
        <v>508.20000000000005</v>
      </c>
      <c r="V8" s="87">
        <f t="shared" si="0"/>
        <v>508.2</v>
      </c>
      <c r="W8" s="87">
        <f t="shared" si="0"/>
        <v>1066.6999999999998</v>
      </c>
      <c r="X8" s="87">
        <f t="shared" si="0"/>
        <v>1066.7</v>
      </c>
      <c r="Y8" s="87">
        <f t="shared" si="0"/>
        <v>3605.2</v>
      </c>
      <c r="Z8" s="87">
        <f t="shared" si="0"/>
        <v>3605.2</v>
      </c>
      <c r="AA8" s="50">
        <f>E8-F8</f>
        <v>0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26.25">
      <c r="A9" s="53"/>
      <c r="B9" s="53"/>
      <c r="C9" s="111" t="s">
        <v>22</v>
      </c>
      <c r="D9" s="88" t="s">
        <v>82</v>
      </c>
      <c r="E9" s="54">
        <f>G9+I9+K9+M9+O9+Q9+S9+U9+W9+Y9</f>
        <v>9466.3</v>
      </c>
      <c r="F9" s="54">
        <f>H9+J9+L9+N9+P9+R9+T9+V9+X9+Z9</f>
        <v>9466.3</v>
      </c>
      <c r="G9" s="89">
        <f>876.3-63.7</f>
        <v>812.5999999999999</v>
      </c>
      <c r="H9" s="89">
        <v>812.6</v>
      </c>
      <c r="I9" s="89">
        <f>1188.9-38.4</f>
        <v>1150.5</v>
      </c>
      <c r="J9" s="89">
        <v>1150.5</v>
      </c>
      <c r="K9" s="89">
        <f>510.7-12.8</f>
        <v>497.9</v>
      </c>
      <c r="L9" s="89">
        <v>497.9</v>
      </c>
      <c r="M9" s="89">
        <f>723.6-47.1</f>
        <v>676.5</v>
      </c>
      <c r="N9" s="89">
        <v>676.5</v>
      </c>
      <c r="O9" s="89">
        <f>359.9-25.8</f>
        <v>334.09999999999997</v>
      </c>
      <c r="P9" s="89">
        <v>334.1</v>
      </c>
      <c r="Q9" s="89">
        <f>501.8-29.7</f>
        <v>472.1</v>
      </c>
      <c r="R9" s="89">
        <v>472.1</v>
      </c>
      <c r="S9" s="89">
        <f>370.7-28.2</f>
        <v>342.5</v>
      </c>
      <c r="T9" s="89">
        <v>342.5</v>
      </c>
      <c r="U9" s="89">
        <f>547.1-38.9</f>
        <v>508.20000000000005</v>
      </c>
      <c r="V9" s="89">
        <v>508.2</v>
      </c>
      <c r="W9" s="90">
        <f>1176.1-109.4</f>
        <v>1066.6999999999998</v>
      </c>
      <c r="X9" s="90">
        <v>1066.7</v>
      </c>
      <c r="Y9" s="91">
        <f>3628-22.8</f>
        <v>3605.2</v>
      </c>
      <c r="Z9" s="92">
        <v>3605.2</v>
      </c>
      <c r="AA9" s="50">
        <f aca="true" t="shared" si="1" ref="AA9:AA43">E9-F9</f>
        <v>0</v>
      </c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26.25">
      <c r="A10" s="53"/>
      <c r="B10" s="53"/>
      <c r="C10" s="112" t="s">
        <v>41</v>
      </c>
      <c r="D10" s="59" t="s">
        <v>83</v>
      </c>
      <c r="E10" s="54">
        <f>SUM(G10:Y10)</f>
        <v>0</v>
      </c>
      <c r="F10" s="54">
        <f>SUM(H10:Z10)</f>
        <v>0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1"/>
      <c r="Z10" s="94"/>
      <c r="AA10" s="50">
        <f t="shared" si="1"/>
        <v>0</v>
      </c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15">
      <c r="A11" s="55"/>
      <c r="B11" s="55"/>
      <c r="C11" s="113" t="s">
        <v>84</v>
      </c>
      <c r="D11" s="95" t="s">
        <v>85</v>
      </c>
      <c r="E11" s="96">
        <f>E12</f>
        <v>531.8999999999999</v>
      </c>
      <c r="F11" s="96">
        <f>F12</f>
        <v>531.8999999999999</v>
      </c>
      <c r="G11" s="96">
        <f aca="true" t="shared" si="2" ref="G11:Z11">G12</f>
        <v>54.5</v>
      </c>
      <c r="H11" s="96">
        <f t="shared" si="2"/>
        <v>54.5</v>
      </c>
      <c r="I11" s="96">
        <f t="shared" si="2"/>
        <v>136.4</v>
      </c>
      <c r="J11" s="96">
        <f t="shared" si="2"/>
        <v>136.4</v>
      </c>
      <c r="K11" s="96">
        <f t="shared" si="2"/>
        <v>40.9</v>
      </c>
      <c r="L11" s="96">
        <f t="shared" si="2"/>
        <v>40.9</v>
      </c>
      <c r="M11" s="96">
        <f t="shared" si="2"/>
        <v>54.5</v>
      </c>
      <c r="N11" s="96">
        <f t="shared" si="2"/>
        <v>54.5</v>
      </c>
      <c r="O11" s="96">
        <f t="shared" si="2"/>
        <v>40.9</v>
      </c>
      <c r="P11" s="96">
        <f t="shared" si="2"/>
        <v>40.9</v>
      </c>
      <c r="Q11" s="96">
        <f t="shared" si="2"/>
        <v>40.9</v>
      </c>
      <c r="R11" s="96">
        <f t="shared" si="2"/>
        <v>40.9</v>
      </c>
      <c r="S11" s="96">
        <f t="shared" si="2"/>
        <v>40.9</v>
      </c>
      <c r="T11" s="96">
        <f t="shared" si="2"/>
        <v>40.9</v>
      </c>
      <c r="U11" s="96">
        <f t="shared" si="2"/>
        <v>40.9</v>
      </c>
      <c r="V11" s="96">
        <f t="shared" si="2"/>
        <v>40.9</v>
      </c>
      <c r="W11" s="96">
        <f t="shared" si="2"/>
        <v>82</v>
      </c>
      <c r="X11" s="96">
        <f t="shared" si="2"/>
        <v>82</v>
      </c>
      <c r="Y11" s="96">
        <f t="shared" si="2"/>
        <v>0</v>
      </c>
      <c r="Z11" s="96">
        <f t="shared" si="2"/>
        <v>0</v>
      </c>
      <c r="AA11" s="50">
        <f t="shared" si="1"/>
        <v>0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ht="39">
      <c r="A12" s="53"/>
      <c r="B12" s="53"/>
      <c r="C12" s="111" t="s">
        <v>11</v>
      </c>
      <c r="D12" s="97" t="s">
        <v>86</v>
      </c>
      <c r="E12" s="54">
        <f aca="true" t="shared" si="3" ref="E12:F30">G12+I12+K12+M12+O12+Q12+S12+U12+W12+Y12</f>
        <v>531.8999999999999</v>
      </c>
      <c r="F12" s="54">
        <f t="shared" si="3"/>
        <v>531.8999999999999</v>
      </c>
      <c r="G12" s="89">
        <f>53.6+0.9</f>
        <v>54.5</v>
      </c>
      <c r="H12" s="89">
        <v>54.5</v>
      </c>
      <c r="I12" s="89">
        <f>135.8+0.6</f>
        <v>136.4</v>
      </c>
      <c r="J12" s="89">
        <v>136.4</v>
      </c>
      <c r="K12" s="89">
        <f>39.9+1</f>
        <v>40.9</v>
      </c>
      <c r="L12" s="89">
        <v>40.9</v>
      </c>
      <c r="M12" s="89">
        <f>39.9+14.6</f>
        <v>54.5</v>
      </c>
      <c r="N12" s="89">
        <v>54.5</v>
      </c>
      <c r="O12" s="89">
        <f>39.9+1</f>
        <v>40.9</v>
      </c>
      <c r="P12" s="89">
        <v>40.9</v>
      </c>
      <c r="Q12" s="89">
        <f>39.9+1</f>
        <v>40.9</v>
      </c>
      <c r="R12" s="89">
        <v>40.9</v>
      </c>
      <c r="S12" s="89">
        <f>39.9+1</f>
        <v>40.9</v>
      </c>
      <c r="T12" s="89">
        <v>40.9</v>
      </c>
      <c r="U12" s="89">
        <f>39.9+1</f>
        <v>40.9</v>
      </c>
      <c r="V12" s="89">
        <v>40.9</v>
      </c>
      <c r="W12" s="90">
        <f>135.8+0.6-54.4</f>
        <v>82</v>
      </c>
      <c r="X12" s="90">
        <v>82</v>
      </c>
      <c r="Y12" s="91"/>
      <c r="Z12" s="94"/>
      <c r="AA12" s="50">
        <f t="shared" si="1"/>
        <v>0</v>
      </c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43.5" thickBot="1">
      <c r="A13" s="56"/>
      <c r="B13" s="57"/>
      <c r="C13" s="110" t="s">
        <v>87</v>
      </c>
      <c r="D13" s="86" t="s">
        <v>88</v>
      </c>
      <c r="E13" s="98">
        <f>E14</f>
        <v>25432.1</v>
      </c>
      <c r="F13" s="98">
        <f>F14</f>
        <v>25432.1</v>
      </c>
      <c r="G13" s="98">
        <f aca="true" t="shared" si="4" ref="G13:Z13">SUM(G14)</f>
        <v>3079.1</v>
      </c>
      <c r="H13" s="98">
        <f t="shared" si="4"/>
        <v>3079.1</v>
      </c>
      <c r="I13" s="98">
        <f t="shared" si="4"/>
        <v>3235.8</v>
      </c>
      <c r="J13" s="98">
        <f t="shared" si="4"/>
        <v>3235.8</v>
      </c>
      <c r="K13" s="98">
        <f t="shared" si="4"/>
        <v>2849</v>
      </c>
      <c r="L13" s="98">
        <f t="shared" si="4"/>
        <v>2849</v>
      </c>
      <c r="M13" s="98">
        <f t="shared" si="4"/>
        <v>3103.3</v>
      </c>
      <c r="N13" s="98">
        <f t="shared" si="4"/>
        <v>3103.3</v>
      </c>
      <c r="O13" s="98">
        <f t="shared" si="4"/>
        <v>2244.6</v>
      </c>
      <c r="P13" s="98">
        <f t="shared" si="4"/>
        <v>2244.6</v>
      </c>
      <c r="Q13" s="98">
        <f t="shared" si="4"/>
        <v>1902.1</v>
      </c>
      <c r="R13" s="98">
        <f t="shared" si="4"/>
        <v>1902.1</v>
      </c>
      <c r="S13" s="98">
        <f t="shared" si="4"/>
        <v>2397.2</v>
      </c>
      <c r="T13" s="98">
        <f t="shared" si="4"/>
        <v>2397.2</v>
      </c>
      <c r="U13" s="98">
        <f t="shared" si="4"/>
        <v>2438.6</v>
      </c>
      <c r="V13" s="98">
        <f t="shared" si="4"/>
        <v>2438.6</v>
      </c>
      <c r="W13" s="98">
        <f t="shared" si="4"/>
        <v>4182.4</v>
      </c>
      <c r="X13" s="98">
        <f t="shared" si="4"/>
        <v>4182.4</v>
      </c>
      <c r="Y13" s="98">
        <f t="shared" si="4"/>
        <v>0</v>
      </c>
      <c r="Z13" s="98">
        <f t="shared" si="4"/>
        <v>0</v>
      </c>
      <c r="AA13" s="50">
        <f t="shared" si="1"/>
        <v>0</v>
      </c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ht="39">
      <c r="A14" s="53"/>
      <c r="B14" s="53"/>
      <c r="C14" s="112" t="s">
        <v>89</v>
      </c>
      <c r="D14" s="59" t="s">
        <v>90</v>
      </c>
      <c r="E14" s="54">
        <f t="shared" si="3"/>
        <v>25432.1</v>
      </c>
      <c r="F14" s="54">
        <f t="shared" si="3"/>
        <v>25432.1</v>
      </c>
      <c r="G14" s="99">
        <v>3079.1</v>
      </c>
      <c r="H14" s="99">
        <v>3079.1</v>
      </c>
      <c r="I14" s="99">
        <v>3235.8</v>
      </c>
      <c r="J14" s="99">
        <v>3235.8</v>
      </c>
      <c r="K14" s="99">
        <v>2849</v>
      </c>
      <c r="L14" s="99">
        <v>2849</v>
      </c>
      <c r="M14" s="99">
        <v>3103.3</v>
      </c>
      <c r="N14" s="99">
        <v>3103.3</v>
      </c>
      <c r="O14" s="100">
        <v>2244.6</v>
      </c>
      <c r="P14" s="100">
        <v>2244.6</v>
      </c>
      <c r="Q14" s="99">
        <v>1902.1</v>
      </c>
      <c r="R14" s="99">
        <v>1902.1</v>
      </c>
      <c r="S14" s="99">
        <v>2397.2</v>
      </c>
      <c r="T14" s="99">
        <v>2397.2</v>
      </c>
      <c r="U14" s="99">
        <v>2438.6</v>
      </c>
      <c r="V14" s="99">
        <v>2438.6</v>
      </c>
      <c r="W14" s="99">
        <v>4182.4</v>
      </c>
      <c r="X14" s="99">
        <v>4182.4</v>
      </c>
      <c r="Y14" s="91"/>
      <c r="Z14" s="101"/>
      <c r="AA14" s="50">
        <f t="shared" si="1"/>
        <v>0</v>
      </c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43.5" thickBot="1">
      <c r="A15" s="56"/>
      <c r="B15" s="57"/>
      <c r="C15" s="110" t="s">
        <v>91</v>
      </c>
      <c r="D15" s="86" t="s">
        <v>92</v>
      </c>
      <c r="E15" s="98">
        <f>E16+E41</f>
        <v>16308.2317</v>
      </c>
      <c r="F15" s="98">
        <f aca="true" t="shared" si="5" ref="F15:Z15">F16+F41</f>
        <v>16308.2317</v>
      </c>
      <c r="G15" s="98">
        <f t="shared" si="5"/>
        <v>1956.933</v>
      </c>
      <c r="H15" s="98">
        <f t="shared" si="5"/>
        <v>1956.933</v>
      </c>
      <c r="I15" s="98">
        <f t="shared" si="5"/>
        <v>699.3000000000001</v>
      </c>
      <c r="J15" s="98">
        <f t="shared" si="5"/>
        <v>699.3000000000001</v>
      </c>
      <c r="K15" s="98">
        <f t="shared" si="5"/>
        <v>1620.927</v>
      </c>
      <c r="L15" s="98">
        <f t="shared" si="5"/>
        <v>1620.927</v>
      </c>
      <c r="M15" s="98">
        <f t="shared" si="5"/>
        <v>1983.265</v>
      </c>
      <c r="N15" s="98">
        <f t="shared" si="5"/>
        <v>1983.265</v>
      </c>
      <c r="O15" s="98">
        <f t="shared" si="5"/>
        <v>406</v>
      </c>
      <c r="P15" s="98">
        <f t="shared" si="5"/>
        <v>406</v>
      </c>
      <c r="Q15" s="98">
        <f t="shared" si="5"/>
        <v>230</v>
      </c>
      <c r="R15" s="98">
        <f t="shared" si="5"/>
        <v>230</v>
      </c>
      <c r="S15" s="98">
        <f t="shared" si="5"/>
        <v>625.66</v>
      </c>
      <c r="T15" s="98">
        <f t="shared" si="5"/>
        <v>625.66</v>
      </c>
      <c r="U15" s="98">
        <f t="shared" si="5"/>
        <v>1151.288</v>
      </c>
      <c r="V15" s="98">
        <f t="shared" si="5"/>
        <v>1151.288</v>
      </c>
      <c r="W15" s="98">
        <f t="shared" si="5"/>
        <v>3299</v>
      </c>
      <c r="X15" s="98">
        <f t="shared" si="5"/>
        <v>3299</v>
      </c>
      <c r="Y15" s="98">
        <f t="shared" si="5"/>
        <v>4335.8587</v>
      </c>
      <c r="Z15" s="98">
        <f t="shared" si="5"/>
        <v>4335.8587</v>
      </c>
      <c r="AA15" s="50">
        <f t="shared" si="1"/>
        <v>0</v>
      </c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ht="51.75">
      <c r="A16" s="53"/>
      <c r="B16" s="53"/>
      <c r="C16" s="112" t="s">
        <v>93</v>
      </c>
      <c r="D16" s="59" t="s">
        <v>94</v>
      </c>
      <c r="E16" s="54">
        <f>SUM(E17:E40)</f>
        <v>15828.2317</v>
      </c>
      <c r="F16" s="54">
        <f t="shared" si="3"/>
        <v>15828.2317</v>
      </c>
      <c r="G16" s="99">
        <f aca="true" t="shared" si="6" ref="G16:Z16">SUM(G17:G40)</f>
        <v>1876.933</v>
      </c>
      <c r="H16" s="99">
        <f t="shared" si="6"/>
        <v>1876.933</v>
      </c>
      <c r="I16" s="99">
        <f t="shared" si="6"/>
        <v>629.3000000000001</v>
      </c>
      <c r="J16" s="99">
        <f t="shared" si="6"/>
        <v>629.3000000000001</v>
      </c>
      <c r="K16" s="99">
        <f t="shared" si="6"/>
        <v>1570.927</v>
      </c>
      <c r="L16" s="99">
        <f t="shared" si="6"/>
        <v>1570.927</v>
      </c>
      <c r="M16" s="99">
        <f t="shared" si="6"/>
        <v>1933.265</v>
      </c>
      <c r="N16" s="99">
        <f t="shared" si="6"/>
        <v>1933.265</v>
      </c>
      <c r="O16" s="99">
        <f t="shared" si="6"/>
        <v>366</v>
      </c>
      <c r="P16" s="99">
        <f t="shared" si="6"/>
        <v>366</v>
      </c>
      <c r="Q16" s="99">
        <f t="shared" si="6"/>
        <v>190</v>
      </c>
      <c r="R16" s="99">
        <f t="shared" si="6"/>
        <v>190</v>
      </c>
      <c r="S16" s="99">
        <f t="shared" si="6"/>
        <v>585.66</v>
      </c>
      <c r="T16" s="99">
        <f t="shared" si="6"/>
        <v>585.66</v>
      </c>
      <c r="U16" s="99">
        <f t="shared" si="6"/>
        <v>1101.288</v>
      </c>
      <c r="V16" s="99">
        <f t="shared" si="6"/>
        <v>1101.288</v>
      </c>
      <c r="W16" s="99">
        <f t="shared" si="6"/>
        <v>3239</v>
      </c>
      <c r="X16" s="99">
        <f t="shared" si="6"/>
        <v>3239</v>
      </c>
      <c r="Y16" s="99">
        <f t="shared" si="6"/>
        <v>4335.8587</v>
      </c>
      <c r="Z16" s="99">
        <f t="shared" si="6"/>
        <v>4335.8587</v>
      </c>
      <c r="AA16" s="50">
        <f t="shared" si="1"/>
        <v>0</v>
      </c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39">
      <c r="A17" s="53"/>
      <c r="B17" s="53"/>
      <c r="C17" s="112"/>
      <c r="D17" s="59" t="s">
        <v>95</v>
      </c>
      <c r="E17" s="54">
        <f>G17+I17+K17+M17+O17+Q17+S17+U17+W17+Y17</f>
        <v>300</v>
      </c>
      <c r="F17" s="54">
        <f t="shared" si="3"/>
        <v>300</v>
      </c>
      <c r="G17" s="99">
        <v>100</v>
      </c>
      <c r="H17" s="99">
        <v>100</v>
      </c>
      <c r="I17" s="99"/>
      <c r="J17" s="99"/>
      <c r="K17" s="99">
        <v>100</v>
      </c>
      <c r="L17" s="99">
        <v>100</v>
      </c>
      <c r="M17" s="99">
        <v>100</v>
      </c>
      <c r="N17" s="99">
        <v>100</v>
      </c>
      <c r="O17" s="100"/>
      <c r="P17" s="100"/>
      <c r="Q17" s="99"/>
      <c r="R17" s="99"/>
      <c r="S17" s="99"/>
      <c r="T17" s="99"/>
      <c r="U17" s="99"/>
      <c r="V17" s="99"/>
      <c r="W17" s="99"/>
      <c r="X17" s="99"/>
      <c r="Y17" s="91"/>
      <c r="Z17" s="101"/>
      <c r="AA17" s="50">
        <f t="shared" si="1"/>
        <v>0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39">
      <c r="A18" s="53"/>
      <c r="B18" s="53"/>
      <c r="C18" s="112"/>
      <c r="D18" s="59" t="s">
        <v>96</v>
      </c>
      <c r="E18" s="54">
        <f>G18+I18+K18+M18+O18+Q18+S18+U18+W18+Y18</f>
        <v>3236.205</v>
      </c>
      <c r="F18" s="54">
        <f t="shared" si="3"/>
        <v>3236.205</v>
      </c>
      <c r="G18" s="99">
        <v>1083.313</v>
      </c>
      <c r="H18" s="99">
        <v>1083.313</v>
      </c>
      <c r="I18" s="99"/>
      <c r="J18" s="99"/>
      <c r="K18" s="99">
        <v>1084.627</v>
      </c>
      <c r="L18" s="99">
        <v>1084.627</v>
      </c>
      <c r="M18" s="99">
        <v>1068.265</v>
      </c>
      <c r="N18" s="99">
        <v>1068.265</v>
      </c>
      <c r="O18" s="100"/>
      <c r="P18" s="100"/>
      <c r="Q18" s="99"/>
      <c r="R18" s="99"/>
      <c r="S18" s="99"/>
      <c r="T18" s="99"/>
      <c r="U18" s="99"/>
      <c r="V18" s="99"/>
      <c r="W18" s="99"/>
      <c r="X18" s="99"/>
      <c r="Y18" s="91"/>
      <c r="Z18" s="101"/>
      <c r="AA18" s="50">
        <f t="shared" si="1"/>
        <v>0</v>
      </c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15">
      <c r="A19" s="53"/>
      <c r="B19" s="53"/>
      <c r="C19" s="112"/>
      <c r="D19" s="59" t="s">
        <v>97</v>
      </c>
      <c r="E19" s="54">
        <f>G19+I19+K19+M19+O19+Q19+S19+U19+W19+Y19</f>
        <v>1260</v>
      </c>
      <c r="F19" s="54">
        <f t="shared" si="3"/>
        <v>1260</v>
      </c>
      <c r="G19" s="99"/>
      <c r="H19" s="99"/>
      <c r="I19" s="99"/>
      <c r="J19" s="99"/>
      <c r="K19" s="99">
        <v>150</v>
      </c>
      <c r="L19" s="99">
        <v>150</v>
      </c>
      <c r="M19" s="99"/>
      <c r="N19" s="99"/>
      <c r="O19" s="100">
        <v>30</v>
      </c>
      <c r="P19" s="100">
        <v>30</v>
      </c>
      <c r="Q19" s="99"/>
      <c r="R19" s="99"/>
      <c r="S19" s="99">
        <v>80</v>
      </c>
      <c r="T19" s="99">
        <v>80</v>
      </c>
      <c r="U19" s="99"/>
      <c r="V19" s="99"/>
      <c r="W19" s="99">
        <v>1000</v>
      </c>
      <c r="X19" s="99">
        <v>1000</v>
      </c>
      <c r="Y19" s="91"/>
      <c r="Z19" s="101"/>
      <c r="AA19" s="50">
        <f t="shared" si="1"/>
        <v>0</v>
      </c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15">
      <c r="A20" s="60"/>
      <c r="B20" s="61"/>
      <c r="C20" s="66"/>
      <c r="D20" s="102" t="s">
        <v>98</v>
      </c>
      <c r="E20" s="54">
        <f t="shared" si="3"/>
        <v>500</v>
      </c>
      <c r="F20" s="54">
        <f t="shared" si="3"/>
        <v>500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2">
        <f>300+200</f>
        <v>500</v>
      </c>
      <c r="X20" s="62">
        <v>500</v>
      </c>
      <c r="Y20" s="63"/>
      <c r="Z20" s="64"/>
      <c r="AA20" s="50">
        <f t="shared" si="1"/>
        <v>0</v>
      </c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</row>
    <row r="21" spans="1:256" ht="15">
      <c r="A21" s="60"/>
      <c r="B21" s="61"/>
      <c r="C21" s="66"/>
      <c r="D21" s="102" t="s">
        <v>99</v>
      </c>
      <c r="E21" s="54">
        <f t="shared" si="3"/>
        <v>96</v>
      </c>
      <c r="F21" s="54">
        <f t="shared" si="3"/>
        <v>96</v>
      </c>
      <c r="G21" s="68"/>
      <c r="H21" s="68"/>
      <c r="I21" s="68"/>
      <c r="J21" s="68"/>
      <c r="K21" s="68"/>
      <c r="L21" s="68"/>
      <c r="M21" s="68"/>
      <c r="N21" s="68"/>
      <c r="O21" s="68">
        <v>96</v>
      </c>
      <c r="P21" s="68">
        <v>96</v>
      </c>
      <c r="Q21" s="68"/>
      <c r="R21" s="68"/>
      <c r="S21" s="68"/>
      <c r="T21" s="68"/>
      <c r="U21" s="68"/>
      <c r="V21" s="68"/>
      <c r="W21" s="62"/>
      <c r="X21" s="62"/>
      <c r="Y21" s="63"/>
      <c r="Z21" s="64"/>
      <c r="AA21" s="50">
        <f t="shared" si="1"/>
        <v>0</v>
      </c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</row>
    <row r="22" spans="1:256" ht="30">
      <c r="A22" s="60"/>
      <c r="B22" s="61"/>
      <c r="C22" s="66"/>
      <c r="D22" s="67" t="s">
        <v>100</v>
      </c>
      <c r="E22" s="54">
        <f t="shared" si="3"/>
        <v>34</v>
      </c>
      <c r="F22" s="54">
        <f t="shared" si="3"/>
        <v>34</v>
      </c>
      <c r="G22" s="68"/>
      <c r="H22" s="68"/>
      <c r="I22" s="68">
        <v>8.1</v>
      </c>
      <c r="J22" s="68">
        <v>8.1</v>
      </c>
      <c r="K22" s="68">
        <v>6.3</v>
      </c>
      <c r="L22" s="68">
        <v>6.3</v>
      </c>
      <c r="M22" s="68"/>
      <c r="N22" s="68"/>
      <c r="O22" s="68"/>
      <c r="P22" s="68"/>
      <c r="Q22" s="68"/>
      <c r="R22" s="68"/>
      <c r="S22" s="68"/>
      <c r="T22" s="68"/>
      <c r="U22" s="68">
        <v>19.6</v>
      </c>
      <c r="V22" s="68">
        <v>19.6</v>
      </c>
      <c r="W22" s="62"/>
      <c r="X22" s="62"/>
      <c r="Y22" s="63"/>
      <c r="Z22" s="64"/>
      <c r="AA22" s="50">
        <f t="shared" si="1"/>
        <v>0</v>
      </c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</row>
    <row r="23" spans="1:256" ht="15">
      <c r="A23" s="60"/>
      <c r="B23" s="61"/>
      <c r="C23" s="66"/>
      <c r="D23" s="67" t="s">
        <v>101</v>
      </c>
      <c r="E23" s="54">
        <f t="shared" si="3"/>
        <v>0</v>
      </c>
      <c r="F23" s="54">
        <f t="shared" si="3"/>
        <v>0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2"/>
      <c r="X23" s="62"/>
      <c r="Y23" s="63">
        <v>0</v>
      </c>
      <c r="Z23" s="64"/>
      <c r="AA23" s="50">
        <f t="shared" si="1"/>
        <v>0</v>
      </c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</row>
    <row r="24" spans="1:256" ht="15">
      <c r="A24" s="60"/>
      <c r="B24" s="61"/>
      <c r="C24" s="66"/>
      <c r="D24" s="67" t="s">
        <v>102</v>
      </c>
      <c r="E24" s="54">
        <f t="shared" si="3"/>
        <v>200</v>
      </c>
      <c r="F24" s="54">
        <f t="shared" si="3"/>
        <v>200</v>
      </c>
      <c r="G24" s="68"/>
      <c r="H24" s="68"/>
      <c r="I24" s="68"/>
      <c r="J24" s="68"/>
      <c r="K24" s="68"/>
      <c r="L24" s="68"/>
      <c r="M24" s="68">
        <v>200</v>
      </c>
      <c r="N24" s="68">
        <f>123+77</f>
        <v>200</v>
      </c>
      <c r="O24" s="68"/>
      <c r="P24" s="68"/>
      <c r="Q24" s="68"/>
      <c r="R24" s="68"/>
      <c r="S24" s="68"/>
      <c r="T24" s="68"/>
      <c r="U24" s="68"/>
      <c r="V24" s="68"/>
      <c r="W24" s="62"/>
      <c r="X24" s="62"/>
      <c r="Y24" s="63"/>
      <c r="Z24" s="64"/>
      <c r="AA24" s="50">
        <f t="shared" si="1"/>
        <v>0</v>
      </c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</row>
    <row r="25" spans="1:256" ht="15">
      <c r="A25" s="60"/>
      <c r="B25" s="61"/>
      <c r="C25" s="66"/>
      <c r="D25" s="67" t="s">
        <v>103</v>
      </c>
      <c r="E25" s="54">
        <f t="shared" si="3"/>
        <v>180</v>
      </c>
      <c r="F25" s="54">
        <f t="shared" si="3"/>
        <v>180</v>
      </c>
      <c r="G25" s="68"/>
      <c r="H25" s="68"/>
      <c r="I25" s="68"/>
      <c r="J25" s="68"/>
      <c r="K25" s="68">
        <v>180</v>
      </c>
      <c r="L25" s="68">
        <v>180</v>
      </c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2"/>
      <c r="X25" s="62"/>
      <c r="Y25" s="63"/>
      <c r="Z25" s="64"/>
      <c r="AA25" s="50">
        <f t="shared" si="1"/>
        <v>0</v>
      </c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</row>
    <row r="26" spans="1:256" ht="15">
      <c r="A26" s="60"/>
      <c r="B26" s="61"/>
      <c r="C26" s="66"/>
      <c r="D26" s="67" t="s">
        <v>104</v>
      </c>
      <c r="E26" s="54">
        <f t="shared" si="3"/>
        <v>150</v>
      </c>
      <c r="F26" s="54">
        <f t="shared" si="3"/>
        <v>150</v>
      </c>
      <c r="G26" s="68"/>
      <c r="H26" s="68"/>
      <c r="I26" s="68">
        <v>100</v>
      </c>
      <c r="J26" s="68">
        <v>100</v>
      </c>
      <c r="K26" s="68">
        <v>50</v>
      </c>
      <c r="L26" s="68">
        <v>50</v>
      </c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2"/>
      <c r="X26" s="62"/>
      <c r="Y26" s="63"/>
      <c r="Z26" s="64"/>
      <c r="AA26" s="50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</row>
    <row r="27" spans="1:256" ht="15">
      <c r="A27" s="60"/>
      <c r="B27" s="61"/>
      <c r="C27" s="66"/>
      <c r="D27" s="67" t="s">
        <v>105</v>
      </c>
      <c r="E27" s="54">
        <f t="shared" si="3"/>
        <v>100</v>
      </c>
      <c r="F27" s="54">
        <f t="shared" si="3"/>
        <v>100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2"/>
      <c r="X27" s="62"/>
      <c r="Y27" s="63">
        <v>100</v>
      </c>
      <c r="Z27" s="64">
        <v>100</v>
      </c>
      <c r="AA27" s="50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</row>
    <row r="28" spans="1:256" ht="15">
      <c r="A28" s="60"/>
      <c r="B28" s="61"/>
      <c r="C28" s="66"/>
      <c r="D28" s="67" t="s">
        <v>106</v>
      </c>
      <c r="E28" s="54">
        <f t="shared" si="3"/>
        <v>249</v>
      </c>
      <c r="F28" s="54">
        <f t="shared" si="3"/>
        <v>249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2"/>
      <c r="X28" s="62"/>
      <c r="Y28" s="63">
        <v>249</v>
      </c>
      <c r="Z28" s="64">
        <v>249</v>
      </c>
      <c r="AA28" s="50">
        <f t="shared" si="1"/>
        <v>0</v>
      </c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</row>
    <row r="29" spans="1:256" ht="15">
      <c r="A29" s="60"/>
      <c r="B29" s="61"/>
      <c r="C29" s="66"/>
      <c r="D29" s="67" t="s">
        <v>107</v>
      </c>
      <c r="E29" s="54">
        <f t="shared" si="3"/>
        <v>1977.688</v>
      </c>
      <c r="F29" s="54">
        <f t="shared" si="3"/>
        <v>1977.688</v>
      </c>
      <c r="G29" s="68">
        <f>30+100+120</f>
        <v>250</v>
      </c>
      <c r="H29" s="68">
        <f>130+120</f>
        <v>250</v>
      </c>
      <c r="I29" s="68">
        <f>10+100+10</f>
        <v>120</v>
      </c>
      <c r="J29" s="68">
        <f>10+10+90+10</f>
        <v>120</v>
      </c>
      <c r="K29" s="68"/>
      <c r="L29" s="68"/>
      <c r="M29" s="68">
        <v>90</v>
      </c>
      <c r="N29" s="68">
        <v>90</v>
      </c>
      <c r="O29" s="68"/>
      <c r="P29" s="68"/>
      <c r="Q29" s="68">
        <v>90</v>
      </c>
      <c r="R29" s="68">
        <v>90</v>
      </c>
      <c r="S29" s="68">
        <f>135+220</f>
        <v>355</v>
      </c>
      <c r="T29" s="68">
        <v>355</v>
      </c>
      <c r="U29" s="68">
        <f>100+52.688</f>
        <v>152.688</v>
      </c>
      <c r="V29" s="68">
        <f>100+52.688</f>
        <v>152.688</v>
      </c>
      <c r="W29" s="62">
        <f>20+450+450</f>
        <v>920</v>
      </c>
      <c r="X29" s="62">
        <v>920</v>
      </c>
      <c r="Y29" s="63"/>
      <c r="Z29" s="64"/>
      <c r="AA29" s="50">
        <f t="shared" si="1"/>
        <v>0</v>
      </c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56" ht="30">
      <c r="A30" s="60"/>
      <c r="B30" s="61"/>
      <c r="C30" s="66"/>
      <c r="D30" s="67" t="s">
        <v>108</v>
      </c>
      <c r="E30" s="54">
        <f t="shared" si="3"/>
        <v>1251</v>
      </c>
      <c r="F30" s="54">
        <f t="shared" si="3"/>
        <v>1251</v>
      </c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2"/>
      <c r="X30" s="62"/>
      <c r="Y30" s="63">
        <v>1251</v>
      </c>
      <c r="Z30" s="64">
        <v>1251</v>
      </c>
      <c r="AA30" s="50">
        <f t="shared" si="1"/>
        <v>0</v>
      </c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</row>
    <row r="31" spans="1:256" ht="15">
      <c r="A31" s="60"/>
      <c r="B31" s="61"/>
      <c r="C31" s="66"/>
      <c r="D31" s="67" t="s">
        <v>109</v>
      </c>
      <c r="E31" s="54">
        <f aca="true" t="shared" si="7" ref="E31:F33">G31+I31+K31+M31+O31+Q31+S31+U31+W31+Y31</f>
        <v>806.9</v>
      </c>
      <c r="F31" s="54">
        <f t="shared" si="7"/>
        <v>806.9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2"/>
      <c r="X31" s="62"/>
      <c r="Y31" s="63">
        <v>806.9</v>
      </c>
      <c r="Z31" s="64">
        <v>806.9</v>
      </c>
      <c r="AA31" s="50">
        <f t="shared" si="1"/>
        <v>0</v>
      </c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</row>
    <row r="32" spans="1:256" ht="30">
      <c r="A32" s="60"/>
      <c r="B32" s="61"/>
      <c r="C32" s="66"/>
      <c r="D32" s="67" t="s">
        <v>110</v>
      </c>
      <c r="E32" s="54">
        <f t="shared" si="7"/>
        <v>1589.3</v>
      </c>
      <c r="F32" s="54">
        <f t="shared" si="7"/>
        <v>1589.3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2"/>
      <c r="X32" s="62"/>
      <c r="Y32" s="63">
        <v>1589.3</v>
      </c>
      <c r="Z32" s="64">
        <v>1589.3</v>
      </c>
      <c r="AA32" s="50">
        <f t="shared" si="1"/>
        <v>0</v>
      </c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</row>
    <row r="33" spans="1:256" ht="30">
      <c r="A33" s="60"/>
      <c r="B33" s="61"/>
      <c r="C33" s="66"/>
      <c r="D33" s="67" t="s">
        <v>111</v>
      </c>
      <c r="E33" s="54">
        <f t="shared" si="7"/>
        <v>250</v>
      </c>
      <c r="F33" s="54">
        <f t="shared" si="7"/>
        <v>250</v>
      </c>
      <c r="G33" s="68"/>
      <c r="H33" s="68"/>
      <c r="I33" s="68"/>
      <c r="J33" s="68"/>
      <c r="K33" s="68"/>
      <c r="L33" s="68"/>
      <c r="M33" s="68"/>
      <c r="N33" s="68"/>
      <c r="O33" s="68">
        <v>100</v>
      </c>
      <c r="P33" s="68">
        <v>100</v>
      </c>
      <c r="Q33" s="68">
        <v>100</v>
      </c>
      <c r="R33" s="68">
        <v>100</v>
      </c>
      <c r="S33" s="68"/>
      <c r="T33" s="68"/>
      <c r="U33" s="68"/>
      <c r="V33" s="68"/>
      <c r="W33" s="62">
        <f>50</f>
        <v>50</v>
      </c>
      <c r="X33" s="62">
        <v>50</v>
      </c>
      <c r="Y33" s="63"/>
      <c r="Z33" s="64"/>
      <c r="AA33" s="50">
        <f t="shared" si="1"/>
        <v>0</v>
      </c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</row>
    <row r="34" spans="1:256" ht="15">
      <c r="A34" s="60"/>
      <c r="B34" s="61"/>
      <c r="C34" s="66"/>
      <c r="D34" s="67" t="s">
        <v>113</v>
      </c>
      <c r="E34" s="54">
        <f aca="true" t="shared" si="8" ref="E34:F40">G34+I34+K34+M34+O34+Q34+S34+U34+W34+Y34</f>
        <v>1455</v>
      </c>
      <c r="F34" s="54">
        <f t="shared" si="8"/>
        <v>1455</v>
      </c>
      <c r="G34" s="68">
        <f>50+10</f>
        <v>60</v>
      </c>
      <c r="H34" s="68">
        <f>10+50</f>
        <v>60</v>
      </c>
      <c r="I34" s="68">
        <f>60+80+135</f>
        <v>275</v>
      </c>
      <c r="J34" s="68">
        <f>135+140</f>
        <v>275</v>
      </c>
      <c r="K34" s="68"/>
      <c r="L34" s="68"/>
      <c r="M34" s="68">
        <v>100</v>
      </c>
      <c r="N34" s="68">
        <v>100</v>
      </c>
      <c r="O34" s="68">
        <f>70+50</f>
        <v>120</v>
      </c>
      <c r="P34" s="68">
        <v>120</v>
      </c>
      <c r="Q34" s="68"/>
      <c r="R34" s="68"/>
      <c r="S34" s="68">
        <v>50</v>
      </c>
      <c r="T34" s="68">
        <v>50</v>
      </c>
      <c r="U34" s="68">
        <f>300-300+250</f>
        <v>250</v>
      </c>
      <c r="V34" s="68">
        <v>250</v>
      </c>
      <c r="W34" s="62">
        <f>200+200+200</f>
        <v>600</v>
      </c>
      <c r="X34" s="62">
        <f>200+200+200</f>
        <v>600</v>
      </c>
      <c r="Y34" s="63"/>
      <c r="Z34" s="64"/>
      <c r="AA34" s="50">
        <f t="shared" si="1"/>
        <v>0</v>
      </c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  <c r="IV34" s="65"/>
    </row>
    <row r="35" spans="1:256" ht="15">
      <c r="A35" s="60"/>
      <c r="B35" s="61"/>
      <c r="C35" s="66"/>
      <c r="D35" s="67" t="s">
        <v>114</v>
      </c>
      <c r="E35" s="54">
        <f t="shared" si="8"/>
        <v>1175</v>
      </c>
      <c r="F35" s="54">
        <f t="shared" si="8"/>
        <v>1175</v>
      </c>
      <c r="G35" s="68">
        <f>150+100+50</f>
        <v>300</v>
      </c>
      <c r="H35" s="68">
        <f>150+150</f>
        <v>300</v>
      </c>
      <c r="I35" s="68">
        <v>50</v>
      </c>
      <c r="J35" s="68">
        <v>50</v>
      </c>
      <c r="K35" s="68"/>
      <c r="L35" s="68"/>
      <c r="M35" s="68">
        <f>50+125+200</f>
        <v>375</v>
      </c>
      <c r="N35" s="68">
        <v>375</v>
      </c>
      <c r="O35" s="68">
        <v>20</v>
      </c>
      <c r="P35" s="68">
        <v>20</v>
      </c>
      <c r="Q35" s="68">
        <f>500+500-1000</f>
        <v>0</v>
      </c>
      <c r="R35" s="68">
        <f>200-200</f>
        <v>0</v>
      </c>
      <c r="S35" s="68"/>
      <c r="T35" s="68"/>
      <c r="U35" s="68">
        <f>179+300-109</f>
        <v>370</v>
      </c>
      <c r="V35" s="68">
        <v>370</v>
      </c>
      <c r="W35" s="62">
        <v>60</v>
      </c>
      <c r="X35" s="62">
        <v>60</v>
      </c>
      <c r="Y35" s="63"/>
      <c r="Z35" s="64"/>
      <c r="AA35" s="50">
        <f t="shared" si="1"/>
        <v>0</v>
      </c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</row>
    <row r="36" spans="1:256" ht="15">
      <c r="A36" s="60"/>
      <c r="B36" s="61"/>
      <c r="C36" s="66"/>
      <c r="D36" s="67" t="s">
        <v>115</v>
      </c>
      <c r="E36" s="54">
        <f t="shared" si="8"/>
        <v>218</v>
      </c>
      <c r="F36" s="78">
        <f t="shared" si="8"/>
        <v>218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>
        <v>109</v>
      </c>
      <c r="V36" s="68">
        <f>20+89</f>
        <v>109</v>
      </c>
      <c r="W36" s="62">
        <v>109</v>
      </c>
      <c r="X36" s="62">
        <v>109</v>
      </c>
      <c r="Y36" s="63"/>
      <c r="Z36" s="64"/>
      <c r="AA36" s="50">
        <f t="shared" si="1"/>
        <v>0</v>
      </c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</row>
    <row r="37" spans="1:256" ht="15">
      <c r="A37" s="60"/>
      <c r="B37" s="61"/>
      <c r="C37" s="66"/>
      <c r="D37" s="67" t="s">
        <v>116</v>
      </c>
      <c r="E37" s="54">
        <f t="shared" si="8"/>
        <v>184.28</v>
      </c>
      <c r="F37" s="54">
        <f t="shared" si="8"/>
        <v>184.28</v>
      </c>
      <c r="G37" s="68">
        <v>83.62</v>
      </c>
      <c r="H37" s="68">
        <v>83.62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>
        <v>100.66</v>
      </c>
      <c r="T37" s="68">
        <v>100.66</v>
      </c>
      <c r="U37" s="68"/>
      <c r="V37" s="68"/>
      <c r="W37" s="62"/>
      <c r="X37" s="62"/>
      <c r="Y37" s="63"/>
      <c r="Z37" s="64"/>
      <c r="AA37" s="50">
        <f t="shared" si="1"/>
        <v>0</v>
      </c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</row>
    <row r="38" spans="1:256" ht="15">
      <c r="A38" s="60"/>
      <c r="B38" s="61"/>
      <c r="C38" s="66"/>
      <c r="D38" s="67" t="s">
        <v>117</v>
      </c>
      <c r="E38" s="54">
        <f t="shared" si="8"/>
        <v>76.2</v>
      </c>
      <c r="F38" s="54">
        <f t="shared" si="8"/>
        <v>76.2</v>
      </c>
      <c r="G38" s="68"/>
      <c r="H38" s="68"/>
      <c r="I38" s="68">
        <v>76.2</v>
      </c>
      <c r="J38" s="68">
        <v>76.2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2"/>
      <c r="X38" s="62"/>
      <c r="Y38" s="63"/>
      <c r="Z38" s="64"/>
      <c r="AA38" s="50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</row>
    <row r="39" spans="1:256" ht="15">
      <c r="A39" s="60"/>
      <c r="B39" s="61"/>
      <c r="C39" s="66"/>
      <c r="D39" s="67" t="s">
        <v>118</v>
      </c>
      <c r="E39" s="54">
        <f t="shared" si="8"/>
        <v>200</v>
      </c>
      <c r="F39" s="54">
        <f t="shared" si="8"/>
        <v>200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>
        <v>200</v>
      </c>
      <c r="V39" s="68">
        <v>200</v>
      </c>
      <c r="W39" s="62"/>
      <c r="X39" s="62"/>
      <c r="Y39" s="63"/>
      <c r="Z39" s="64"/>
      <c r="AA39" s="50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  <row r="40" spans="1:256" ht="15">
      <c r="A40" s="60"/>
      <c r="B40" s="61"/>
      <c r="C40" s="66"/>
      <c r="D40" s="103" t="s">
        <v>119</v>
      </c>
      <c r="E40" s="54">
        <f t="shared" si="8"/>
        <v>339.6587</v>
      </c>
      <c r="F40" s="54">
        <f t="shared" si="8"/>
        <v>339.6587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104"/>
      <c r="X40" s="104"/>
      <c r="Y40" s="63">
        <v>339.6587</v>
      </c>
      <c r="Z40" s="105">
        <v>339.6587</v>
      </c>
      <c r="AA40" s="50">
        <f t="shared" si="1"/>
        <v>0</v>
      </c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</row>
    <row r="41" spans="1:256" ht="76.5">
      <c r="A41" s="60"/>
      <c r="B41" s="61"/>
      <c r="C41" s="66"/>
      <c r="D41" s="265" t="s">
        <v>412</v>
      </c>
      <c r="E41" s="54">
        <f>E42</f>
        <v>480</v>
      </c>
      <c r="F41" s="54">
        <f aca="true" t="shared" si="9" ref="F41:Z41">F42</f>
        <v>480</v>
      </c>
      <c r="G41" s="54">
        <f t="shared" si="9"/>
        <v>80</v>
      </c>
      <c r="H41" s="54">
        <f t="shared" si="9"/>
        <v>80</v>
      </c>
      <c r="I41" s="54">
        <f t="shared" si="9"/>
        <v>70</v>
      </c>
      <c r="J41" s="54">
        <f t="shared" si="9"/>
        <v>70</v>
      </c>
      <c r="K41" s="54">
        <f t="shared" si="9"/>
        <v>50</v>
      </c>
      <c r="L41" s="54">
        <f t="shared" si="9"/>
        <v>50</v>
      </c>
      <c r="M41" s="54">
        <f t="shared" si="9"/>
        <v>50</v>
      </c>
      <c r="N41" s="54">
        <f t="shared" si="9"/>
        <v>50</v>
      </c>
      <c r="O41" s="54">
        <f t="shared" si="9"/>
        <v>40</v>
      </c>
      <c r="P41" s="54">
        <f t="shared" si="9"/>
        <v>40</v>
      </c>
      <c r="Q41" s="54">
        <f t="shared" si="9"/>
        <v>40</v>
      </c>
      <c r="R41" s="54">
        <f t="shared" si="9"/>
        <v>40</v>
      </c>
      <c r="S41" s="54">
        <f t="shared" si="9"/>
        <v>40</v>
      </c>
      <c r="T41" s="54">
        <f t="shared" si="9"/>
        <v>40</v>
      </c>
      <c r="U41" s="54">
        <f t="shared" si="9"/>
        <v>50</v>
      </c>
      <c r="V41" s="54">
        <f t="shared" si="9"/>
        <v>50</v>
      </c>
      <c r="W41" s="54">
        <f t="shared" si="9"/>
        <v>60</v>
      </c>
      <c r="X41" s="54">
        <f t="shared" si="9"/>
        <v>60</v>
      </c>
      <c r="Y41" s="54">
        <f t="shared" si="9"/>
        <v>0</v>
      </c>
      <c r="Z41" s="54">
        <f t="shared" si="9"/>
        <v>0</v>
      </c>
      <c r="AA41" s="50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</row>
    <row r="42" spans="1:256" s="273" customFormat="1" ht="45">
      <c r="A42" s="266"/>
      <c r="B42" s="267"/>
      <c r="C42" s="274"/>
      <c r="D42" s="275" t="s">
        <v>112</v>
      </c>
      <c r="E42" s="54">
        <f>G42+I42+K42+M42+O42+Q42+S42+U42+W42+Y42</f>
        <v>480</v>
      </c>
      <c r="F42" s="54">
        <f>H42+J42+L42+N42+P42+R42+T42+V42+X42+Z42</f>
        <v>480</v>
      </c>
      <c r="G42" s="276">
        <v>80</v>
      </c>
      <c r="H42" s="276">
        <v>80</v>
      </c>
      <c r="I42" s="276">
        <v>70</v>
      </c>
      <c r="J42" s="276">
        <v>70</v>
      </c>
      <c r="K42" s="276">
        <v>50</v>
      </c>
      <c r="L42" s="276">
        <v>50</v>
      </c>
      <c r="M42" s="276">
        <v>50</v>
      </c>
      <c r="N42" s="276">
        <v>50</v>
      </c>
      <c r="O42" s="276">
        <v>40</v>
      </c>
      <c r="P42" s="276">
        <v>40</v>
      </c>
      <c r="Q42" s="276">
        <v>40</v>
      </c>
      <c r="R42" s="276">
        <v>40</v>
      </c>
      <c r="S42" s="276">
        <v>40</v>
      </c>
      <c r="T42" s="276">
        <v>40</v>
      </c>
      <c r="U42" s="276">
        <v>50</v>
      </c>
      <c r="V42" s="276">
        <v>50</v>
      </c>
      <c r="W42" s="62">
        <v>60</v>
      </c>
      <c r="X42" s="62">
        <v>60</v>
      </c>
      <c r="Y42" s="268"/>
      <c r="Z42" s="269"/>
      <c r="AA42" s="270">
        <f>E42-F42</f>
        <v>0</v>
      </c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  <c r="GN42" s="272"/>
      <c r="GO42" s="272"/>
      <c r="GP42" s="272"/>
      <c r="GQ42" s="272"/>
      <c r="GR42" s="272"/>
      <c r="GS42" s="272"/>
      <c r="GT42" s="272"/>
      <c r="GU42" s="272"/>
      <c r="GV42" s="272"/>
      <c r="GW42" s="272"/>
      <c r="GX42" s="272"/>
      <c r="GY42" s="272"/>
      <c r="GZ42" s="272"/>
      <c r="HA42" s="272"/>
      <c r="HB42" s="272"/>
      <c r="HC42" s="272"/>
      <c r="HD42" s="272"/>
      <c r="HE42" s="272"/>
      <c r="HF42" s="272"/>
      <c r="HG42" s="272"/>
      <c r="HH42" s="272"/>
      <c r="HI42" s="272"/>
      <c r="HJ42" s="272"/>
      <c r="HK42" s="272"/>
      <c r="HL42" s="272"/>
      <c r="HM42" s="272"/>
      <c r="HN42" s="272"/>
      <c r="HO42" s="272"/>
      <c r="HP42" s="272"/>
      <c r="HQ42" s="272"/>
      <c r="HR42" s="272"/>
      <c r="HS42" s="272"/>
      <c r="HT42" s="272"/>
      <c r="HU42" s="272"/>
      <c r="HV42" s="272"/>
      <c r="HW42" s="272"/>
      <c r="HX42" s="272"/>
      <c r="HY42" s="272"/>
      <c r="HZ42" s="272"/>
      <c r="IA42" s="272"/>
      <c r="IB42" s="272"/>
      <c r="IC42" s="272"/>
      <c r="ID42" s="272"/>
      <c r="IE42" s="272"/>
      <c r="IF42" s="272"/>
      <c r="IG42" s="272"/>
      <c r="IH42" s="272"/>
      <c r="II42" s="272"/>
      <c r="IJ42" s="272"/>
      <c r="IK42" s="272"/>
      <c r="IL42" s="272"/>
      <c r="IM42" s="272"/>
      <c r="IN42" s="272"/>
      <c r="IO42" s="272"/>
      <c r="IP42" s="272"/>
      <c r="IQ42" s="272"/>
      <c r="IR42" s="272"/>
      <c r="IS42" s="272"/>
      <c r="IT42" s="272"/>
      <c r="IU42" s="272"/>
      <c r="IV42" s="272"/>
    </row>
    <row r="43" spans="1:256" ht="12.75">
      <c r="A43" s="126"/>
      <c r="B43" s="127"/>
      <c r="C43" s="123" t="s">
        <v>91</v>
      </c>
      <c r="D43" s="125" t="s">
        <v>120</v>
      </c>
      <c r="E43" s="128">
        <f>G43+I43+K43+M43+O43+Q43+S43+U43+W43+Y43</f>
        <v>51738.5317</v>
      </c>
      <c r="F43" s="128">
        <f>H43+J43+L43+N43+P43+R43+T43+V43+X43+Z43</f>
        <v>51738.5317</v>
      </c>
      <c r="G43" s="124">
        <f aca="true" t="shared" si="10" ref="G43:Z43">G8+G13+G11+G15</f>
        <v>5903.133</v>
      </c>
      <c r="H43" s="124">
        <f t="shared" si="10"/>
        <v>5903.133</v>
      </c>
      <c r="I43" s="124">
        <f t="shared" si="10"/>
        <v>5222</v>
      </c>
      <c r="J43" s="124">
        <f t="shared" si="10"/>
        <v>5222</v>
      </c>
      <c r="K43" s="124">
        <f t="shared" si="10"/>
        <v>5008.727</v>
      </c>
      <c r="L43" s="124">
        <f t="shared" si="10"/>
        <v>5008.727</v>
      </c>
      <c r="M43" s="124">
        <f t="shared" si="10"/>
        <v>5817.5650000000005</v>
      </c>
      <c r="N43" s="124">
        <f t="shared" si="10"/>
        <v>5817.5650000000005</v>
      </c>
      <c r="O43" s="124">
        <f t="shared" si="10"/>
        <v>3025.6</v>
      </c>
      <c r="P43" s="124">
        <f t="shared" si="10"/>
        <v>3025.6</v>
      </c>
      <c r="Q43" s="124">
        <f t="shared" si="10"/>
        <v>2645.1</v>
      </c>
      <c r="R43" s="124">
        <f t="shared" si="10"/>
        <v>2645.1</v>
      </c>
      <c r="S43" s="124">
        <f t="shared" si="10"/>
        <v>3406.2599999999998</v>
      </c>
      <c r="T43" s="124">
        <f t="shared" si="10"/>
        <v>3406.2599999999998</v>
      </c>
      <c r="U43" s="124">
        <f t="shared" si="10"/>
        <v>4138.988</v>
      </c>
      <c r="V43" s="124">
        <f t="shared" si="10"/>
        <v>4138.987999999999</v>
      </c>
      <c r="W43" s="124">
        <f t="shared" si="10"/>
        <v>8630.099999999999</v>
      </c>
      <c r="X43" s="124">
        <f t="shared" si="10"/>
        <v>8630.099999999999</v>
      </c>
      <c r="Y43" s="124">
        <f t="shared" si="10"/>
        <v>7941.0587</v>
      </c>
      <c r="Z43" s="124">
        <f t="shared" si="10"/>
        <v>7941.0587</v>
      </c>
      <c r="AA43" s="129">
        <f t="shared" si="1"/>
        <v>0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  <c r="IV43" s="131"/>
    </row>
    <row r="44" spans="3:26" ht="12.75">
      <c r="C44" s="114"/>
      <c r="D44" s="106" t="s">
        <v>121</v>
      </c>
      <c r="E44" s="107">
        <v>51738.5317</v>
      </c>
      <c r="F44" s="107">
        <v>51738.5317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8"/>
      <c r="X44" s="108"/>
      <c r="Y44" s="108"/>
      <c r="Z44" s="108"/>
    </row>
    <row r="45" spans="1:256" ht="15.75">
      <c r="A45" s="72"/>
      <c r="B45" s="72"/>
      <c r="C45" s="115"/>
      <c r="D45" s="73" t="s">
        <v>122</v>
      </c>
      <c r="E45" s="74">
        <f aca="true" t="shared" si="11" ref="E45:Z45">E9+E12++E18++E32++E31+E40</f>
        <v>15970.263699999998</v>
      </c>
      <c r="F45" s="74">
        <f t="shared" si="11"/>
        <v>15970.263699999998</v>
      </c>
      <c r="G45" s="74">
        <f t="shared" si="11"/>
        <v>1950.413</v>
      </c>
      <c r="H45" s="74">
        <f t="shared" si="11"/>
        <v>1950.413</v>
      </c>
      <c r="I45" s="74">
        <f t="shared" si="11"/>
        <v>1286.9</v>
      </c>
      <c r="J45" s="74">
        <f t="shared" si="11"/>
        <v>1286.9</v>
      </c>
      <c r="K45" s="74">
        <f t="shared" si="11"/>
        <v>1623.427</v>
      </c>
      <c r="L45" s="74">
        <f t="shared" si="11"/>
        <v>1623.427</v>
      </c>
      <c r="M45" s="74">
        <f t="shared" si="11"/>
        <v>1799.265</v>
      </c>
      <c r="N45" s="74">
        <f t="shared" si="11"/>
        <v>1799.265</v>
      </c>
      <c r="O45" s="74">
        <f t="shared" si="11"/>
        <v>374.99999999999994</v>
      </c>
      <c r="P45" s="74">
        <f t="shared" si="11"/>
        <v>375</v>
      </c>
      <c r="Q45" s="74">
        <f t="shared" si="11"/>
        <v>513</v>
      </c>
      <c r="R45" s="74">
        <f t="shared" si="11"/>
        <v>513</v>
      </c>
      <c r="S45" s="74">
        <f t="shared" si="11"/>
        <v>383.4</v>
      </c>
      <c r="T45" s="74">
        <f t="shared" si="11"/>
        <v>383.4</v>
      </c>
      <c r="U45" s="74">
        <f t="shared" si="11"/>
        <v>549.1</v>
      </c>
      <c r="V45" s="74">
        <f t="shared" si="11"/>
        <v>549.1</v>
      </c>
      <c r="W45" s="74">
        <f t="shared" si="11"/>
        <v>1148.6999999999998</v>
      </c>
      <c r="X45" s="74">
        <f t="shared" si="11"/>
        <v>1148.7</v>
      </c>
      <c r="Y45" s="74">
        <f t="shared" si="11"/>
        <v>6341.0587</v>
      </c>
      <c r="Z45" s="74">
        <f t="shared" si="11"/>
        <v>6341.0587</v>
      </c>
      <c r="AA45" s="82">
        <f>AA9+AA18++AA31+++AA32++AA40</f>
        <v>0</v>
      </c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</row>
    <row r="46" spans="1:256" ht="15.75">
      <c r="A46" s="72"/>
      <c r="B46" s="72"/>
      <c r="C46" s="115"/>
      <c r="D46" s="73" t="s">
        <v>123</v>
      </c>
      <c r="E46" s="74">
        <f>E14+E17+E19++E20+E21++E22+E23+E24++E25+E28+E29+E30++E33+E34+E35+E36+E37+E38+E39+E27+E26+E42</f>
        <v>35768.268</v>
      </c>
      <c r="F46" s="74">
        <f aca="true" t="shared" si="12" ref="F46:AA46">F14+F17+F19++F20+F21++F22+F23+F24++F25+F28+F29+F30++F33+F34+F35+F36+F37+F38+F39+F27+F26+F42</f>
        <v>35768.268</v>
      </c>
      <c r="G46" s="74">
        <f t="shared" si="12"/>
        <v>3952.72</v>
      </c>
      <c r="H46" s="74">
        <f t="shared" si="12"/>
        <v>3952.72</v>
      </c>
      <c r="I46" s="74">
        <f t="shared" si="12"/>
        <v>3935.1</v>
      </c>
      <c r="J46" s="74">
        <f t="shared" si="12"/>
        <v>3935.1</v>
      </c>
      <c r="K46" s="74">
        <f t="shared" si="12"/>
        <v>3385.3</v>
      </c>
      <c r="L46" s="74">
        <f t="shared" si="12"/>
        <v>3385.3</v>
      </c>
      <c r="M46" s="74">
        <f t="shared" si="12"/>
        <v>4018.3</v>
      </c>
      <c r="N46" s="74">
        <f t="shared" si="12"/>
        <v>4018.3</v>
      </c>
      <c r="O46" s="74">
        <f t="shared" si="12"/>
        <v>2650.6</v>
      </c>
      <c r="P46" s="74">
        <f t="shared" si="12"/>
        <v>2650.6</v>
      </c>
      <c r="Q46" s="74">
        <f t="shared" si="12"/>
        <v>2132.1</v>
      </c>
      <c r="R46" s="74">
        <f t="shared" si="12"/>
        <v>2132.1</v>
      </c>
      <c r="S46" s="74">
        <f t="shared" si="12"/>
        <v>3022.8599999999997</v>
      </c>
      <c r="T46" s="74">
        <f t="shared" si="12"/>
        <v>3022.8599999999997</v>
      </c>
      <c r="U46" s="74">
        <f t="shared" si="12"/>
        <v>3589.888</v>
      </c>
      <c r="V46" s="74">
        <f t="shared" si="12"/>
        <v>3589.888</v>
      </c>
      <c r="W46" s="74">
        <f t="shared" si="12"/>
        <v>7481.4</v>
      </c>
      <c r="X46" s="74">
        <f t="shared" si="12"/>
        <v>7481.4</v>
      </c>
      <c r="Y46" s="74">
        <f t="shared" si="12"/>
        <v>1600</v>
      </c>
      <c r="Z46" s="74">
        <f t="shared" si="12"/>
        <v>1600</v>
      </c>
      <c r="AA46" s="74">
        <f t="shared" si="12"/>
        <v>0</v>
      </c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</row>
  </sheetData>
  <sheetProtection/>
  <mergeCells count="15">
    <mergeCell ref="C1:K1"/>
    <mergeCell ref="C2:O2"/>
    <mergeCell ref="D4:D5"/>
    <mergeCell ref="E4:F5"/>
    <mergeCell ref="G5:H5"/>
    <mergeCell ref="I5:J5"/>
    <mergeCell ref="K5:L5"/>
    <mergeCell ref="Y5:Z5"/>
    <mergeCell ref="M5:N5"/>
    <mergeCell ref="G4:Z4"/>
    <mergeCell ref="O5:P5"/>
    <mergeCell ref="Q5:R5"/>
    <mergeCell ref="S5:T5"/>
    <mergeCell ref="U5:V5"/>
    <mergeCell ref="W5:X5"/>
  </mergeCells>
  <printOptions/>
  <pageMargins left="0" right="0" top="0.7480314960629921" bottom="0" header="0" footer="0"/>
  <pageSetup horizontalDpi="600" verticalDpi="600" orientation="landscape" paperSize="9" scale="44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view="pageBreakPreview" zoomScale="80" zoomScaleNormal="70" zoomScaleSheetLayoutView="80" zoomScalePageLayoutView="0" workbookViewId="0" topLeftCell="A1">
      <selection activeCell="X30" sqref="X30"/>
    </sheetView>
  </sheetViews>
  <sheetFormatPr defaultColWidth="9.140625" defaultRowHeight="12.75"/>
  <cols>
    <col min="1" max="1" width="7.57421875" style="167" customWidth="1"/>
    <col min="2" max="2" width="49.8515625" style="167" customWidth="1"/>
    <col min="3" max="3" width="11.421875" style="167" hidden="1" customWidth="1"/>
    <col min="4" max="4" width="10.57421875" style="167" hidden="1" customWidth="1"/>
    <col min="5" max="5" width="11.28125" style="167" hidden="1" customWidth="1"/>
    <col min="6" max="6" width="11.7109375" style="167" hidden="1" customWidth="1"/>
    <col min="7" max="7" width="15.00390625" style="167" hidden="1" customWidth="1"/>
    <col min="8" max="8" width="12.57421875" style="167" hidden="1" customWidth="1"/>
    <col min="9" max="9" width="13.421875" style="167" hidden="1" customWidth="1"/>
    <col min="10" max="10" width="12.57421875" style="167" hidden="1" customWidth="1"/>
    <col min="11" max="11" width="14.28125" style="169" hidden="1" customWidth="1"/>
    <col min="12" max="12" width="14.28125" style="167" customWidth="1"/>
    <col min="13" max="13" width="14.00390625" style="167" customWidth="1"/>
    <col min="14" max="14" width="13.8515625" style="167" bestFit="1" customWidth="1"/>
    <col min="15" max="15" width="10.7109375" style="167" customWidth="1"/>
    <col min="16" max="16" width="11.140625" style="167" customWidth="1"/>
    <col min="17" max="17" width="10.8515625" style="167" customWidth="1"/>
    <col min="18" max="16384" width="9.140625" style="167" customWidth="1"/>
  </cols>
  <sheetData>
    <row r="2" spans="1:16" ht="12.75">
      <c r="A2" s="165"/>
      <c r="B2" s="165"/>
      <c r="C2" s="350"/>
      <c r="D2" s="350"/>
      <c r="E2" s="350"/>
      <c r="F2" s="350"/>
      <c r="G2" s="350"/>
      <c r="J2" s="166"/>
      <c r="K2" s="166"/>
      <c r="L2" s="350"/>
      <c r="M2" s="351"/>
      <c r="O2" s="350"/>
      <c r="P2" s="351"/>
    </row>
    <row r="3" spans="1:17" ht="12.75">
      <c r="A3" s="165"/>
      <c r="B3" s="165"/>
      <c r="C3" s="350"/>
      <c r="D3" s="350"/>
      <c r="E3" s="350"/>
      <c r="F3" s="350"/>
      <c r="G3" s="350"/>
      <c r="J3" s="168"/>
      <c r="K3" s="168"/>
      <c r="L3" s="352"/>
      <c r="M3" s="353"/>
      <c r="N3" s="353"/>
      <c r="O3" s="352"/>
      <c r="P3" s="353"/>
      <c r="Q3" s="353"/>
    </row>
    <row r="4" s="339" customFormat="1" ht="15.75" customHeight="1">
      <c r="A4" s="356" t="s">
        <v>125</v>
      </c>
    </row>
    <row r="5" spans="1:17" ht="37.5" customHeight="1">
      <c r="A5" s="354" t="s">
        <v>3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</row>
    <row r="6" spans="1:17" ht="12.75">
      <c r="A6" s="1"/>
      <c r="B6" s="354" t="s">
        <v>14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</row>
    <row r="7" spans="1:14" ht="12.75">
      <c r="A7" s="2"/>
      <c r="B7" s="3"/>
      <c r="C7" s="4"/>
      <c r="D7" s="4"/>
      <c r="E7" s="4"/>
      <c r="F7" s="4"/>
      <c r="H7" s="4"/>
      <c r="I7" s="4"/>
      <c r="J7" s="4"/>
      <c r="K7" s="30"/>
      <c r="L7" s="4"/>
      <c r="M7" s="4"/>
      <c r="N7" s="4"/>
    </row>
    <row r="8" spans="1:14" ht="13.5" thickBot="1">
      <c r="A8" s="2"/>
      <c r="B8" s="3"/>
      <c r="C8" s="4"/>
      <c r="D8" s="4"/>
      <c r="E8" s="4"/>
      <c r="F8" s="4"/>
      <c r="H8" s="4"/>
      <c r="I8" s="4"/>
      <c r="J8" s="4"/>
      <c r="K8" s="30"/>
      <c r="L8" s="4"/>
      <c r="M8" s="4"/>
      <c r="N8" s="4" t="s">
        <v>42</v>
      </c>
    </row>
    <row r="9" spans="1:17" ht="12.75" customHeight="1">
      <c r="A9" s="357" t="s">
        <v>4</v>
      </c>
      <c r="B9" s="357" t="s">
        <v>1</v>
      </c>
      <c r="C9" s="359" t="s">
        <v>2</v>
      </c>
      <c r="D9" s="361" t="s">
        <v>34</v>
      </c>
      <c r="E9" s="362"/>
      <c r="F9" s="363"/>
      <c r="G9" s="364" t="s">
        <v>0</v>
      </c>
      <c r="H9" s="366" t="s">
        <v>43</v>
      </c>
      <c r="I9" s="367"/>
      <c r="J9" s="368"/>
      <c r="K9" s="369" t="s">
        <v>44</v>
      </c>
      <c r="L9" s="347" t="s">
        <v>45</v>
      </c>
      <c r="M9" s="348"/>
      <c r="N9" s="349"/>
      <c r="O9" s="347" t="s">
        <v>367</v>
      </c>
      <c r="P9" s="348"/>
      <c r="Q9" s="349"/>
    </row>
    <row r="10" spans="1:17" ht="39" thickBot="1">
      <c r="A10" s="358"/>
      <c r="B10" s="358"/>
      <c r="C10" s="360"/>
      <c r="D10" s="17" t="s">
        <v>12</v>
      </c>
      <c r="E10" s="19" t="s">
        <v>5</v>
      </c>
      <c r="F10" s="19" t="s">
        <v>6</v>
      </c>
      <c r="G10" s="365"/>
      <c r="H10" s="31" t="s">
        <v>12</v>
      </c>
      <c r="I10" s="32" t="s">
        <v>5</v>
      </c>
      <c r="J10" s="32" t="s">
        <v>6</v>
      </c>
      <c r="K10" s="370"/>
      <c r="L10" s="31" t="s">
        <v>12</v>
      </c>
      <c r="M10" s="32" t="s">
        <v>5</v>
      </c>
      <c r="N10" s="32" t="s">
        <v>6</v>
      </c>
      <c r="O10" s="31" t="s">
        <v>12</v>
      </c>
      <c r="P10" s="32" t="s">
        <v>5</v>
      </c>
      <c r="Q10" s="32" t="s">
        <v>6</v>
      </c>
    </row>
    <row r="11" spans="1:17" ht="12.75">
      <c r="A11" s="27">
        <v>1</v>
      </c>
      <c r="B11" s="18" t="s">
        <v>7</v>
      </c>
      <c r="C11" s="29">
        <f aca="true" t="shared" si="0" ref="C11:Q11">SUM(C12:C17)</f>
        <v>1395.14</v>
      </c>
      <c r="D11" s="29">
        <f t="shared" si="0"/>
        <v>0</v>
      </c>
      <c r="E11" s="29">
        <f t="shared" si="0"/>
        <v>0</v>
      </c>
      <c r="F11" s="29">
        <f t="shared" si="0"/>
        <v>1395.14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223.0814</v>
      </c>
      <c r="K11" s="29">
        <f t="shared" si="0"/>
        <v>1618.2214000000001</v>
      </c>
      <c r="L11" s="29">
        <f t="shared" si="0"/>
        <v>0</v>
      </c>
      <c r="M11" s="29">
        <f t="shared" si="0"/>
        <v>0</v>
      </c>
      <c r="N11" s="29">
        <f t="shared" si="0"/>
        <v>1618.2214000000001</v>
      </c>
      <c r="O11" s="29">
        <f t="shared" si="0"/>
        <v>0</v>
      </c>
      <c r="P11" s="29">
        <f t="shared" si="0"/>
        <v>0</v>
      </c>
      <c r="Q11" s="29">
        <f t="shared" si="0"/>
        <v>1618.0300000000002</v>
      </c>
    </row>
    <row r="12" spans="1:17" s="173" customFormat="1" ht="32.25" customHeight="1">
      <c r="A12" s="20" t="s">
        <v>22</v>
      </c>
      <c r="B12" s="21" t="s">
        <v>35</v>
      </c>
      <c r="C12" s="170">
        <f aca="true" t="shared" si="1" ref="C12:C17">SUM(E12:F12)</f>
        <v>397.064</v>
      </c>
      <c r="D12" s="171"/>
      <c r="E12" s="171"/>
      <c r="F12" s="170">
        <v>397.064</v>
      </c>
      <c r="G12" s="172"/>
      <c r="H12" s="170"/>
      <c r="I12" s="170"/>
      <c r="J12" s="170">
        <v>-6.132</v>
      </c>
      <c r="K12" s="33">
        <f aca="true" t="shared" si="2" ref="K12:K30">SUM(L12:N12)</f>
        <v>390.932</v>
      </c>
      <c r="L12" s="170">
        <f aca="true" t="shared" si="3" ref="L12:N17">D12+H12</f>
        <v>0</v>
      </c>
      <c r="M12" s="170">
        <f t="shared" si="3"/>
        <v>0</v>
      </c>
      <c r="N12" s="170">
        <f t="shared" si="3"/>
        <v>390.932</v>
      </c>
      <c r="O12" s="170">
        <v>0</v>
      </c>
      <c r="P12" s="170">
        <v>0</v>
      </c>
      <c r="Q12" s="170">
        <v>390.93</v>
      </c>
    </row>
    <row r="13" spans="1:17" s="173" customFormat="1" ht="32.25" customHeight="1">
      <c r="A13" s="20" t="s">
        <v>39</v>
      </c>
      <c r="B13" s="21" t="s">
        <v>36</v>
      </c>
      <c r="C13" s="170">
        <f t="shared" si="1"/>
        <v>210</v>
      </c>
      <c r="D13" s="171"/>
      <c r="E13" s="171"/>
      <c r="F13" s="170">
        <v>210</v>
      </c>
      <c r="G13" s="172"/>
      <c r="H13" s="174"/>
      <c r="I13" s="174"/>
      <c r="J13" s="170"/>
      <c r="K13" s="33">
        <f t="shared" si="2"/>
        <v>210</v>
      </c>
      <c r="L13" s="170">
        <f t="shared" si="3"/>
        <v>0</v>
      </c>
      <c r="M13" s="170">
        <f t="shared" si="3"/>
        <v>0</v>
      </c>
      <c r="N13" s="170">
        <f t="shared" si="3"/>
        <v>210</v>
      </c>
      <c r="O13" s="170">
        <v>0</v>
      </c>
      <c r="P13" s="170">
        <v>0</v>
      </c>
      <c r="Q13" s="170">
        <v>210</v>
      </c>
    </row>
    <row r="14" spans="1:17" s="173" customFormat="1" ht="32.25" customHeight="1">
      <c r="A14" s="20" t="s">
        <v>40</v>
      </c>
      <c r="B14" s="21" t="s">
        <v>37</v>
      </c>
      <c r="C14" s="170">
        <f t="shared" si="1"/>
        <v>420</v>
      </c>
      <c r="D14" s="171"/>
      <c r="E14" s="171"/>
      <c r="F14" s="170">
        <v>420</v>
      </c>
      <c r="G14" s="172"/>
      <c r="H14" s="175"/>
      <c r="I14" s="175"/>
      <c r="J14" s="170"/>
      <c r="K14" s="33">
        <f t="shared" si="2"/>
        <v>420</v>
      </c>
      <c r="L14" s="170">
        <f t="shared" si="3"/>
        <v>0</v>
      </c>
      <c r="M14" s="170">
        <f t="shared" si="3"/>
        <v>0</v>
      </c>
      <c r="N14" s="170">
        <f t="shared" si="3"/>
        <v>420</v>
      </c>
      <c r="O14" s="170">
        <v>0</v>
      </c>
      <c r="P14" s="170">
        <v>0</v>
      </c>
      <c r="Q14" s="170">
        <v>420</v>
      </c>
    </row>
    <row r="15" spans="1:17" s="173" customFormat="1" ht="32.25" customHeight="1">
      <c r="A15" s="20" t="s">
        <v>41</v>
      </c>
      <c r="B15" s="21" t="s">
        <v>38</v>
      </c>
      <c r="C15" s="170">
        <f t="shared" si="1"/>
        <v>176.276</v>
      </c>
      <c r="D15" s="171"/>
      <c r="E15" s="171"/>
      <c r="F15" s="170">
        <v>176.276</v>
      </c>
      <c r="G15" s="172"/>
      <c r="H15" s="175"/>
      <c r="I15" s="175"/>
      <c r="J15" s="170">
        <f>112.9804+0.188</f>
        <v>113.1684</v>
      </c>
      <c r="K15" s="33">
        <f>SUM(L15:N15)</f>
        <v>289.44440000000003</v>
      </c>
      <c r="L15" s="170">
        <f t="shared" si="3"/>
        <v>0</v>
      </c>
      <c r="M15" s="170">
        <f t="shared" si="3"/>
        <v>0</v>
      </c>
      <c r="N15" s="170">
        <f t="shared" si="3"/>
        <v>289.44440000000003</v>
      </c>
      <c r="O15" s="170">
        <v>0</v>
      </c>
      <c r="P15" s="170">
        <v>0</v>
      </c>
      <c r="Q15" s="170">
        <v>289.26</v>
      </c>
    </row>
    <row r="16" spans="1:17" s="173" customFormat="1" ht="45">
      <c r="A16" s="20" t="s">
        <v>46</v>
      </c>
      <c r="B16" s="21" t="s">
        <v>47</v>
      </c>
      <c r="C16" s="170">
        <f t="shared" si="1"/>
        <v>191.8</v>
      </c>
      <c r="D16" s="171"/>
      <c r="E16" s="171"/>
      <c r="F16" s="170">
        <v>191.8</v>
      </c>
      <c r="G16" s="172"/>
      <c r="H16" s="175"/>
      <c r="I16" s="175"/>
      <c r="J16" s="170">
        <f>-75.627</f>
        <v>-75.627</v>
      </c>
      <c r="K16" s="33">
        <f>SUM(L16:N16)</f>
        <v>116.17300000000002</v>
      </c>
      <c r="L16" s="170">
        <f t="shared" si="3"/>
        <v>0</v>
      </c>
      <c r="M16" s="170">
        <f t="shared" si="3"/>
        <v>0</v>
      </c>
      <c r="N16" s="170">
        <f t="shared" si="3"/>
        <v>116.17300000000002</v>
      </c>
      <c r="O16" s="170">
        <v>0</v>
      </c>
      <c r="P16" s="170">
        <v>0</v>
      </c>
      <c r="Q16" s="170">
        <v>116.17</v>
      </c>
    </row>
    <row r="17" spans="1:17" s="173" customFormat="1" ht="45">
      <c r="A17" s="20"/>
      <c r="B17" s="21" t="s">
        <v>48</v>
      </c>
      <c r="C17" s="170">
        <f t="shared" si="1"/>
        <v>0</v>
      </c>
      <c r="D17" s="171"/>
      <c r="E17" s="171"/>
      <c r="F17" s="170"/>
      <c r="G17" s="172"/>
      <c r="H17" s="175"/>
      <c r="I17" s="175"/>
      <c r="J17" s="170">
        <v>191.672</v>
      </c>
      <c r="K17" s="33">
        <f>SUM(L17:N17)</f>
        <v>191.672</v>
      </c>
      <c r="L17" s="170">
        <f t="shared" si="3"/>
        <v>0</v>
      </c>
      <c r="M17" s="170">
        <f t="shared" si="3"/>
        <v>0</v>
      </c>
      <c r="N17" s="170">
        <f t="shared" si="3"/>
        <v>191.672</v>
      </c>
      <c r="O17" s="170">
        <v>0</v>
      </c>
      <c r="P17" s="170">
        <v>0</v>
      </c>
      <c r="Q17" s="170">
        <v>191.67</v>
      </c>
    </row>
    <row r="18" spans="1:17" s="176" customFormat="1" ht="12.75">
      <c r="A18" s="28">
        <v>2</v>
      </c>
      <c r="B18" s="8" t="s">
        <v>8</v>
      </c>
      <c r="C18" s="9">
        <f>SUM(D18:F18)</f>
        <v>16639</v>
      </c>
      <c r="D18" s="9">
        <f aca="true" t="shared" si="4" ref="D18:N18">D19+D21+D23+D25+D29</f>
        <v>0</v>
      </c>
      <c r="E18" s="9">
        <f t="shared" si="4"/>
        <v>13900</v>
      </c>
      <c r="F18" s="9">
        <f t="shared" si="4"/>
        <v>2739</v>
      </c>
      <c r="G18" s="9">
        <f t="shared" si="4"/>
        <v>20000</v>
      </c>
      <c r="H18" s="9">
        <f t="shared" si="4"/>
        <v>790.9</v>
      </c>
      <c r="I18" s="9">
        <f t="shared" si="4"/>
        <v>3700</v>
      </c>
      <c r="J18" s="9">
        <f t="shared" si="4"/>
        <v>-629.615</v>
      </c>
      <c r="K18" s="9">
        <f t="shared" si="4"/>
        <v>20500.285</v>
      </c>
      <c r="L18" s="9">
        <f t="shared" si="4"/>
        <v>790.9</v>
      </c>
      <c r="M18" s="9">
        <f t="shared" si="4"/>
        <v>17600</v>
      </c>
      <c r="N18" s="9">
        <f t="shared" si="4"/>
        <v>2109.385</v>
      </c>
      <c r="O18" s="9">
        <f>O19+O21+O23+O25+O29</f>
        <v>790.9</v>
      </c>
      <c r="P18" s="9">
        <f>P19+P21+P23+P25+P29</f>
        <v>17600</v>
      </c>
      <c r="Q18" s="9">
        <f>Q19+Q21+Q23+Q25+Q29</f>
        <v>2109.39</v>
      </c>
    </row>
    <row r="19" spans="1:17" ht="31.5" hidden="1">
      <c r="A19" s="23" t="s">
        <v>11</v>
      </c>
      <c r="B19" s="177" t="s">
        <v>20</v>
      </c>
      <c r="C19" s="178">
        <f>SUM(D19:F19)</f>
        <v>0</v>
      </c>
      <c r="D19" s="179">
        <f>D20</f>
        <v>0</v>
      </c>
      <c r="E19" s="179">
        <f>E20</f>
        <v>0</v>
      </c>
      <c r="F19" s="179">
        <f>F20</f>
        <v>0</v>
      </c>
      <c r="G19" s="179">
        <f>SUM(G21:G22)</f>
        <v>0</v>
      </c>
      <c r="H19" s="175"/>
      <c r="I19" s="175"/>
      <c r="J19" s="170"/>
      <c r="K19" s="33">
        <f t="shared" si="2"/>
        <v>0</v>
      </c>
      <c r="L19" s="170">
        <f aca="true" t="shared" si="5" ref="L19:Q20">D19+H19</f>
        <v>0</v>
      </c>
      <c r="M19" s="170">
        <f t="shared" si="5"/>
        <v>0</v>
      </c>
      <c r="N19" s="170">
        <f t="shared" si="5"/>
        <v>0</v>
      </c>
      <c r="O19" s="170">
        <f t="shared" si="5"/>
        <v>0</v>
      </c>
      <c r="P19" s="170">
        <f t="shared" si="5"/>
        <v>0</v>
      </c>
      <c r="Q19" s="170">
        <f t="shared" si="5"/>
        <v>0</v>
      </c>
    </row>
    <row r="20" spans="1:17" s="176" customFormat="1" ht="31.5" hidden="1">
      <c r="A20" s="22" t="s">
        <v>23</v>
      </c>
      <c r="B20" s="180" t="s">
        <v>21</v>
      </c>
      <c r="C20" s="16">
        <f>SUM(D20:F20)</f>
        <v>0</v>
      </c>
      <c r="D20" s="16"/>
      <c r="E20" s="16"/>
      <c r="F20" s="16"/>
      <c r="G20" s="10"/>
      <c r="H20" s="175"/>
      <c r="I20" s="175"/>
      <c r="J20" s="170"/>
      <c r="K20" s="33">
        <f t="shared" si="2"/>
        <v>0</v>
      </c>
      <c r="L20" s="170">
        <f t="shared" si="5"/>
        <v>0</v>
      </c>
      <c r="M20" s="170">
        <f t="shared" si="5"/>
        <v>0</v>
      </c>
      <c r="N20" s="170">
        <f t="shared" si="5"/>
        <v>0</v>
      </c>
      <c r="O20" s="170">
        <f t="shared" si="5"/>
        <v>0</v>
      </c>
      <c r="P20" s="170">
        <f t="shared" si="5"/>
        <v>0</v>
      </c>
      <c r="Q20" s="170">
        <f t="shared" si="5"/>
        <v>0</v>
      </c>
    </row>
    <row r="21" spans="1:17" ht="31.5">
      <c r="A21" s="23" t="s">
        <v>24</v>
      </c>
      <c r="B21" s="177" t="s">
        <v>18</v>
      </c>
      <c r="C21" s="178">
        <f>SUM(D21:F21)</f>
        <v>2000</v>
      </c>
      <c r="D21" s="179">
        <f aca="true" t="shared" si="6" ref="D21:Q21">SUM(D22:D22)</f>
        <v>0</v>
      </c>
      <c r="E21" s="179">
        <f t="shared" si="6"/>
        <v>900</v>
      </c>
      <c r="F21" s="179">
        <f t="shared" si="6"/>
        <v>1100</v>
      </c>
      <c r="G21" s="179">
        <f t="shared" si="6"/>
        <v>0</v>
      </c>
      <c r="H21" s="179">
        <f t="shared" si="6"/>
        <v>790.9</v>
      </c>
      <c r="I21" s="179">
        <f t="shared" si="6"/>
        <v>700</v>
      </c>
      <c r="J21" s="179">
        <f t="shared" si="6"/>
        <v>-629.615</v>
      </c>
      <c r="K21" s="179">
        <f t="shared" si="6"/>
        <v>2861.285</v>
      </c>
      <c r="L21" s="179">
        <f t="shared" si="6"/>
        <v>790.9</v>
      </c>
      <c r="M21" s="179">
        <f t="shared" si="6"/>
        <v>1600</v>
      </c>
      <c r="N21" s="179">
        <f t="shared" si="6"/>
        <v>470.385</v>
      </c>
      <c r="O21" s="179">
        <f t="shared" si="6"/>
        <v>790.9</v>
      </c>
      <c r="P21" s="179">
        <f t="shared" si="6"/>
        <v>1600</v>
      </c>
      <c r="Q21" s="179">
        <f t="shared" si="6"/>
        <v>470.39</v>
      </c>
    </row>
    <row r="22" spans="1:17" s="184" customFormat="1" ht="31.5">
      <c r="A22" s="24" t="s">
        <v>25</v>
      </c>
      <c r="B22" s="180" t="s">
        <v>19</v>
      </c>
      <c r="C22" s="181">
        <f>SUM(D22:F22)</f>
        <v>2000</v>
      </c>
      <c r="D22" s="182"/>
      <c r="E22" s="182">
        <v>900</v>
      </c>
      <c r="F22" s="170">
        <v>1100</v>
      </c>
      <c r="G22" s="183"/>
      <c r="H22" s="175">
        <v>790.9</v>
      </c>
      <c r="I22" s="175">
        <v>700</v>
      </c>
      <c r="J22" s="170">
        <f>-637.557+7.942</f>
        <v>-629.615</v>
      </c>
      <c r="K22" s="33">
        <f>SUM(L22:N22)</f>
        <v>2861.285</v>
      </c>
      <c r="L22" s="170">
        <f>D22+H22</f>
        <v>790.9</v>
      </c>
      <c r="M22" s="170">
        <f>E22+I22</f>
        <v>1600</v>
      </c>
      <c r="N22" s="170">
        <f>F22+J22</f>
        <v>470.385</v>
      </c>
      <c r="O22" s="170">
        <v>790.9</v>
      </c>
      <c r="P22" s="170">
        <v>1600</v>
      </c>
      <c r="Q22" s="170">
        <v>470.39</v>
      </c>
    </row>
    <row r="23" spans="1:17" ht="33" customHeight="1">
      <c r="A23" s="23" t="s">
        <v>26</v>
      </c>
      <c r="B23" s="177" t="s">
        <v>10</v>
      </c>
      <c r="C23" s="178">
        <f aca="true" t="shared" si="7" ref="C23:Q23">SUM(C24:C24)</f>
        <v>5750</v>
      </c>
      <c r="D23" s="179">
        <f t="shared" si="7"/>
        <v>0</v>
      </c>
      <c r="E23" s="179">
        <f t="shared" si="7"/>
        <v>5000</v>
      </c>
      <c r="F23" s="185">
        <f t="shared" si="7"/>
        <v>750</v>
      </c>
      <c r="G23" s="185">
        <f t="shared" si="7"/>
        <v>20000</v>
      </c>
      <c r="H23" s="185">
        <f t="shared" si="7"/>
        <v>0</v>
      </c>
      <c r="I23" s="185">
        <f t="shared" si="7"/>
        <v>3000</v>
      </c>
      <c r="J23" s="185">
        <f t="shared" si="7"/>
        <v>0</v>
      </c>
      <c r="K23" s="185">
        <f t="shared" si="7"/>
        <v>8750</v>
      </c>
      <c r="L23" s="185">
        <f t="shared" si="7"/>
        <v>0</v>
      </c>
      <c r="M23" s="185">
        <f t="shared" si="7"/>
        <v>8000</v>
      </c>
      <c r="N23" s="185">
        <f t="shared" si="7"/>
        <v>750</v>
      </c>
      <c r="O23" s="185">
        <f t="shared" si="7"/>
        <v>0</v>
      </c>
      <c r="P23" s="185">
        <f t="shared" si="7"/>
        <v>8000</v>
      </c>
      <c r="Q23" s="185">
        <f t="shared" si="7"/>
        <v>750</v>
      </c>
    </row>
    <row r="24" spans="1:17" s="176" customFormat="1" ht="31.5">
      <c r="A24" s="25" t="s">
        <v>27</v>
      </c>
      <c r="B24" s="186" t="s">
        <v>13</v>
      </c>
      <c r="C24" s="170">
        <f>SUM(E24:F24)</f>
        <v>5750</v>
      </c>
      <c r="D24" s="171"/>
      <c r="E24" s="171">
        <v>5000</v>
      </c>
      <c r="F24" s="170">
        <v>750</v>
      </c>
      <c r="G24" s="187">
        <v>20000</v>
      </c>
      <c r="H24" s="181"/>
      <c r="I24" s="181">
        <v>3000</v>
      </c>
      <c r="J24" s="181"/>
      <c r="K24" s="38">
        <f>SUM(L24:N24)</f>
        <v>8750</v>
      </c>
      <c r="L24" s="170">
        <f aca="true" t="shared" si="8" ref="L24:Q30">D24+H24</f>
        <v>0</v>
      </c>
      <c r="M24" s="170">
        <f t="shared" si="8"/>
        <v>8000</v>
      </c>
      <c r="N24" s="170">
        <f t="shared" si="8"/>
        <v>750</v>
      </c>
      <c r="O24" s="170">
        <v>0</v>
      </c>
      <c r="P24" s="170">
        <v>8000</v>
      </c>
      <c r="Q24" s="170">
        <v>750</v>
      </c>
    </row>
    <row r="25" spans="1:17" ht="47.25" hidden="1">
      <c r="A25" s="13" t="s">
        <v>28</v>
      </c>
      <c r="B25" s="188" t="s">
        <v>15</v>
      </c>
      <c r="C25" s="178">
        <f>SUM(D25:F25)</f>
        <v>0</v>
      </c>
      <c r="D25" s="179">
        <f>SUM(D26:D28)</f>
        <v>0</v>
      </c>
      <c r="E25" s="179">
        <f>SUM(E26:E28)</f>
        <v>0</v>
      </c>
      <c r="F25" s="179">
        <f>SUM(F26:F28)</f>
        <v>0</v>
      </c>
      <c r="G25" s="189"/>
      <c r="H25" s="190"/>
      <c r="I25" s="190"/>
      <c r="J25" s="181"/>
      <c r="K25" s="33">
        <f t="shared" si="2"/>
        <v>0</v>
      </c>
      <c r="L25" s="170">
        <f t="shared" si="8"/>
        <v>0</v>
      </c>
      <c r="M25" s="170">
        <f t="shared" si="8"/>
        <v>0</v>
      </c>
      <c r="N25" s="170">
        <f t="shared" si="8"/>
        <v>0</v>
      </c>
      <c r="O25" s="170">
        <f t="shared" si="8"/>
        <v>0</v>
      </c>
      <c r="P25" s="170">
        <f t="shared" si="8"/>
        <v>0</v>
      </c>
      <c r="Q25" s="170">
        <f t="shared" si="8"/>
        <v>0</v>
      </c>
    </row>
    <row r="26" spans="1:17" ht="15.75" hidden="1">
      <c r="A26" s="13" t="s">
        <v>29</v>
      </c>
      <c r="B26" s="186"/>
      <c r="C26" s="181">
        <f>SUM(E26:F26)</f>
        <v>0</v>
      </c>
      <c r="D26" s="182"/>
      <c r="E26" s="182"/>
      <c r="F26" s="181"/>
      <c r="G26" s="191"/>
      <c r="H26" s="178">
        <f>SUM(H27:H27)</f>
        <v>0</v>
      </c>
      <c r="I26" s="178">
        <f>SUM(I27:I27)</f>
        <v>0</v>
      </c>
      <c r="J26" s="178">
        <f>SUM(J27:J27)</f>
        <v>0</v>
      </c>
      <c r="K26" s="33">
        <f>SUM(L26:N26)</f>
        <v>0</v>
      </c>
      <c r="L26" s="170">
        <f t="shared" si="8"/>
        <v>0</v>
      </c>
      <c r="M26" s="170">
        <f t="shared" si="8"/>
        <v>0</v>
      </c>
      <c r="N26" s="170">
        <f t="shared" si="8"/>
        <v>0</v>
      </c>
      <c r="O26" s="170">
        <f t="shared" si="8"/>
        <v>0</v>
      </c>
      <c r="P26" s="170">
        <f t="shared" si="8"/>
        <v>0</v>
      </c>
      <c r="Q26" s="170">
        <f t="shared" si="8"/>
        <v>0</v>
      </c>
    </row>
    <row r="27" spans="1:17" ht="15.75" hidden="1">
      <c r="A27" s="14" t="s">
        <v>30</v>
      </c>
      <c r="B27" s="186"/>
      <c r="C27" s="181">
        <f>SUM(E27:F27)</f>
        <v>0</v>
      </c>
      <c r="D27" s="182"/>
      <c r="E27" s="182"/>
      <c r="F27" s="181"/>
      <c r="G27" s="191"/>
      <c r="H27" s="181"/>
      <c r="I27" s="181"/>
      <c r="J27" s="181"/>
      <c r="K27" s="34">
        <f t="shared" si="2"/>
        <v>0</v>
      </c>
      <c r="L27" s="170">
        <f t="shared" si="8"/>
        <v>0</v>
      </c>
      <c r="M27" s="170">
        <f t="shared" si="8"/>
        <v>0</v>
      </c>
      <c r="N27" s="170">
        <f t="shared" si="8"/>
        <v>0</v>
      </c>
      <c r="O27" s="170">
        <f t="shared" si="8"/>
        <v>0</v>
      </c>
      <c r="P27" s="170">
        <f t="shared" si="8"/>
        <v>0</v>
      </c>
      <c r="Q27" s="170">
        <f t="shared" si="8"/>
        <v>0</v>
      </c>
    </row>
    <row r="28" spans="1:17" ht="15.75" hidden="1">
      <c r="A28" s="13" t="s">
        <v>31</v>
      </c>
      <c r="B28" s="26"/>
      <c r="C28" s="181">
        <f>SUM(E28:F28)</f>
        <v>0</v>
      </c>
      <c r="D28" s="182"/>
      <c r="E28" s="182"/>
      <c r="F28" s="181"/>
      <c r="G28" s="191"/>
      <c r="H28" s="178"/>
      <c r="I28" s="178">
        <f>I29</f>
        <v>0</v>
      </c>
      <c r="J28" s="178">
        <f>J29</f>
        <v>0</v>
      </c>
      <c r="K28" s="35">
        <f t="shared" si="2"/>
        <v>0</v>
      </c>
      <c r="L28" s="170">
        <f t="shared" si="8"/>
        <v>0</v>
      </c>
      <c r="M28" s="170">
        <f t="shared" si="8"/>
        <v>0</v>
      </c>
      <c r="N28" s="170">
        <f t="shared" si="8"/>
        <v>0</v>
      </c>
      <c r="O28" s="170">
        <f t="shared" si="8"/>
        <v>0</v>
      </c>
      <c r="P28" s="170">
        <f t="shared" si="8"/>
        <v>0</v>
      </c>
      <c r="Q28" s="170">
        <f t="shared" si="8"/>
        <v>0</v>
      </c>
    </row>
    <row r="29" spans="1:17" s="169" customFormat="1" ht="47.25">
      <c r="A29" s="15" t="s">
        <v>32</v>
      </c>
      <c r="B29" s="188" t="s">
        <v>16</v>
      </c>
      <c r="C29" s="178">
        <f>SUM(D29:F29)</f>
        <v>8889</v>
      </c>
      <c r="D29" s="179">
        <f>D30</f>
        <v>0</v>
      </c>
      <c r="E29" s="179">
        <f>E30</f>
        <v>8000</v>
      </c>
      <c r="F29" s="179">
        <f>F30</f>
        <v>889</v>
      </c>
      <c r="G29" s="179">
        <f>G30</f>
        <v>0</v>
      </c>
      <c r="H29" s="179">
        <f>H30</f>
        <v>0</v>
      </c>
      <c r="I29" s="179">
        <f>I30</f>
        <v>0</v>
      </c>
      <c r="J29" s="179">
        <f>J30</f>
        <v>0</v>
      </c>
      <c r="K29" s="11">
        <f>SUM(L29:N29)</f>
        <v>8889</v>
      </c>
      <c r="L29" s="185">
        <f t="shared" si="8"/>
        <v>0</v>
      </c>
      <c r="M29" s="185">
        <f t="shared" si="8"/>
        <v>8000</v>
      </c>
      <c r="N29" s="185">
        <f t="shared" si="8"/>
        <v>889</v>
      </c>
      <c r="O29" s="185">
        <f>O30</f>
        <v>0</v>
      </c>
      <c r="P29" s="185">
        <f>P30</f>
        <v>8000</v>
      </c>
      <c r="Q29" s="185">
        <f>Q30</f>
        <v>889</v>
      </c>
    </row>
    <row r="30" spans="1:17" ht="47.25">
      <c r="A30" s="23" t="s">
        <v>33</v>
      </c>
      <c r="B30" s="26" t="s">
        <v>17</v>
      </c>
      <c r="C30" s="181">
        <f>SUM(E30:F30)</f>
        <v>8889</v>
      </c>
      <c r="D30" s="182"/>
      <c r="E30" s="182">
        <v>8000</v>
      </c>
      <c r="F30" s="181">
        <v>889</v>
      </c>
      <c r="G30" s="192"/>
      <c r="H30" s="193"/>
      <c r="I30" s="193"/>
      <c r="J30" s="194"/>
      <c r="K30" s="39">
        <f t="shared" si="2"/>
        <v>8889</v>
      </c>
      <c r="L30" s="170">
        <f t="shared" si="8"/>
        <v>0</v>
      </c>
      <c r="M30" s="170">
        <f t="shared" si="8"/>
        <v>8000</v>
      </c>
      <c r="N30" s="170">
        <f t="shared" si="8"/>
        <v>889</v>
      </c>
      <c r="O30" s="170">
        <v>0</v>
      </c>
      <c r="P30" s="170">
        <v>8000</v>
      </c>
      <c r="Q30" s="170">
        <v>889</v>
      </c>
    </row>
    <row r="31" spans="1:17" ht="11.25" customHeight="1">
      <c r="A31" s="13"/>
      <c r="B31" s="177"/>
      <c r="C31" s="178"/>
      <c r="D31" s="179"/>
      <c r="E31" s="179"/>
      <c r="F31" s="195"/>
      <c r="G31" s="191"/>
      <c r="H31" s="195"/>
      <c r="I31" s="195"/>
      <c r="J31" s="195"/>
      <c r="K31" s="37"/>
      <c r="L31" s="195"/>
      <c r="M31" s="195"/>
      <c r="N31" s="195"/>
      <c r="O31" s="195"/>
      <c r="P31" s="195"/>
      <c r="Q31" s="195"/>
    </row>
    <row r="32" spans="1:17" ht="15.75">
      <c r="A32" s="355" t="s">
        <v>9</v>
      </c>
      <c r="B32" s="355"/>
      <c r="C32" s="178">
        <f>SUM(D32:F32)</f>
        <v>18034.14</v>
      </c>
      <c r="D32" s="179">
        <f aca="true" t="shared" si="9" ref="D32:M32">D18+D11</f>
        <v>0</v>
      </c>
      <c r="E32" s="179">
        <f t="shared" si="9"/>
        <v>13900</v>
      </c>
      <c r="F32" s="178">
        <f t="shared" si="9"/>
        <v>4134.14</v>
      </c>
      <c r="G32" s="178">
        <f t="shared" si="9"/>
        <v>20000</v>
      </c>
      <c r="H32" s="178">
        <f t="shared" si="9"/>
        <v>790.9</v>
      </c>
      <c r="I32" s="178">
        <f t="shared" si="9"/>
        <v>3700</v>
      </c>
      <c r="J32" s="178">
        <f t="shared" si="9"/>
        <v>-406.5336</v>
      </c>
      <c r="K32" s="178">
        <f t="shared" si="9"/>
        <v>22118.5064</v>
      </c>
      <c r="L32" s="178">
        <f t="shared" si="9"/>
        <v>790.9</v>
      </c>
      <c r="M32" s="178">
        <f t="shared" si="9"/>
        <v>17600</v>
      </c>
      <c r="N32" s="178">
        <f>N18+N11</f>
        <v>3727.6064000000006</v>
      </c>
      <c r="O32" s="178">
        <f>O18+O11</f>
        <v>790.9</v>
      </c>
      <c r="P32" s="178">
        <f>P18+P11</f>
        <v>17600</v>
      </c>
      <c r="Q32" s="178">
        <f>Q18+Q11</f>
        <v>3727.42</v>
      </c>
    </row>
    <row r="33" spans="1:14" ht="12.75">
      <c r="A33" s="5"/>
      <c r="B33" s="5"/>
      <c r="C33" s="6"/>
      <c r="D33" s="6"/>
      <c r="E33" s="6"/>
      <c r="F33" s="6"/>
      <c r="J33" s="196"/>
      <c r="K33" s="197"/>
      <c r="N33" s="196"/>
    </row>
    <row r="34" spans="6:14" ht="12.75">
      <c r="F34" s="196"/>
      <c r="N34" s="198"/>
    </row>
    <row r="35" spans="6:14" ht="12.75">
      <c r="F35" s="196"/>
      <c r="N35" s="198"/>
    </row>
  </sheetData>
  <sheetProtection/>
  <mergeCells count="18">
    <mergeCell ref="A32:B32"/>
    <mergeCell ref="A4:IV4"/>
    <mergeCell ref="B6:Q6"/>
    <mergeCell ref="A9:A10"/>
    <mergeCell ref="B9:B10"/>
    <mergeCell ref="C9:C10"/>
    <mergeCell ref="D9:F9"/>
    <mergeCell ref="G9:G10"/>
    <mergeCell ref="H9:J9"/>
    <mergeCell ref="K9:K10"/>
    <mergeCell ref="L9:N9"/>
    <mergeCell ref="O9:Q9"/>
    <mergeCell ref="C2:G3"/>
    <mergeCell ref="L2:M2"/>
    <mergeCell ref="O2:P2"/>
    <mergeCell ref="L3:N3"/>
    <mergeCell ref="O3:Q3"/>
    <mergeCell ref="A5:Q5"/>
  </mergeCells>
  <printOptions/>
  <pageMargins left="0.5905511811023623" right="0" top="0.984251968503937" bottom="0" header="0" footer="0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8"/>
  <sheetViews>
    <sheetView view="pageBreakPreview" zoomScale="83" zoomScaleSheetLayoutView="83" zoomScalePageLayoutView="0" workbookViewId="0" topLeftCell="F1">
      <selection activeCell="H88" sqref="H88"/>
    </sheetView>
  </sheetViews>
  <sheetFormatPr defaultColWidth="9.140625" defaultRowHeight="12.75"/>
  <cols>
    <col min="1" max="1" width="5.8515625" style="7" hidden="1" customWidth="1"/>
    <col min="2" max="2" width="10.28125" style="7" hidden="1" customWidth="1"/>
    <col min="3" max="3" width="0" style="7" hidden="1" customWidth="1"/>
    <col min="4" max="4" width="6.421875" style="7" hidden="1" customWidth="1"/>
    <col min="5" max="5" width="7.00390625" style="304" hidden="1" customWidth="1"/>
    <col min="6" max="6" width="32.57421875" style="297" customWidth="1"/>
    <col min="7" max="7" width="13.57421875" style="7" customWidth="1"/>
    <col min="8" max="8" width="12.421875" style="7" bestFit="1" customWidth="1"/>
    <col min="9" max="9" width="13.7109375" style="7" customWidth="1"/>
    <col min="10" max="10" width="12.28125" style="7" bestFit="1" customWidth="1"/>
    <col min="11" max="11" width="14.7109375" style="7" customWidth="1"/>
    <col min="12" max="13" width="12.421875" style="7" bestFit="1" customWidth="1"/>
    <col min="14" max="14" width="12.28125" style="7" bestFit="1" customWidth="1"/>
    <col min="15" max="16384" width="9.140625" style="7" customWidth="1"/>
  </cols>
  <sheetData>
    <row r="1" spans="1:256" s="284" customFormat="1" ht="18.75">
      <c r="A1" s="80" t="s">
        <v>128</v>
      </c>
      <c r="B1" s="41"/>
      <c r="C1" s="133"/>
      <c r="D1" s="133"/>
      <c r="E1" s="133"/>
      <c r="F1" s="133" t="s">
        <v>368</v>
      </c>
      <c r="G1" s="133"/>
      <c r="H1" s="133"/>
      <c r="I1" s="133"/>
      <c r="J1" s="134"/>
      <c r="K1" s="134"/>
      <c r="L1" s="249"/>
      <c r="M1" s="249"/>
      <c r="N1" s="249"/>
      <c r="O1" s="24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14" ht="25.5" customHeight="1">
      <c r="A2" s="371" t="s">
        <v>260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4" ht="25.5" customHeight="1">
      <c r="A3" s="372" t="s">
        <v>261</v>
      </c>
      <c r="B3" s="372"/>
      <c r="C3" s="372"/>
      <c r="D3" s="372"/>
      <c r="E3" s="373" t="s">
        <v>262</v>
      </c>
      <c r="F3" s="374" t="s">
        <v>1</v>
      </c>
      <c r="G3" s="372" t="s">
        <v>45</v>
      </c>
      <c r="H3" s="372"/>
      <c r="I3" s="372"/>
      <c r="J3" s="372"/>
      <c r="K3" s="375" t="s">
        <v>263</v>
      </c>
      <c r="L3" s="375"/>
      <c r="M3" s="375"/>
      <c r="N3" s="375"/>
    </row>
    <row r="4" spans="1:14" ht="75.75" customHeight="1">
      <c r="A4" s="372"/>
      <c r="B4" s="372"/>
      <c r="C4" s="372"/>
      <c r="D4" s="372"/>
      <c r="E4" s="373"/>
      <c r="F4" s="374"/>
      <c r="G4" s="250" t="s">
        <v>264</v>
      </c>
      <c r="H4" s="250" t="s">
        <v>265</v>
      </c>
      <c r="I4" s="250" t="s">
        <v>266</v>
      </c>
      <c r="J4" s="250" t="s">
        <v>267</v>
      </c>
      <c r="K4" s="250" t="s">
        <v>264</v>
      </c>
      <c r="L4" s="250" t="s">
        <v>265</v>
      </c>
      <c r="M4" s="250" t="s">
        <v>266</v>
      </c>
      <c r="N4" s="250" t="s">
        <v>267</v>
      </c>
    </row>
    <row r="5" spans="1:14" ht="42.75" customHeight="1">
      <c r="A5" s="372" t="s">
        <v>268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</row>
    <row r="6" spans="1:14" ht="25.5">
      <c r="A6" s="278"/>
      <c r="B6" s="278" t="s">
        <v>269</v>
      </c>
      <c r="C6" s="278" t="s">
        <v>270</v>
      </c>
      <c r="D6" s="278" t="s">
        <v>271</v>
      </c>
      <c r="E6" s="279" t="s">
        <v>272</v>
      </c>
      <c r="F6" s="253" t="s">
        <v>273</v>
      </c>
      <c r="G6" s="200">
        <f>SUM(H6:J6)</f>
        <v>856.46</v>
      </c>
      <c r="H6" s="200">
        <v>456.46</v>
      </c>
      <c r="I6" s="200">
        <v>200</v>
      </c>
      <c r="J6" s="200">
        <v>200</v>
      </c>
      <c r="K6" s="251">
        <f>SUM(L6:N6)</f>
        <v>856.46</v>
      </c>
      <c r="L6" s="251">
        <v>456.46</v>
      </c>
      <c r="M6" s="251">
        <v>200</v>
      </c>
      <c r="N6" s="251">
        <v>200</v>
      </c>
    </row>
    <row r="7" spans="1:14" ht="25.5">
      <c r="A7" s="278" t="s">
        <v>256</v>
      </c>
      <c r="B7" s="278" t="s">
        <v>269</v>
      </c>
      <c r="C7" s="278" t="s">
        <v>270</v>
      </c>
      <c r="D7" s="278" t="s">
        <v>271</v>
      </c>
      <c r="E7" s="279" t="s">
        <v>272</v>
      </c>
      <c r="F7" s="285" t="s">
        <v>274</v>
      </c>
      <c r="G7" s="200">
        <f aca="true" t="shared" si="0" ref="G7:G16">SUM(H7:J7)</f>
        <v>3706</v>
      </c>
      <c r="H7" s="200">
        <v>1486</v>
      </c>
      <c r="I7" s="200">
        <v>1110</v>
      </c>
      <c r="J7" s="200">
        <v>1110</v>
      </c>
      <c r="K7" s="251">
        <f aca="true" t="shared" si="1" ref="K7:K16">SUM(L7:N7)</f>
        <v>3706</v>
      </c>
      <c r="L7" s="251">
        <v>1486</v>
      </c>
      <c r="M7" s="251">
        <v>1110</v>
      </c>
      <c r="N7" s="251">
        <v>1110</v>
      </c>
    </row>
    <row r="8" spans="1:14" ht="12.75">
      <c r="A8" s="278" t="s">
        <v>255</v>
      </c>
      <c r="B8" s="278" t="s">
        <v>275</v>
      </c>
      <c r="C8" s="278" t="s">
        <v>270</v>
      </c>
      <c r="D8" s="278" t="s">
        <v>271</v>
      </c>
      <c r="E8" s="279" t="s">
        <v>276</v>
      </c>
      <c r="F8" s="285" t="s">
        <v>277</v>
      </c>
      <c r="G8" s="200">
        <f t="shared" si="0"/>
        <v>178.59</v>
      </c>
      <c r="H8" s="200">
        <v>176.79</v>
      </c>
      <c r="I8" s="200"/>
      <c r="J8" s="200">
        <v>1.8</v>
      </c>
      <c r="K8" s="251">
        <f t="shared" si="1"/>
        <v>178.59</v>
      </c>
      <c r="L8" s="251">
        <v>176.79</v>
      </c>
      <c r="M8" s="251"/>
      <c r="N8" s="251">
        <v>1.8</v>
      </c>
    </row>
    <row r="9" spans="1:14" ht="25.5">
      <c r="A9" s="278" t="s">
        <v>256</v>
      </c>
      <c r="B9" s="278" t="s">
        <v>269</v>
      </c>
      <c r="C9" s="278" t="s">
        <v>270</v>
      </c>
      <c r="D9" s="278" t="s">
        <v>271</v>
      </c>
      <c r="E9" s="279" t="s">
        <v>272</v>
      </c>
      <c r="F9" s="253" t="s">
        <v>278</v>
      </c>
      <c r="G9" s="200">
        <f t="shared" si="0"/>
        <v>520</v>
      </c>
      <c r="H9" s="200">
        <v>320</v>
      </c>
      <c r="I9" s="200">
        <v>100</v>
      </c>
      <c r="J9" s="200">
        <v>100</v>
      </c>
      <c r="K9" s="251">
        <f t="shared" si="1"/>
        <v>520</v>
      </c>
      <c r="L9" s="251">
        <v>320</v>
      </c>
      <c r="M9" s="251">
        <v>100</v>
      </c>
      <c r="N9" s="251">
        <v>100</v>
      </c>
    </row>
    <row r="10" spans="1:14" ht="25.5">
      <c r="A10" s="278" t="s">
        <v>256</v>
      </c>
      <c r="B10" s="278" t="s">
        <v>269</v>
      </c>
      <c r="C10" s="278" t="s">
        <v>270</v>
      </c>
      <c r="D10" s="278" t="s">
        <v>271</v>
      </c>
      <c r="E10" s="279" t="s">
        <v>272</v>
      </c>
      <c r="F10" s="253" t="s">
        <v>279</v>
      </c>
      <c r="G10" s="200">
        <f t="shared" si="0"/>
        <v>164.13</v>
      </c>
      <c r="H10" s="200">
        <v>104.13</v>
      </c>
      <c r="I10" s="200">
        <v>30</v>
      </c>
      <c r="J10" s="200">
        <v>30</v>
      </c>
      <c r="K10" s="251">
        <f t="shared" si="1"/>
        <v>164.13</v>
      </c>
      <c r="L10" s="251">
        <v>104.13</v>
      </c>
      <c r="M10" s="251">
        <v>30</v>
      </c>
      <c r="N10" s="251">
        <v>30</v>
      </c>
    </row>
    <row r="11" spans="1:14" ht="25.5">
      <c r="A11" s="278" t="s">
        <v>255</v>
      </c>
      <c r="B11" s="278" t="s">
        <v>269</v>
      </c>
      <c r="C11" s="278" t="s">
        <v>270</v>
      </c>
      <c r="D11" s="278" t="s">
        <v>271</v>
      </c>
      <c r="E11" s="279" t="s">
        <v>272</v>
      </c>
      <c r="F11" s="253" t="s">
        <v>280</v>
      </c>
      <c r="G11" s="200">
        <f t="shared" si="0"/>
        <v>750</v>
      </c>
      <c r="H11" s="200">
        <v>450</v>
      </c>
      <c r="I11" s="200">
        <v>150</v>
      </c>
      <c r="J11" s="200">
        <v>150</v>
      </c>
      <c r="K11" s="251">
        <f t="shared" si="1"/>
        <v>750</v>
      </c>
      <c r="L11" s="251">
        <v>450</v>
      </c>
      <c r="M11" s="251">
        <v>150</v>
      </c>
      <c r="N11" s="251">
        <v>150</v>
      </c>
    </row>
    <row r="12" spans="1:14" ht="25.5">
      <c r="A12" s="278" t="s">
        <v>256</v>
      </c>
      <c r="B12" s="278" t="s">
        <v>275</v>
      </c>
      <c r="C12" s="278" t="s">
        <v>270</v>
      </c>
      <c r="D12" s="278" t="s">
        <v>271</v>
      </c>
      <c r="E12" s="279" t="s">
        <v>276</v>
      </c>
      <c r="F12" s="285" t="s">
        <v>281</v>
      </c>
      <c r="G12" s="200">
        <f t="shared" si="0"/>
        <v>1120.47</v>
      </c>
      <c r="H12" s="200">
        <v>1109.47</v>
      </c>
      <c r="I12" s="200">
        <v>0</v>
      </c>
      <c r="J12" s="200">
        <v>11</v>
      </c>
      <c r="K12" s="251">
        <f t="shared" si="1"/>
        <v>1120.47</v>
      </c>
      <c r="L12" s="251">
        <v>1109.47</v>
      </c>
      <c r="M12" s="251"/>
      <c r="N12" s="251">
        <v>11</v>
      </c>
    </row>
    <row r="13" spans="1:14" ht="25.5">
      <c r="A13" s="278" t="s">
        <v>255</v>
      </c>
      <c r="B13" s="278" t="s">
        <v>275</v>
      </c>
      <c r="C13" s="278" t="s">
        <v>270</v>
      </c>
      <c r="D13" s="278" t="s">
        <v>271</v>
      </c>
      <c r="E13" s="279" t="s">
        <v>276</v>
      </c>
      <c r="F13" s="285" t="s">
        <v>282</v>
      </c>
      <c r="G13" s="200">
        <f t="shared" si="0"/>
        <v>324.45</v>
      </c>
      <c r="H13" s="200">
        <v>321.15</v>
      </c>
      <c r="I13" s="200">
        <v>0</v>
      </c>
      <c r="J13" s="200">
        <v>3.3</v>
      </c>
      <c r="K13" s="251">
        <f t="shared" si="1"/>
        <v>324.45</v>
      </c>
      <c r="L13" s="251">
        <v>321.15</v>
      </c>
      <c r="M13" s="251"/>
      <c r="N13" s="251">
        <v>3.3</v>
      </c>
    </row>
    <row r="14" spans="1:14" ht="25.5">
      <c r="A14" s="278" t="s">
        <v>255</v>
      </c>
      <c r="B14" s="278" t="s">
        <v>275</v>
      </c>
      <c r="C14" s="278" t="s">
        <v>270</v>
      </c>
      <c r="D14" s="278" t="s">
        <v>271</v>
      </c>
      <c r="E14" s="279" t="s">
        <v>276</v>
      </c>
      <c r="F14" s="285" t="s">
        <v>283</v>
      </c>
      <c r="G14" s="200">
        <f t="shared" si="0"/>
        <v>400</v>
      </c>
      <c r="H14" s="200">
        <v>396</v>
      </c>
      <c r="I14" s="200"/>
      <c r="J14" s="200">
        <v>4</v>
      </c>
      <c r="K14" s="251">
        <f t="shared" si="1"/>
        <v>400</v>
      </c>
      <c r="L14" s="251">
        <v>396</v>
      </c>
      <c r="M14" s="251"/>
      <c r="N14" s="251">
        <v>4</v>
      </c>
    </row>
    <row r="15" spans="1:14" ht="12.75">
      <c r="A15" s="278" t="s">
        <v>255</v>
      </c>
      <c r="B15" s="278" t="s">
        <v>284</v>
      </c>
      <c r="C15" s="278" t="s">
        <v>285</v>
      </c>
      <c r="D15" s="278" t="s">
        <v>286</v>
      </c>
      <c r="E15" s="376" t="s">
        <v>287</v>
      </c>
      <c r="F15" s="378" t="s">
        <v>288</v>
      </c>
      <c r="G15" s="200">
        <f t="shared" si="0"/>
        <v>2490</v>
      </c>
      <c r="H15" s="200"/>
      <c r="I15" s="200">
        <v>1250</v>
      </c>
      <c r="J15" s="200">
        <v>1240</v>
      </c>
      <c r="K15" s="251">
        <f t="shared" si="1"/>
        <v>2490</v>
      </c>
      <c r="L15" s="251"/>
      <c r="M15" s="251">
        <v>1250</v>
      </c>
      <c r="N15" s="251">
        <v>1240</v>
      </c>
    </row>
    <row r="16" spans="1:14" ht="12.75">
      <c r="A16" s="278" t="s">
        <v>255</v>
      </c>
      <c r="B16" s="278" t="s">
        <v>275</v>
      </c>
      <c r="C16" s="278" t="s">
        <v>285</v>
      </c>
      <c r="D16" s="278" t="s">
        <v>286</v>
      </c>
      <c r="E16" s="377"/>
      <c r="F16" s="379"/>
      <c r="G16" s="200">
        <f t="shared" si="0"/>
        <v>3720</v>
      </c>
      <c r="H16" s="200">
        <f>3000+720</f>
        <v>3720</v>
      </c>
      <c r="I16" s="200"/>
      <c r="J16" s="200"/>
      <c r="K16" s="251">
        <f t="shared" si="1"/>
        <v>3720</v>
      </c>
      <c r="L16" s="251">
        <v>3720</v>
      </c>
      <c r="M16" s="251"/>
      <c r="N16" s="251"/>
    </row>
    <row r="17" spans="1:14" ht="12.75">
      <c r="A17" s="286"/>
      <c r="B17" s="286"/>
      <c r="C17" s="286"/>
      <c r="D17" s="286"/>
      <c r="E17" s="212"/>
      <c r="F17" s="255" t="s">
        <v>2</v>
      </c>
      <c r="G17" s="252">
        <f>SUM(G6:G16)</f>
        <v>14230.1</v>
      </c>
      <c r="H17" s="252">
        <f>SUM(H6:H16)</f>
        <v>8540</v>
      </c>
      <c r="I17" s="252">
        <f aca="true" t="shared" si="2" ref="I17:N17">SUM(I6:I16)</f>
        <v>2840</v>
      </c>
      <c r="J17" s="252">
        <f t="shared" si="2"/>
        <v>2850.1</v>
      </c>
      <c r="K17" s="252">
        <f t="shared" si="2"/>
        <v>14230.1</v>
      </c>
      <c r="L17" s="252">
        <f t="shared" si="2"/>
        <v>8540</v>
      </c>
      <c r="M17" s="252">
        <f t="shared" si="2"/>
        <v>2840</v>
      </c>
      <c r="N17" s="252">
        <f t="shared" si="2"/>
        <v>2850.1</v>
      </c>
    </row>
    <row r="18" spans="1:14" s="199" customFormat="1" ht="12.75">
      <c r="A18" s="201"/>
      <c r="B18" s="201"/>
      <c r="C18" s="201"/>
      <c r="D18" s="201"/>
      <c r="E18" s="201"/>
      <c r="F18" s="202"/>
      <c r="G18" s="201"/>
      <c r="H18" s="287"/>
      <c r="I18" s="287"/>
      <c r="J18" s="287"/>
      <c r="K18" s="201"/>
      <c r="L18" s="201"/>
      <c r="M18" s="201"/>
      <c r="N18" s="201"/>
    </row>
    <row r="19" spans="1:14" ht="12.75" customHeight="1">
      <c r="A19" s="380" t="s">
        <v>289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2"/>
    </row>
    <row r="20" spans="1:14" ht="25.5">
      <c r="A20" s="278" t="s">
        <v>255</v>
      </c>
      <c r="B20" s="278" t="s">
        <v>290</v>
      </c>
      <c r="C20" s="278" t="s">
        <v>270</v>
      </c>
      <c r="D20" s="278" t="s">
        <v>271</v>
      </c>
      <c r="E20" s="279" t="s">
        <v>291</v>
      </c>
      <c r="F20" s="204" t="s">
        <v>292</v>
      </c>
      <c r="G20" s="200">
        <f aca="true" t="shared" si="3" ref="G20:G25">SUM(H20:J20)</f>
        <v>1000</v>
      </c>
      <c r="H20" s="288">
        <v>1000</v>
      </c>
      <c r="I20" s="288"/>
      <c r="J20" s="200"/>
      <c r="K20" s="251">
        <f aca="true" t="shared" si="4" ref="K20:K25">SUM(L20:N20)</f>
        <v>1000</v>
      </c>
      <c r="L20" s="251">
        <v>1000</v>
      </c>
      <c r="M20" s="251"/>
      <c r="N20" s="251"/>
    </row>
    <row r="21" spans="1:14" ht="25.5">
      <c r="A21" s="254"/>
      <c r="B21" s="254"/>
      <c r="C21" s="254"/>
      <c r="D21" s="254"/>
      <c r="E21" s="212"/>
      <c r="F21" s="204" t="s">
        <v>293</v>
      </c>
      <c r="G21" s="200">
        <f t="shared" si="3"/>
        <v>2399.941</v>
      </c>
      <c r="H21" s="288">
        <v>2399.941</v>
      </c>
      <c r="I21" s="288"/>
      <c r="J21" s="252"/>
      <c r="K21" s="251">
        <f t="shared" si="4"/>
        <v>2399.94</v>
      </c>
      <c r="L21" s="251">
        <v>2399.94</v>
      </c>
      <c r="M21" s="251"/>
      <c r="N21" s="251"/>
    </row>
    <row r="22" spans="1:14" ht="25.5">
      <c r="A22" s="254"/>
      <c r="B22" s="254"/>
      <c r="C22" s="254"/>
      <c r="D22" s="254"/>
      <c r="E22" s="212"/>
      <c r="F22" s="204" t="s">
        <v>294</v>
      </c>
      <c r="G22" s="200">
        <f t="shared" si="3"/>
        <v>779.31</v>
      </c>
      <c r="H22" s="288">
        <v>779.31</v>
      </c>
      <c r="I22" s="288"/>
      <c r="J22" s="252"/>
      <c r="K22" s="251">
        <f t="shared" si="4"/>
        <v>779.31</v>
      </c>
      <c r="L22" s="251">
        <v>779.31</v>
      </c>
      <c r="M22" s="251"/>
      <c r="N22" s="251"/>
    </row>
    <row r="23" spans="1:14" ht="25.5">
      <c r="A23" s="254"/>
      <c r="B23" s="254"/>
      <c r="C23" s="254"/>
      <c r="D23" s="254"/>
      <c r="E23" s="212"/>
      <c r="F23" s="204" t="s">
        <v>295</v>
      </c>
      <c r="G23" s="200">
        <f t="shared" si="3"/>
        <v>566.083</v>
      </c>
      <c r="H23" s="288">
        <v>566.083</v>
      </c>
      <c r="I23" s="288"/>
      <c r="J23" s="252"/>
      <c r="K23" s="251">
        <f t="shared" si="4"/>
        <v>566.08</v>
      </c>
      <c r="L23" s="251">
        <v>566.08</v>
      </c>
      <c r="M23" s="251"/>
      <c r="N23" s="251"/>
    </row>
    <row r="24" spans="1:14" ht="51">
      <c r="A24" s="254"/>
      <c r="B24" s="254"/>
      <c r="C24" s="254"/>
      <c r="D24" s="254"/>
      <c r="E24" s="212"/>
      <c r="F24" s="204" t="s">
        <v>296</v>
      </c>
      <c r="G24" s="200">
        <f t="shared" si="3"/>
        <v>1092</v>
      </c>
      <c r="H24" s="288">
        <v>1092</v>
      </c>
      <c r="I24" s="288"/>
      <c r="J24" s="200"/>
      <c r="K24" s="251">
        <f t="shared" si="4"/>
        <v>1092</v>
      </c>
      <c r="L24" s="251">
        <v>1092</v>
      </c>
      <c r="M24" s="251"/>
      <c r="N24" s="251"/>
    </row>
    <row r="25" spans="1:14" ht="38.25">
      <c r="A25" s="254"/>
      <c r="B25" s="254"/>
      <c r="C25" s="254"/>
      <c r="D25" s="254"/>
      <c r="E25" s="212"/>
      <c r="F25" s="204" t="s">
        <v>297</v>
      </c>
      <c r="G25" s="200">
        <f t="shared" si="3"/>
        <v>6075.92</v>
      </c>
      <c r="H25" s="288"/>
      <c r="I25" s="288">
        <f>4500+1500</f>
        <v>6000</v>
      </c>
      <c r="J25" s="200">
        <v>75.92</v>
      </c>
      <c r="K25" s="251">
        <f t="shared" si="4"/>
        <v>6075.92</v>
      </c>
      <c r="L25" s="251"/>
      <c r="M25" s="251">
        <v>6000</v>
      </c>
      <c r="N25" s="251">
        <v>75.92</v>
      </c>
    </row>
    <row r="26" spans="1:14" s="290" customFormat="1" ht="12.75">
      <c r="A26" s="289"/>
      <c r="B26" s="289"/>
      <c r="C26" s="289"/>
      <c r="D26" s="289"/>
      <c r="E26" s="212"/>
      <c r="F26" s="255" t="s">
        <v>2</v>
      </c>
      <c r="G26" s="252">
        <f aca="true" t="shared" si="5" ref="G26:N26">SUM(G20:G25)</f>
        <v>11913.254</v>
      </c>
      <c r="H26" s="252">
        <f t="shared" si="5"/>
        <v>5837.334</v>
      </c>
      <c r="I26" s="252">
        <f t="shared" si="5"/>
        <v>6000</v>
      </c>
      <c r="J26" s="252">
        <f t="shared" si="5"/>
        <v>75.92</v>
      </c>
      <c r="K26" s="252">
        <f t="shared" si="5"/>
        <v>11913.25</v>
      </c>
      <c r="L26" s="252">
        <f t="shared" si="5"/>
        <v>5837.33</v>
      </c>
      <c r="M26" s="252">
        <f t="shared" si="5"/>
        <v>6000</v>
      </c>
      <c r="N26" s="252">
        <f t="shared" si="5"/>
        <v>75.92</v>
      </c>
    </row>
    <row r="27" spans="1:14" s="199" customFormat="1" ht="12.75">
      <c r="A27" s="201"/>
      <c r="B27" s="201"/>
      <c r="C27" s="201"/>
      <c r="D27" s="201"/>
      <c r="E27" s="201"/>
      <c r="F27" s="202"/>
      <c r="G27" s="201"/>
      <c r="H27" s="203"/>
      <c r="I27" s="201"/>
      <c r="J27" s="201"/>
      <c r="K27" s="201"/>
      <c r="L27" s="201"/>
      <c r="M27" s="201"/>
      <c r="N27" s="201"/>
    </row>
    <row r="28" spans="1:14" ht="22.5" customHeight="1">
      <c r="A28" s="380" t="s">
        <v>298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2"/>
    </row>
    <row r="29" spans="1:14" ht="25.5">
      <c r="A29" s="285" t="s">
        <v>256</v>
      </c>
      <c r="B29" s="285" t="s">
        <v>299</v>
      </c>
      <c r="C29" s="285" t="s">
        <v>270</v>
      </c>
      <c r="D29" s="285" t="s">
        <v>271</v>
      </c>
      <c r="E29" s="291"/>
      <c r="F29" s="204" t="s">
        <v>300</v>
      </c>
      <c r="G29" s="253">
        <f aca="true" t="shared" si="6" ref="G29:G34">SUM(H29:J29)</f>
        <v>1086.776</v>
      </c>
      <c r="H29" s="253">
        <v>990</v>
      </c>
      <c r="I29" s="292"/>
      <c r="J29" s="253">
        <v>96.776</v>
      </c>
      <c r="K29" s="253">
        <f aca="true" t="shared" si="7" ref="K29:K34">SUM(L29:N29)</f>
        <v>1086.776</v>
      </c>
      <c r="L29" s="254">
        <v>990</v>
      </c>
      <c r="M29" s="254"/>
      <c r="N29" s="254">
        <v>96.776</v>
      </c>
    </row>
    <row r="30" spans="1:14" ht="25.5">
      <c r="A30" s="253"/>
      <c r="B30" s="253"/>
      <c r="C30" s="253"/>
      <c r="D30" s="253"/>
      <c r="E30" s="211"/>
      <c r="F30" s="204" t="s">
        <v>301</v>
      </c>
      <c r="G30" s="253">
        <f t="shared" si="6"/>
        <v>2475</v>
      </c>
      <c r="H30" s="253">
        <v>2475</v>
      </c>
      <c r="I30" s="292"/>
      <c r="J30" s="253"/>
      <c r="K30" s="253">
        <f t="shared" si="7"/>
        <v>2475</v>
      </c>
      <c r="L30" s="254">
        <v>2475</v>
      </c>
      <c r="M30" s="254"/>
      <c r="N30" s="254"/>
    </row>
    <row r="31" spans="1:14" ht="25.5">
      <c r="A31" s="253"/>
      <c r="B31" s="253"/>
      <c r="C31" s="253"/>
      <c r="D31" s="253"/>
      <c r="E31" s="211"/>
      <c r="F31" s="204" t="s">
        <v>302</v>
      </c>
      <c r="G31" s="253">
        <f t="shared" si="6"/>
        <v>2475</v>
      </c>
      <c r="H31" s="253">
        <v>2475</v>
      </c>
      <c r="I31" s="292"/>
      <c r="J31" s="253"/>
      <c r="K31" s="253">
        <f t="shared" si="7"/>
        <v>2475</v>
      </c>
      <c r="L31" s="254">
        <v>2475</v>
      </c>
      <c r="M31" s="254"/>
      <c r="N31" s="254"/>
    </row>
    <row r="32" spans="1:14" ht="38.25">
      <c r="A32" s="253"/>
      <c r="B32" s="253"/>
      <c r="C32" s="253"/>
      <c r="D32" s="253"/>
      <c r="E32" s="211"/>
      <c r="F32" s="204" t="s">
        <v>303</v>
      </c>
      <c r="G32" s="253">
        <f t="shared" si="6"/>
        <v>2970</v>
      </c>
      <c r="H32" s="253">
        <v>2970</v>
      </c>
      <c r="I32" s="292"/>
      <c r="J32" s="253"/>
      <c r="K32" s="253">
        <f t="shared" si="7"/>
        <v>2970</v>
      </c>
      <c r="L32" s="254">
        <v>2970</v>
      </c>
      <c r="M32" s="254"/>
      <c r="N32" s="254"/>
    </row>
    <row r="33" spans="1:14" ht="25.5">
      <c r="A33" s="253"/>
      <c r="B33" s="253"/>
      <c r="C33" s="253"/>
      <c r="D33" s="253"/>
      <c r="E33" s="211"/>
      <c r="F33" s="204" t="s">
        <v>304</v>
      </c>
      <c r="G33" s="253">
        <f t="shared" si="6"/>
        <v>6057.5</v>
      </c>
      <c r="H33" s="253">
        <f>4997.5</f>
        <v>4997.5</v>
      </c>
      <c r="I33" s="292"/>
      <c r="J33" s="253">
        <v>1060</v>
      </c>
      <c r="K33" s="253">
        <f t="shared" si="7"/>
        <v>6057.5</v>
      </c>
      <c r="L33" s="254">
        <v>4997.5</v>
      </c>
      <c r="M33" s="254"/>
      <c r="N33" s="254">
        <v>1060</v>
      </c>
    </row>
    <row r="34" spans="1:14" ht="32.25" thickBot="1">
      <c r="A34" s="253"/>
      <c r="B34" s="253"/>
      <c r="C34" s="253"/>
      <c r="D34" s="253"/>
      <c r="E34" s="211"/>
      <c r="F34" s="293" t="s">
        <v>410</v>
      </c>
      <c r="G34" s="253">
        <f t="shared" si="6"/>
        <v>936.24</v>
      </c>
      <c r="H34" s="253">
        <v>600</v>
      </c>
      <c r="I34" s="292">
        <v>336.24</v>
      </c>
      <c r="J34" s="253"/>
      <c r="K34" s="253">
        <f t="shared" si="7"/>
        <v>936.24</v>
      </c>
      <c r="L34" s="253">
        <v>600</v>
      </c>
      <c r="M34" s="292">
        <v>336.24</v>
      </c>
      <c r="N34" s="254"/>
    </row>
    <row r="35" spans="1:14" s="290" customFormat="1" ht="12.75">
      <c r="A35" s="255"/>
      <c r="B35" s="255"/>
      <c r="C35" s="255"/>
      <c r="D35" s="255"/>
      <c r="E35" s="211"/>
      <c r="F35" s="255" t="s">
        <v>2</v>
      </c>
      <c r="G35" s="255">
        <f aca="true" t="shared" si="8" ref="G35:N35">SUM(G29:G34)</f>
        <v>16000.516</v>
      </c>
      <c r="H35" s="255">
        <f t="shared" si="8"/>
        <v>14507.5</v>
      </c>
      <c r="I35" s="255">
        <f t="shared" si="8"/>
        <v>336.24</v>
      </c>
      <c r="J35" s="255">
        <f t="shared" si="8"/>
        <v>1156.776</v>
      </c>
      <c r="K35" s="255">
        <f t="shared" si="8"/>
        <v>16000.516</v>
      </c>
      <c r="L35" s="255">
        <f t="shared" si="8"/>
        <v>14507.5</v>
      </c>
      <c r="M35" s="255">
        <f t="shared" si="8"/>
        <v>336.24</v>
      </c>
      <c r="N35" s="255">
        <f t="shared" si="8"/>
        <v>1156.776</v>
      </c>
    </row>
    <row r="36" spans="1:14" ht="24.75" customHeight="1">
      <c r="A36" s="383" t="s">
        <v>305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5"/>
    </row>
    <row r="37" spans="1:14" ht="38.25">
      <c r="A37" s="285"/>
      <c r="B37" s="285"/>
      <c r="C37" s="285"/>
      <c r="D37" s="285"/>
      <c r="E37" s="291"/>
      <c r="F37" s="204" t="s">
        <v>306</v>
      </c>
      <c r="G37" s="256">
        <f>SUM(H37:J37)</f>
        <v>115.28999999999999</v>
      </c>
      <c r="H37" s="256"/>
      <c r="I37" s="294"/>
      <c r="J37" s="295">
        <f>100+15.29</f>
        <v>115.28999999999999</v>
      </c>
      <c r="K37" s="256">
        <f>SUM(L37:N37)</f>
        <v>99</v>
      </c>
      <c r="L37" s="251"/>
      <c r="M37" s="251"/>
      <c r="N37" s="251">
        <v>99</v>
      </c>
    </row>
    <row r="38" spans="1:14" ht="12.75">
      <c r="A38" s="254"/>
      <c r="B38" s="254"/>
      <c r="C38" s="254"/>
      <c r="D38" s="254"/>
      <c r="E38" s="212"/>
      <c r="F38" s="255" t="s">
        <v>2</v>
      </c>
      <c r="G38" s="252">
        <f aca="true" t="shared" si="9" ref="G38:N38">SUM(G37)</f>
        <v>115.28999999999999</v>
      </c>
      <c r="H38" s="252">
        <f t="shared" si="9"/>
        <v>0</v>
      </c>
      <c r="I38" s="252">
        <f t="shared" si="9"/>
        <v>0</v>
      </c>
      <c r="J38" s="252">
        <f t="shared" si="9"/>
        <v>115.28999999999999</v>
      </c>
      <c r="K38" s="252">
        <f t="shared" si="9"/>
        <v>99</v>
      </c>
      <c r="L38" s="252">
        <f t="shared" si="9"/>
        <v>0</v>
      </c>
      <c r="M38" s="252">
        <f t="shared" si="9"/>
        <v>0</v>
      </c>
      <c r="N38" s="252">
        <f t="shared" si="9"/>
        <v>99</v>
      </c>
    </row>
    <row r="39" spans="1:14" ht="12.75">
      <c r="A39" s="390" t="s">
        <v>307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2"/>
    </row>
    <row r="40" spans="1:14" s="297" customFormat="1" ht="25.5">
      <c r="A40" s="285" t="s">
        <v>259</v>
      </c>
      <c r="B40" s="285" t="s">
        <v>308</v>
      </c>
      <c r="C40" s="285" t="s">
        <v>309</v>
      </c>
      <c r="D40" s="285" t="s">
        <v>310</v>
      </c>
      <c r="E40" s="291" t="s">
        <v>311</v>
      </c>
      <c r="F40" s="296" t="s">
        <v>312</v>
      </c>
      <c r="G40" s="257">
        <f>SUM(H40:J40)</f>
        <v>1205.1409999999998</v>
      </c>
      <c r="H40" s="257">
        <f>SUM(H41:H42)</f>
        <v>0</v>
      </c>
      <c r="I40" s="257">
        <f>SUM(I41:I42)</f>
        <v>1084.627</v>
      </c>
      <c r="J40" s="257">
        <f>SUM(J41:J42)</f>
        <v>120.514</v>
      </c>
      <c r="K40" s="257">
        <f>SUM(L40:N40)</f>
        <v>1205.1409999999998</v>
      </c>
      <c r="L40" s="257">
        <f>SUM(L41:L42)</f>
        <v>0</v>
      </c>
      <c r="M40" s="257">
        <f>SUM(M41:M42)</f>
        <v>1084.627</v>
      </c>
      <c r="N40" s="257">
        <f>SUM(N41:N42)</f>
        <v>120.514</v>
      </c>
    </row>
    <row r="41" spans="1:14" ht="12.75">
      <c r="A41" s="278"/>
      <c r="B41" s="278"/>
      <c r="C41" s="278"/>
      <c r="D41" s="278"/>
      <c r="E41" s="279"/>
      <c r="F41" s="204" t="s">
        <v>313</v>
      </c>
      <c r="G41" s="200">
        <f aca="true" t="shared" si="10" ref="G41:G48">SUM(H41:J41)</f>
        <v>525.306</v>
      </c>
      <c r="H41" s="200"/>
      <c r="I41" s="288">
        <v>472.776</v>
      </c>
      <c r="J41" s="200">
        <v>52.53</v>
      </c>
      <c r="K41" s="251">
        <f aca="true" t="shared" si="11" ref="K41:K48">SUM(L41:N41)</f>
        <v>525.306</v>
      </c>
      <c r="L41" s="251"/>
      <c r="M41" s="251">
        <v>472.776</v>
      </c>
      <c r="N41" s="251">
        <v>52.53</v>
      </c>
    </row>
    <row r="42" spans="1:14" ht="12.75">
      <c r="A42" s="278"/>
      <c r="B42" s="278"/>
      <c r="C42" s="278"/>
      <c r="D42" s="278"/>
      <c r="E42" s="279"/>
      <c r="F42" s="204" t="s">
        <v>314</v>
      </c>
      <c r="G42" s="200">
        <f t="shared" si="10"/>
        <v>679.835</v>
      </c>
      <c r="H42" s="200"/>
      <c r="I42" s="288">
        <f>611.861-0.01</f>
        <v>611.851</v>
      </c>
      <c r="J42" s="200">
        <v>67.984</v>
      </c>
      <c r="K42" s="251">
        <f t="shared" si="11"/>
        <v>679.835</v>
      </c>
      <c r="L42" s="251"/>
      <c r="M42" s="251">
        <v>611.851</v>
      </c>
      <c r="N42" s="251">
        <v>67.984</v>
      </c>
    </row>
    <row r="43" spans="1:14" s="299" customFormat="1" ht="25.5">
      <c r="A43" s="298"/>
      <c r="B43" s="298"/>
      <c r="C43" s="298"/>
      <c r="D43" s="298"/>
      <c r="E43" s="291"/>
      <c r="F43" s="296" t="s">
        <v>315</v>
      </c>
      <c r="G43" s="257">
        <f t="shared" si="10"/>
        <v>1186.962</v>
      </c>
      <c r="H43" s="257">
        <f>SUM(H44:H45)</f>
        <v>0</v>
      </c>
      <c r="I43" s="257">
        <f>SUM(I44:I45)</f>
        <v>1068.2649999999999</v>
      </c>
      <c r="J43" s="257">
        <f>SUM(J44:J45)</f>
        <v>118.697</v>
      </c>
      <c r="K43" s="257">
        <f t="shared" si="11"/>
        <v>1186.962</v>
      </c>
      <c r="L43" s="257">
        <f>SUM(L44:L45)</f>
        <v>0</v>
      </c>
      <c r="M43" s="257">
        <f>SUM(M44:M45)</f>
        <v>1068.2649999999999</v>
      </c>
      <c r="N43" s="257">
        <f>SUM(N44:N45)</f>
        <v>118.697</v>
      </c>
    </row>
    <row r="44" spans="1:14" ht="12.75">
      <c r="A44" s="278"/>
      <c r="B44" s="278"/>
      <c r="C44" s="278"/>
      <c r="D44" s="278"/>
      <c r="E44" s="279"/>
      <c r="F44" s="204" t="s">
        <v>316</v>
      </c>
      <c r="G44" s="200">
        <f t="shared" si="10"/>
        <v>660.352</v>
      </c>
      <c r="H44" s="200"/>
      <c r="I44" s="288">
        <v>594.317</v>
      </c>
      <c r="J44" s="200">
        <v>66.035</v>
      </c>
      <c r="K44" s="251">
        <f t="shared" si="11"/>
        <v>660.352</v>
      </c>
      <c r="L44" s="251"/>
      <c r="M44" s="251">
        <v>594.317</v>
      </c>
      <c r="N44" s="251">
        <v>66.035</v>
      </c>
    </row>
    <row r="45" spans="1:14" ht="12.75">
      <c r="A45" s="278"/>
      <c r="B45" s="278"/>
      <c r="C45" s="278"/>
      <c r="D45" s="278"/>
      <c r="E45" s="279"/>
      <c r="F45" s="204" t="s">
        <v>317</v>
      </c>
      <c r="G45" s="200">
        <f t="shared" si="10"/>
        <v>526.61</v>
      </c>
      <c r="H45" s="200"/>
      <c r="I45" s="288">
        <v>473.948</v>
      </c>
      <c r="J45" s="200">
        <v>52.662</v>
      </c>
      <c r="K45" s="251">
        <f t="shared" si="11"/>
        <v>526.61</v>
      </c>
      <c r="L45" s="251"/>
      <c r="M45" s="251">
        <v>473.948</v>
      </c>
      <c r="N45" s="251">
        <v>52.662</v>
      </c>
    </row>
    <row r="46" spans="1:14" s="299" customFormat="1" ht="12.75">
      <c r="A46" s="298"/>
      <c r="B46" s="298"/>
      <c r="C46" s="298"/>
      <c r="D46" s="298"/>
      <c r="E46" s="291"/>
      <c r="F46" s="296" t="s">
        <v>318</v>
      </c>
      <c r="G46" s="257">
        <f t="shared" si="10"/>
        <v>1203.681</v>
      </c>
      <c r="H46" s="257">
        <f>SUM(H47:H48)</f>
        <v>0</v>
      </c>
      <c r="I46" s="257">
        <f>SUM(I47:I48)</f>
        <v>1083.313</v>
      </c>
      <c r="J46" s="257">
        <f>SUM(J47:J48)</f>
        <v>120.368</v>
      </c>
      <c r="K46" s="257">
        <f t="shared" si="11"/>
        <v>1203.681</v>
      </c>
      <c r="L46" s="257">
        <f>SUM(L47:L48)</f>
        <v>0</v>
      </c>
      <c r="M46" s="257">
        <f>SUM(M47:M48)</f>
        <v>1083.313</v>
      </c>
      <c r="N46" s="257">
        <f>SUM(N47:N48)</f>
        <v>120.368</v>
      </c>
    </row>
    <row r="47" spans="1:14" ht="12.75">
      <c r="A47" s="278"/>
      <c r="B47" s="278"/>
      <c r="C47" s="278"/>
      <c r="D47" s="278"/>
      <c r="E47" s="279"/>
      <c r="F47" s="204" t="s">
        <v>319</v>
      </c>
      <c r="G47" s="200">
        <f t="shared" si="10"/>
        <v>616.522</v>
      </c>
      <c r="H47" s="200"/>
      <c r="I47" s="288">
        <v>554.87</v>
      </c>
      <c r="J47" s="200">
        <v>61.652</v>
      </c>
      <c r="K47" s="251">
        <f t="shared" si="11"/>
        <v>616.522</v>
      </c>
      <c r="L47" s="251"/>
      <c r="M47" s="251">
        <v>554.87</v>
      </c>
      <c r="N47" s="251">
        <v>61.652</v>
      </c>
    </row>
    <row r="48" spans="1:14" ht="12.75">
      <c r="A48" s="278"/>
      <c r="B48" s="278"/>
      <c r="C48" s="278"/>
      <c r="D48" s="278"/>
      <c r="E48" s="279"/>
      <c r="F48" s="204" t="s">
        <v>320</v>
      </c>
      <c r="G48" s="200">
        <f t="shared" si="10"/>
        <v>587.159</v>
      </c>
      <c r="H48" s="200"/>
      <c r="I48" s="288">
        <v>528.443</v>
      </c>
      <c r="J48" s="200">
        <v>58.716</v>
      </c>
      <c r="K48" s="251">
        <f t="shared" si="11"/>
        <v>587.159</v>
      </c>
      <c r="L48" s="251"/>
      <c r="M48" s="251">
        <v>528.443</v>
      </c>
      <c r="N48" s="251">
        <v>58.716</v>
      </c>
    </row>
    <row r="49" spans="1:14" ht="12.75">
      <c r="A49" s="254"/>
      <c r="B49" s="254"/>
      <c r="C49" s="254"/>
      <c r="D49" s="254"/>
      <c r="E49" s="212"/>
      <c r="F49" s="255" t="s">
        <v>2</v>
      </c>
      <c r="G49" s="252">
        <f>G40+G43+G46</f>
        <v>3595.784</v>
      </c>
      <c r="H49" s="252">
        <f aca="true" t="shared" si="12" ref="H49:N49">H40+H43+H46</f>
        <v>0</v>
      </c>
      <c r="I49" s="252">
        <f t="shared" si="12"/>
        <v>3236.205</v>
      </c>
      <c r="J49" s="252">
        <f t="shared" si="12"/>
        <v>359.579</v>
      </c>
      <c r="K49" s="252">
        <f>K40+K43+K46</f>
        <v>3595.784</v>
      </c>
      <c r="L49" s="252">
        <f t="shared" si="12"/>
        <v>0</v>
      </c>
      <c r="M49" s="252">
        <f t="shared" si="12"/>
        <v>3236.205</v>
      </c>
      <c r="N49" s="252">
        <f t="shared" si="12"/>
        <v>359.579</v>
      </c>
    </row>
    <row r="50" spans="1:14" ht="24.75" customHeight="1">
      <c r="A50" s="393" t="s">
        <v>321</v>
      </c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5"/>
    </row>
    <row r="51" spans="1:14" ht="25.5">
      <c r="A51" s="278"/>
      <c r="B51" s="278"/>
      <c r="C51" s="278"/>
      <c r="D51" s="278"/>
      <c r="E51" s="279"/>
      <c r="F51" s="204" t="s">
        <v>322</v>
      </c>
      <c r="G51" s="205">
        <f>SUM(H51:J51)</f>
        <v>154.74</v>
      </c>
      <c r="H51" s="205"/>
      <c r="I51" s="206">
        <v>100</v>
      </c>
      <c r="J51" s="205">
        <f>43.63+11.11</f>
        <v>54.74</v>
      </c>
      <c r="K51" s="205">
        <f>SUM(L51:N51)</f>
        <v>154.74</v>
      </c>
      <c r="L51" s="254"/>
      <c r="M51" s="254">
        <v>100</v>
      </c>
      <c r="N51" s="254">
        <f>43.63+11.11</f>
        <v>54.74</v>
      </c>
    </row>
    <row r="52" spans="1:14" ht="25.5">
      <c r="A52" s="278"/>
      <c r="B52" s="278"/>
      <c r="C52" s="278"/>
      <c r="D52" s="278"/>
      <c r="E52" s="279"/>
      <c r="F52" s="204" t="s">
        <v>323</v>
      </c>
      <c r="G52" s="205">
        <f>SUM(H52:J52)</f>
        <v>455.562</v>
      </c>
      <c r="H52" s="205"/>
      <c r="I52" s="206">
        <v>410</v>
      </c>
      <c r="J52" s="205">
        <v>45.562</v>
      </c>
      <c r="K52" s="205">
        <f>SUM(L52:N52)</f>
        <v>455.562</v>
      </c>
      <c r="L52" s="254"/>
      <c r="M52" s="254">
        <v>410</v>
      </c>
      <c r="N52" s="254">
        <v>45.562</v>
      </c>
    </row>
    <row r="53" spans="1:14" ht="25.5">
      <c r="A53" s="278"/>
      <c r="B53" s="278"/>
      <c r="C53" s="278"/>
      <c r="D53" s="278"/>
      <c r="E53" s="279"/>
      <c r="F53" s="204" t="s">
        <v>324</v>
      </c>
      <c r="G53" s="205">
        <f>SUM(H53:J53)</f>
        <v>341</v>
      </c>
      <c r="H53" s="205"/>
      <c r="I53" s="206">
        <v>306.9</v>
      </c>
      <c r="J53" s="205">
        <v>34.1</v>
      </c>
      <c r="K53" s="205">
        <f>SUM(L53:N53)</f>
        <v>341</v>
      </c>
      <c r="L53" s="254"/>
      <c r="M53" s="206">
        <v>306.9</v>
      </c>
      <c r="N53" s="254">
        <v>34.1</v>
      </c>
    </row>
    <row r="54" spans="1:14" ht="25.5">
      <c r="A54" s="278"/>
      <c r="B54" s="278"/>
      <c r="C54" s="278"/>
      <c r="D54" s="278"/>
      <c r="E54" s="279"/>
      <c r="F54" s="204" t="s">
        <v>325</v>
      </c>
      <c r="G54" s="205">
        <f>SUM(H54:J54)</f>
        <v>511.93</v>
      </c>
      <c r="H54" s="205"/>
      <c r="I54" s="206">
        <v>500</v>
      </c>
      <c r="J54" s="205">
        <v>11.93</v>
      </c>
      <c r="K54" s="205">
        <f>SUM(L54:N54)</f>
        <v>511.93</v>
      </c>
      <c r="L54" s="254"/>
      <c r="M54" s="206">
        <v>500</v>
      </c>
      <c r="N54" s="254">
        <v>11.93</v>
      </c>
    </row>
    <row r="55" spans="1:14" ht="12.75">
      <c r="A55" s="254"/>
      <c r="B55" s="254"/>
      <c r="C55" s="254"/>
      <c r="D55" s="254"/>
      <c r="E55" s="212"/>
      <c r="F55" s="255" t="s">
        <v>2</v>
      </c>
      <c r="G55" s="258">
        <f>SUM(H55:J55)</f>
        <v>1463.232</v>
      </c>
      <c r="H55" s="258">
        <f>SUM(H51:H54)</f>
        <v>0</v>
      </c>
      <c r="I55" s="258">
        <f>SUM(I51:I54)</f>
        <v>1316.9</v>
      </c>
      <c r="J55" s="258">
        <f>SUM(J51:J54)</f>
        <v>146.332</v>
      </c>
      <c r="K55" s="258">
        <f>SUM(L55:N55)</f>
        <v>1463.232</v>
      </c>
      <c r="L55" s="258">
        <f>SUM(L51:L54)</f>
        <v>0</v>
      </c>
      <c r="M55" s="258">
        <f>SUM(M51:M54)</f>
        <v>1316.9</v>
      </c>
      <c r="N55" s="258">
        <f>SUM(N51:N54)</f>
        <v>146.332</v>
      </c>
    </row>
    <row r="56" spans="1:14" ht="12.75" customHeight="1">
      <c r="A56" s="386" t="s">
        <v>326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8"/>
    </row>
    <row r="57" spans="1:14" ht="51">
      <c r="A57" s="281" t="s">
        <v>255</v>
      </c>
      <c r="B57" s="281">
        <v>5222700</v>
      </c>
      <c r="C57" s="281">
        <v>411</v>
      </c>
      <c r="D57" s="281">
        <v>226.31</v>
      </c>
      <c r="E57" s="279" t="s">
        <v>327</v>
      </c>
      <c r="F57" s="285" t="s">
        <v>328</v>
      </c>
      <c r="G57" s="207">
        <f>SUM(H57:J57)</f>
        <v>8888.999</v>
      </c>
      <c r="H57" s="300"/>
      <c r="I57" s="300">
        <v>8000</v>
      </c>
      <c r="J57" s="300">
        <v>888.999</v>
      </c>
      <c r="K57" s="207">
        <f>SUM(L57:N57)</f>
        <v>8888.999</v>
      </c>
      <c r="L57" s="207"/>
      <c r="M57" s="207">
        <v>8000</v>
      </c>
      <c r="N57" s="207">
        <v>888.999</v>
      </c>
    </row>
    <row r="58" spans="1:14" ht="38.25">
      <c r="A58" s="281" t="s">
        <v>257</v>
      </c>
      <c r="B58" s="282" t="s">
        <v>329</v>
      </c>
      <c r="C58" s="282" t="s">
        <v>330</v>
      </c>
      <c r="D58" s="281" t="s">
        <v>331</v>
      </c>
      <c r="E58" s="279"/>
      <c r="F58" s="204" t="s">
        <v>332</v>
      </c>
      <c r="G58" s="207">
        <f>SUM(H58:J58)</f>
        <v>2861.29</v>
      </c>
      <c r="H58" s="207">
        <v>790.9</v>
      </c>
      <c r="I58" s="283">
        <f>900+700</f>
        <v>1600</v>
      </c>
      <c r="J58" s="207">
        <v>470.39</v>
      </c>
      <c r="K58" s="207">
        <f>SUM(L58:N58)</f>
        <v>2861.29</v>
      </c>
      <c r="L58" s="207">
        <v>790.9</v>
      </c>
      <c r="M58" s="207">
        <v>1600</v>
      </c>
      <c r="N58" s="207">
        <v>470.39</v>
      </c>
    </row>
    <row r="59" spans="1:14" ht="63.75">
      <c r="A59" s="281"/>
      <c r="B59" s="282"/>
      <c r="C59" s="282"/>
      <c r="D59" s="281"/>
      <c r="E59" s="279"/>
      <c r="F59" s="204" t="s">
        <v>333</v>
      </c>
      <c r="G59" s="207">
        <f>SUM(H59:J59)</f>
        <v>4094.58</v>
      </c>
      <c r="H59" s="207">
        <f>2029.86+918.238</f>
        <v>2948.098</v>
      </c>
      <c r="I59" s="283">
        <f>789.39+357.092</f>
        <v>1146.482</v>
      </c>
      <c r="J59" s="207"/>
      <c r="K59" s="207">
        <f>SUM(L59:N59)</f>
        <v>4094.58</v>
      </c>
      <c r="L59" s="207">
        <f>2029.86+918.238</f>
        <v>2948.098</v>
      </c>
      <c r="M59" s="283">
        <f>789.39+357.092</f>
        <v>1146.482</v>
      </c>
      <c r="N59" s="207"/>
    </row>
    <row r="60" spans="1:14" ht="12.75">
      <c r="A60" s="281"/>
      <c r="B60" s="282"/>
      <c r="C60" s="282"/>
      <c r="D60" s="281"/>
      <c r="E60" s="279"/>
      <c r="F60" s="204"/>
      <c r="G60" s="207">
        <f>SUM(H60:J60)</f>
        <v>0</v>
      </c>
      <c r="H60" s="207"/>
      <c r="I60" s="283"/>
      <c r="J60" s="207"/>
      <c r="K60" s="207">
        <f>SUM(L60:N60)</f>
        <v>0</v>
      </c>
      <c r="L60" s="207"/>
      <c r="M60" s="207"/>
      <c r="N60" s="207"/>
    </row>
    <row r="61" spans="1:14" ht="12.75">
      <c r="A61" s="278"/>
      <c r="B61" s="278"/>
      <c r="C61" s="278"/>
      <c r="D61" s="278"/>
      <c r="E61" s="279"/>
      <c r="F61" s="204"/>
      <c r="G61" s="207">
        <f>SUM(H61:J61)</f>
        <v>0</v>
      </c>
      <c r="H61" s="207"/>
      <c r="I61" s="283"/>
      <c r="J61" s="207"/>
      <c r="K61" s="207">
        <f>SUM(L61:N61)</f>
        <v>0</v>
      </c>
      <c r="L61" s="207"/>
      <c r="M61" s="207"/>
      <c r="N61" s="207"/>
    </row>
    <row r="62" spans="1:14" ht="12.75">
      <c r="A62" s="254"/>
      <c r="B62" s="254"/>
      <c r="C62" s="254"/>
      <c r="D62" s="254"/>
      <c r="E62" s="212"/>
      <c r="F62" s="255" t="s">
        <v>2</v>
      </c>
      <c r="G62" s="258">
        <f aca="true" t="shared" si="13" ref="G62:N62">SUM(G57:G61)</f>
        <v>15844.869</v>
      </c>
      <c r="H62" s="258">
        <f t="shared" si="13"/>
        <v>3738.998</v>
      </c>
      <c r="I62" s="258">
        <f t="shared" si="13"/>
        <v>10746.482</v>
      </c>
      <c r="J62" s="258">
        <f t="shared" si="13"/>
        <v>1359.3890000000001</v>
      </c>
      <c r="K62" s="258">
        <f t="shared" si="13"/>
        <v>15844.869</v>
      </c>
      <c r="L62" s="258">
        <f t="shared" si="13"/>
        <v>3738.998</v>
      </c>
      <c r="M62" s="258">
        <f t="shared" si="13"/>
        <v>10746.482</v>
      </c>
      <c r="N62" s="258">
        <f t="shared" si="13"/>
        <v>1359.3890000000001</v>
      </c>
    </row>
    <row r="63" spans="1:14" ht="25.5" customHeight="1">
      <c r="A63" s="386" t="s">
        <v>334</v>
      </c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8"/>
    </row>
    <row r="64" spans="1:14" ht="38.25">
      <c r="A64" s="301" t="s">
        <v>255</v>
      </c>
      <c r="B64" s="282" t="s">
        <v>335</v>
      </c>
      <c r="C64" s="282" t="s">
        <v>330</v>
      </c>
      <c r="D64" s="282" t="s">
        <v>331</v>
      </c>
      <c r="E64" s="279" t="s">
        <v>336</v>
      </c>
      <c r="F64" s="204" t="s">
        <v>337</v>
      </c>
      <c r="G64" s="254">
        <f>SUM(H64:J64)</f>
        <v>8750</v>
      </c>
      <c r="H64" s="254"/>
      <c r="I64" s="280">
        <v>8000</v>
      </c>
      <c r="J64" s="207">
        <f>1000-250</f>
        <v>750</v>
      </c>
      <c r="K64" s="254">
        <f>SUM(L64:N64)</f>
        <v>8750</v>
      </c>
      <c r="L64" s="254"/>
      <c r="M64" s="254">
        <v>8000</v>
      </c>
      <c r="N64" s="254">
        <v>750</v>
      </c>
    </row>
    <row r="65" spans="1:14" ht="12.75">
      <c r="A65" s="254"/>
      <c r="B65" s="254"/>
      <c r="C65" s="254"/>
      <c r="D65" s="254"/>
      <c r="E65" s="212"/>
      <c r="F65" s="255" t="s">
        <v>2</v>
      </c>
      <c r="G65" s="258">
        <f aca="true" t="shared" si="14" ref="G65:N65">SUM(G64)</f>
        <v>8750</v>
      </c>
      <c r="H65" s="258">
        <f t="shared" si="14"/>
        <v>0</v>
      </c>
      <c r="I65" s="258">
        <f t="shared" si="14"/>
        <v>8000</v>
      </c>
      <c r="J65" s="258">
        <f t="shared" si="14"/>
        <v>750</v>
      </c>
      <c r="K65" s="258">
        <f t="shared" si="14"/>
        <v>8750</v>
      </c>
      <c r="L65" s="258">
        <f t="shared" si="14"/>
        <v>0</v>
      </c>
      <c r="M65" s="258">
        <f t="shared" si="14"/>
        <v>8000</v>
      </c>
      <c r="N65" s="258">
        <f t="shared" si="14"/>
        <v>750</v>
      </c>
    </row>
    <row r="66" spans="1:14" ht="25.5" customHeight="1">
      <c r="A66" s="386" t="s">
        <v>338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8"/>
    </row>
    <row r="67" spans="1:14" ht="39" customHeight="1">
      <c r="A67" s="278" t="s">
        <v>258</v>
      </c>
      <c r="B67" s="278" t="s">
        <v>339</v>
      </c>
      <c r="C67" s="278" t="s">
        <v>340</v>
      </c>
      <c r="D67" s="278" t="s">
        <v>341</v>
      </c>
      <c r="E67" s="279" t="s">
        <v>342</v>
      </c>
      <c r="F67" s="204" t="s">
        <v>343</v>
      </c>
      <c r="G67" s="254">
        <f>SUM(H67:J67)</f>
        <v>2379.9999</v>
      </c>
      <c r="H67" s="254"/>
      <c r="I67" s="208">
        <f>1425.384+154+800.6159</f>
        <v>2379.9999</v>
      </c>
      <c r="J67" s="207"/>
      <c r="K67" s="254">
        <f>SUM(L67:N67)</f>
        <v>2380</v>
      </c>
      <c r="L67" s="254"/>
      <c r="M67" s="254">
        <v>2380</v>
      </c>
      <c r="N67" s="254"/>
    </row>
    <row r="68" spans="1:14" ht="39" customHeight="1">
      <c r="A68" s="278" t="s">
        <v>257</v>
      </c>
      <c r="B68" s="278" t="s">
        <v>339</v>
      </c>
      <c r="C68" s="278" t="s">
        <v>340</v>
      </c>
      <c r="D68" s="278" t="s">
        <v>341</v>
      </c>
      <c r="E68" s="279" t="s">
        <v>342</v>
      </c>
      <c r="F68" s="204" t="s">
        <v>344</v>
      </c>
      <c r="G68" s="254">
        <f>SUM(H68:J68)</f>
        <v>2089.3</v>
      </c>
      <c r="H68" s="254"/>
      <c r="I68" s="280">
        <v>1589.3</v>
      </c>
      <c r="J68" s="207">
        <v>500</v>
      </c>
      <c r="K68" s="254">
        <f>SUM(L68:N68)</f>
        <v>2089.3</v>
      </c>
      <c r="L68" s="254"/>
      <c r="M68" s="254">
        <v>1589.3</v>
      </c>
      <c r="N68" s="254">
        <v>500</v>
      </c>
    </row>
    <row r="69" spans="1:14" ht="12.75">
      <c r="A69" s="254"/>
      <c r="B69" s="254"/>
      <c r="C69" s="254"/>
      <c r="D69" s="254"/>
      <c r="E69" s="212"/>
      <c r="F69" s="255" t="s">
        <v>2</v>
      </c>
      <c r="G69" s="258">
        <f>SUM(G67:G68)</f>
        <v>4469.2999</v>
      </c>
      <c r="H69" s="258">
        <f aca="true" t="shared" si="15" ref="H69:N69">SUM(H67:H68)</f>
        <v>0</v>
      </c>
      <c r="I69" s="258">
        <f t="shared" si="15"/>
        <v>3969.2999</v>
      </c>
      <c r="J69" s="258">
        <f t="shared" si="15"/>
        <v>500</v>
      </c>
      <c r="K69" s="258">
        <f>SUM(K67:K68)</f>
        <v>4469.3</v>
      </c>
      <c r="L69" s="258">
        <f t="shared" si="15"/>
        <v>0</v>
      </c>
      <c r="M69" s="258">
        <f t="shared" si="15"/>
        <v>3969.3</v>
      </c>
      <c r="N69" s="258">
        <f t="shared" si="15"/>
        <v>500</v>
      </c>
    </row>
    <row r="70" spans="1:14" ht="12.75" customHeight="1">
      <c r="A70" s="386" t="s">
        <v>345</v>
      </c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8"/>
    </row>
    <row r="71" spans="1:14" ht="38.25">
      <c r="A71" s="278" t="s">
        <v>258</v>
      </c>
      <c r="B71" s="278" t="s">
        <v>346</v>
      </c>
      <c r="C71" s="278" t="s">
        <v>347</v>
      </c>
      <c r="D71" s="278" t="s">
        <v>348</v>
      </c>
      <c r="E71" s="279" t="s">
        <v>349</v>
      </c>
      <c r="F71" s="204" t="s">
        <v>350</v>
      </c>
      <c r="G71" s="254">
        <f>SUM(H71:J71)</f>
        <v>4550</v>
      </c>
      <c r="H71" s="207">
        <f>1020+2000</f>
        <v>3020</v>
      </c>
      <c r="I71" s="283">
        <f>880+500</f>
        <v>1380</v>
      </c>
      <c r="J71" s="207">
        <v>150</v>
      </c>
      <c r="K71" s="254">
        <f>SUM(L71:N71)</f>
        <v>4550</v>
      </c>
      <c r="L71" s="254">
        <v>3020</v>
      </c>
      <c r="M71" s="254">
        <v>1380</v>
      </c>
      <c r="N71" s="254">
        <v>150</v>
      </c>
    </row>
    <row r="72" spans="1:14" ht="12.75">
      <c r="A72" s="254"/>
      <c r="B72" s="254"/>
      <c r="C72" s="254"/>
      <c r="D72" s="254"/>
      <c r="E72" s="212"/>
      <c r="F72" s="255" t="s">
        <v>2</v>
      </c>
      <c r="G72" s="258">
        <f aca="true" t="shared" si="16" ref="G72:N72">SUM(G71)</f>
        <v>4550</v>
      </c>
      <c r="H72" s="258">
        <f t="shared" si="16"/>
        <v>3020</v>
      </c>
      <c r="I72" s="258">
        <f t="shared" si="16"/>
        <v>1380</v>
      </c>
      <c r="J72" s="258">
        <f t="shared" si="16"/>
        <v>150</v>
      </c>
      <c r="K72" s="258">
        <f t="shared" si="16"/>
        <v>4550</v>
      </c>
      <c r="L72" s="258">
        <f t="shared" si="16"/>
        <v>3020</v>
      </c>
      <c r="M72" s="258">
        <f t="shared" si="16"/>
        <v>1380</v>
      </c>
      <c r="N72" s="258">
        <f t="shared" si="16"/>
        <v>150</v>
      </c>
    </row>
    <row r="73" spans="1:14" ht="12.75" customHeight="1">
      <c r="A73" s="386" t="s">
        <v>351</v>
      </c>
      <c r="B73" s="387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8"/>
    </row>
    <row r="74" spans="1:14" ht="25.5">
      <c r="A74" s="278" t="s">
        <v>255</v>
      </c>
      <c r="B74" s="278" t="s">
        <v>352</v>
      </c>
      <c r="C74" s="278" t="s">
        <v>353</v>
      </c>
      <c r="D74" s="278" t="s">
        <v>271</v>
      </c>
      <c r="E74" s="279" t="s">
        <v>354</v>
      </c>
      <c r="F74" s="204" t="s">
        <v>355</v>
      </c>
      <c r="G74" s="254">
        <f>SUM(H74:J74)</f>
        <v>889</v>
      </c>
      <c r="H74" s="254"/>
      <c r="I74" s="280">
        <f>471+148+270</f>
        <v>889</v>
      </c>
      <c r="J74" s="207"/>
      <c r="K74" s="254">
        <f>SUM(L74:N74)</f>
        <v>889</v>
      </c>
      <c r="L74" s="254"/>
      <c r="M74" s="254">
        <v>889</v>
      </c>
      <c r="N74" s="254"/>
    </row>
    <row r="75" spans="1:14" ht="25.5">
      <c r="A75" s="278"/>
      <c r="B75" s="278"/>
      <c r="C75" s="278"/>
      <c r="D75" s="278"/>
      <c r="E75" s="279"/>
      <c r="F75" s="204" t="s">
        <v>356</v>
      </c>
      <c r="G75" s="254">
        <f>SUM(H75:J75)</f>
        <v>1433.9</v>
      </c>
      <c r="H75" s="254"/>
      <c r="I75" s="280">
        <v>1433.9</v>
      </c>
      <c r="J75" s="207"/>
      <c r="K75" s="254">
        <f>SUM(L75:N75)</f>
        <v>1433.9</v>
      </c>
      <c r="L75" s="254"/>
      <c r="M75" s="254">
        <v>1433.9</v>
      </c>
      <c r="N75" s="254"/>
    </row>
    <row r="76" spans="1:14" ht="12.75">
      <c r="A76" s="254"/>
      <c r="B76" s="254"/>
      <c r="C76" s="254"/>
      <c r="D76" s="254"/>
      <c r="E76" s="212"/>
      <c r="F76" s="255" t="s">
        <v>2</v>
      </c>
      <c r="G76" s="258">
        <f aca="true" t="shared" si="17" ref="G76:N76">SUM(G74:G75)</f>
        <v>2322.9</v>
      </c>
      <c r="H76" s="258">
        <f t="shared" si="17"/>
        <v>0</v>
      </c>
      <c r="I76" s="258">
        <f t="shared" si="17"/>
        <v>2322.9</v>
      </c>
      <c r="J76" s="258">
        <f t="shared" si="17"/>
        <v>0</v>
      </c>
      <c r="K76" s="258">
        <f t="shared" si="17"/>
        <v>2322.9</v>
      </c>
      <c r="L76" s="258">
        <f t="shared" si="17"/>
        <v>0</v>
      </c>
      <c r="M76" s="258">
        <f t="shared" si="17"/>
        <v>2322.9</v>
      </c>
      <c r="N76" s="258">
        <f t="shared" si="17"/>
        <v>0</v>
      </c>
    </row>
    <row r="77" spans="1:14" ht="12.75" customHeight="1">
      <c r="A77" s="386" t="s">
        <v>357</v>
      </c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8"/>
    </row>
    <row r="78" spans="1:14" ht="25.5">
      <c r="A78" s="278"/>
      <c r="B78" s="278"/>
      <c r="C78" s="278"/>
      <c r="D78" s="278"/>
      <c r="E78" s="279" t="s">
        <v>358</v>
      </c>
      <c r="F78" s="204" t="s">
        <v>359</v>
      </c>
      <c r="G78" s="254">
        <f>SUM(H78:J78)</f>
        <v>126.38442</v>
      </c>
      <c r="H78" s="254">
        <v>36.9</v>
      </c>
      <c r="I78" s="280"/>
      <c r="J78" s="207">
        <v>89.48442</v>
      </c>
      <c r="K78" s="254">
        <f>SUM(L78:N78)</f>
        <v>126.38</v>
      </c>
      <c r="L78" s="254">
        <v>36.9</v>
      </c>
      <c r="M78" s="254"/>
      <c r="N78" s="254">
        <v>89.48</v>
      </c>
    </row>
    <row r="79" spans="1:14" ht="38.25">
      <c r="A79" s="278"/>
      <c r="B79" s="278"/>
      <c r="C79" s="278"/>
      <c r="D79" s="278"/>
      <c r="E79" s="279"/>
      <c r="F79" s="277" t="s">
        <v>409</v>
      </c>
      <c r="G79" s="254">
        <f>SUM(H79:J79)</f>
        <v>100</v>
      </c>
      <c r="H79" s="254">
        <v>100</v>
      </c>
      <c r="I79" s="280"/>
      <c r="J79" s="207"/>
      <c r="K79" s="254">
        <f>SUM(L79:N79)</f>
        <v>100</v>
      </c>
      <c r="L79" s="254">
        <v>100</v>
      </c>
      <c r="M79" s="254"/>
      <c r="N79" s="254"/>
    </row>
    <row r="80" spans="1:14" ht="12.75">
      <c r="A80" s="278"/>
      <c r="B80" s="278"/>
      <c r="C80" s="278"/>
      <c r="D80" s="278"/>
      <c r="E80" s="279"/>
      <c r="F80" s="204" t="s">
        <v>360</v>
      </c>
      <c r="G80" s="254">
        <f>SUM(H80:J80)</f>
        <v>1973.5</v>
      </c>
      <c r="H80" s="254"/>
      <c r="I80" s="280">
        <v>1973.5</v>
      </c>
      <c r="J80" s="207"/>
      <c r="K80" s="254">
        <f>SUM(L80:N80)</f>
        <v>1973.5</v>
      </c>
      <c r="L80" s="254"/>
      <c r="M80" s="254">
        <v>1973.5</v>
      </c>
      <c r="N80" s="254"/>
    </row>
    <row r="81" spans="1:14" ht="12.75">
      <c r="A81" s="254"/>
      <c r="B81" s="254"/>
      <c r="C81" s="254"/>
      <c r="D81" s="254"/>
      <c r="E81" s="212"/>
      <c r="F81" s="255" t="s">
        <v>2</v>
      </c>
      <c r="G81" s="258">
        <f aca="true" t="shared" si="18" ref="G81:N81">SUM(G78:G80)</f>
        <v>2199.88442</v>
      </c>
      <c r="H81" s="258">
        <f t="shared" si="18"/>
        <v>136.9</v>
      </c>
      <c r="I81" s="258">
        <f t="shared" si="18"/>
        <v>1973.5</v>
      </c>
      <c r="J81" s="258">
        <f t="shared" si="18"/>
        <v>89.48442</v>
      </c>
      <c r="K81" s="258">
        <f t="shared" si="18"/>
        <v>2199.88</v>
      </c>
      <c r="L81" s="258">
        <f t="shared" si="18"/>
        <v>136.9</v>
      </c>
      <c r="M81" s="258">
        <f t="shared" si="18"/>
        <v>1973.5</v>
      </c>
      <c r="N81" s="258">
        <f t="shared" si="18"/>
        <v>89.48</v>
      </c>
    </row>
    <row r="82" spans="1:14" ht="28.5" customHeight="1">
      <c r="A82" s="386" t="s">
        <v>361</v>
      </c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8"/>
    </row>
    <row r="83" spans="1:14" ht="12.75">
      <c r="A83" s="278"/>
      <c r="B83" s="278"/>
      <c r="C83" s="278"/>
      <c r="D83" s="278"/>
      <c r="E83" s="279" t="s">
        <v>362</v>
      </c>
      <c r="F83" s="204" t="s">
        <v>363</v>
      </c>
      <c r="G83" s="254">
        <f>SUM(H83:J83)</f>
        <v>6556</v>
      </c>
      <c r="H83" s="254"/>
      <c r="I83" s="283">
        <v>2056</v>
      </c>
      <c r="J83" s="207">
        <v>4500</v>
      </c>
      <c r="K83" s="254">
        <f>SUM(L83:N83)</f>
        <v>6556</v>
      </c>
      <c r="L83" s="254"/>
      <c r="M83" s="254">
        <v>2056</v>
      </c>
      <c r="N83" s="254">
        <v>4500</v>
      </c>
    </row>
    <row r="84" spans="1:14" ht="12.75">
      <c r="A84" s="254"/>
      <c r="B84" s="254"/>
      <c r="C84" s="254"/>
      <c r="D84" s="254"/>
      <c r="E84" s="212"/>
      <c r="F84" s="255" t="s">
        <v>2</v>
      </c>
      <c r="G84" s="258">
        <f>SUM(G83)</f>
        <v>6556</v>
      </c>
      <c r="H84" s="258">
        <f aca="true" t="shared" si="19" ref="H84:N84">SUM(H83)</f>
        <v>0</v>
      </c>
      <c r="I84" s="258">
        <f t="shared" si="19"/>
        <v>2056</v>
      </c>
      <c r="J84" s="258">
        <f t="shared" si="19"/>
        <v>4500</v>
      </c>
      <c r="K84" s="258">
        <f>SUM(K83)</f>
        <v>6556</v>
      </c>
      <c r="L84" s="258">
        <f t="shared" si="19"/>
        <v>0</v>
      </c>
      <c r="M84" s="258">
        <f t="shared" si="19"/>
        <v>2056</v>
      </c>
      <c r="N84" s="258">
        <f t="shared" si="19"/>
        <v>4500</v>
      </c>
    </row>
    <row r="85" spans="1:14" ht="12.75" customHeight="1">
      <c r="A85" s="389" t="s">
        <v>364</v>
      </c>
      <c r="B85" s="389"/>
      <c r="C85" s="389"/>
      <c r="D85" s="389"/>
      <c r="E85" s="389"/>
      <c r="F85" s="389"/>
      <c r="G85" s="389"/>
      <c r="H85" s="389"/>
      <c r="I85" s="389"/>
      <c r="J85" s="389"/>
      <c r="K85" s="389"/>
      <c r="L85" s="389"/>
      <c r="M85" s="389"/>
      <c r="N85" s="389"/>
    </row>
    <row r="86" spans="1:14" ht="25.5">
      <c r="A86" s="254"/>
      <c r="B86" s="254"/>
      <c r="C86" s="254"/>
      <c r="D86" s="254"/>
      <c r="E86" s="212"/>
      <c r="F86" s="285" t="s">
        <v>365</v>
      </c>
      <c r="G86" s="255">
        <f>SUM(H86:J86)</f>
        <v>733.927</v>
      </c>
      <c r="H86" s="207">
        <v>239.783</v>
      </c>
      <c r="I86" s="207">
        <v>194.144</v>
      </c>
      <c r="J86" s="207">
        <v>300</v>
      </c>
      <c r="K86" s="255">
        <f>SUM(L86:N86)</f>
        <v>733.927</v>
      </c>
      <c r="L86" s="207">
        <v>239.783</v>
      </c>
      <c r="M86" s="207">
        <v>194.144</v>
      </c>
      <c r="N86" s="207">
        <v>300</v>
      </c>
    </row>
    <row r="87" spans="1:14" ht="12.75">
      <c r="A87" s="302"/>
      <c r="B87" s="302"/>
      <c r="C87" s="302"/>
      <c r="D87" s="302"/>
      <c r="E87" s="303"/>
      <c r="F87" s="255" t="s">
        <v>2</v>
      </c>
      <c r="G87" s="255">
        <f>G86</f>
        <v>733.927</v>
      </c>
      <c r="H87" s="255">
        <f aca="true" t="shared" si="20" ref="H87:N87">H86</f>
        <v>239.783</v>
      </c>
      <c r="I87" s="255">
        <f t="shared" si="20"/>
        <v>194.144</v>
      </c>
      <c r="J87" s="255">
        <f t="shared" si="20"/>
        <v>300</v>
      </c>
      <c r="K87" s="255">
        <f t="shared" si="20"/>
        <v>733.927</v>
      </c>
      <c r="L87" s="255">
        <f t="shared" si="20"/>
        <v>239.783</v>
      </c>
      <c r="M87" s="255">
        <f t="shared" si="20"/>
        <v>194.144</v>
      </c>
      <c r="N87" s="255">
        <f t="shared" si="20"/>
        <v>300</v>
      </c>
    </row>
    <row r="88" spans="1:14" ht="12.75">
      <c r="A88" s="209"/>
      <c r="B88" s="209"/>
      <c r="C88" s="209"/>
      <c r="D88" s="209"/>
      <c r="E88" s="210"/>
      <c r="F88" s="211" t="s">
        <v>366</v>
      </c>
      <c r="G88" s="212">
        <f>G17+G26+G35+G38+G49+G55+G62+G65+G72+G76+G81+G84+G69+G87</f>
        <v>92745.05631999997</v>
      </c>
      <c r="H88" s="212">
        <f aca="true" t="shared" si="21" ref="H88:N88">H17+H26+H35+H38+H49+H55+H62+H65+H72+H76+H81+H84+H69+H87</f>
        <v>36020.515</v>
      </c>
      <c r="I88" s="212">
        <f t="shared" si="21"/>
        <v>44371.6709</v>
      </c>
      <c r="J88" s="212">
        <f t="shared" si="21"/>
        <v>12352.87042</v>
      </c>
      <c r="K88" s="212">
        <f>K17+K26+K35+K38+K49+K55+K62+K65+K72+K76+K81+K84+K69+K87</f>
        <v>92728.75799999999</v>
      </c>
      <c r="L88" s="212">
        <f t="shared" si="21"/>
        <v>36020.511000000006</v>
      </c>
      <c r="M88" s="212">
        <f t="shared" si="21"/>
        <v>44371.671</v>
      </c>
      <c r="N88" s="212">
        <f t="shared" si="21"/>
        <v>12336.576000000001</v>
      </c>
    </row>
  </sheetData>
  <sheetProtection/>
  <mergeCells count="22">
    <mergeCell ref="A73:N73"/>
    <mergeCell ref="A77:N77"/>
    <mergeCell ref="A82:N82"/>
    <mergeCell ref="A85:N85"/>
    <mergeCell ref="A39:N39"/>
    <mergeCell ref="A50:N50"/>
    <mergeCell ref="A56:N56"/>
    <mergeCell ref="A63:N63"/>
    <mergeCell ref="A66:N66"/>
    <mergeCell ref="A70:N70"/>
    <mergeCell ref="A5:N5"/>
    <mergeCell ref="E15:E16"/>
    <mergeCell ref="F15:F16"/>
    <mergeCell ref="A19:N19"/>
    <mergeCell ref="A28:N28"/>
    <mergeCell ref="A36:N36"/>
    <mergeCell ref="A2:N2"/>
    <mergeCell ref="A3:D4"/>
    <mergeCell ref="E3:E4"/>
    <mergeCell ref="F3:F4"/>
    <mergeCell ref="G3:J3"/>
    <mergeCell ref="K3:N3"/>
  </mergeCells>
  <printOptions/>
  <pageMargins left="0.7086614173228347" right="0" top="0" bottom="0" header="0" footer="0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BreakPreview" zoomScaleSheetLayoutView="100" zoomScalePageLayoutView="0" workbookViewId="0" topLeftCell="A7">
      <selection activeCell="K62" sqref="K62"/>
    </sheetView>
  </sheetViews>
  <sheetFormatPr defaultColWidth="26.28125" defaultRowHeight="12.75"/>
  <cols>
    <col min="1" max="1" width="52.57421875" style="140" customWidth="1"/>
    <col min="2" max="2" width="7.7109375" style="140" customWidth="1"/>
    <col min="3" max="3" width="7.28125" style="140" customWidth="1"/>
    <col min="4" max="5" width="11.28125" style="140" hidden="1" customWidth="1"/>
    <col min="6" max="6" width="10.421875" style="140" customWidth="1"/>
    <col min="7" max="7" width="12.7109375" style="157" hidden="1" customWidth="1"/>
    <col min="8" max="8" width="11.28125" style="157" hidden="1" customWidth="1"/>
    <col min="9" max="9" width="14.140625" style="157" customWidth="1"/>
    <col min="10" max="10" width="10.8515625" style="140" customWidth="1"/>
    <col min="11" max="11" width="8.28125" style="140" customWidth="1"/>
    <col min="12" max="12" width="9.00390625" style="140" customWidth="1"/>
    <col min="13" max="13" width="10.7109375" style="140" customWidth="1"/>
    <col min="14" max="16384" width="26.28125" style="140" customWidth="1"/>
  </cols>
  <sheetData>
    <row r="1" spans="1:256" s="132" customFormat="1" ht="18.75">
      <c r="A1" s="80" t="s">
        <v>254</v>
      </c>
      <c r="B1" s="41"/>
      <c r="C1" s="133"/>
      <c r="D1" s="133"/>
      <c r="E1" s="133"/>
      <c r="F1" s="133"/>
      <c r="G1" s="133"/>
      <c r="H1" s="133"/>
      <c r="I1" s="133"/>
      <c r="J1" s="134"/>
      <c r="K1" s="134"/>
      <c r="L1" s="135"/>
      <c r="M1" s="135"/>
      <c r="N1" s="135"/>
      <c r="O1" s="135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13" ht="12.75">
      <c r="A2" s="399" t="s">
        <v>152</v>
      </c>
      <c r="B2" s="400"/>
      <c r="C2" s="400"/>
      <c r="D2" s="401"/>
      <c r="E2" s="402"/>
      <c r="F2" s="402"/>
      <c r="G2" s="402"/>
      <c r="H2" s="338"/>
      <c r="I2" s="338"/>
      <c r="J2" s="339"/>
      <c r="K2" s="339"/>
      <c r="L2" s="339"/>
      <c r="M2" s="339"/>
    </row>
    <row r="3" spans="1:13" ht="27.75" customHeight="1">
      <c r="A3" s="397" t="s">
        <v>252</v>
      </c>
      <c r="B3" s="398"/>
      <c r="C3" s="398"/>
      <c r="D3" s="398"/>
      <c r="E3" s="398"/>
      <c r="F3" s="398"/>
      <c r="G3" s="398"/>
      <c r="H3" s="338"/>
      <c r="I3" s="338"/>
      <c r="J3" s="338"/>
      <c r="K3" s="338"/>
      <c r="L3" s="338"/>
      <c r="M3" s="338"/>
    </row>
    <row r="4" spans="1:13" ht="12.75">
      <c r="A4" s="141"/>
      <c r="B4" s="142"/>
      <c r="C4" s="142"/>
      <c r="D4" s="142"/>
      <c r="E4" s="142"/>
      <c r="F4" s="142"/>
      <c r="G4" s="143"/>
      <c r="H4" s="143"/>
      <c r="I4" s="143"/>
      <c r="M4" s="143" t="s">
        <v>153</v>
      </c>
    </row>
    <row r="5" spans="1:13" ht="63" customHeight="1">
      <c r="A5" s="144" t="s">
        <v>154</v>
      </c>
      <c r="B5" s="144" t="s">
        <v>155</v>
      </c>
      <c r="C5" s="144" t="s">
        <v>156</v>
      </c>
      <c r="D5" s="144" t="s">
        <v>157</v>
      </c>
      <c r="E5" s="145" t="s">
        <v>158</v>
      </c>
      <c r="F5" s="145" t="s">
        <v>247</v>
      </c>
      <c r="G5" s="146" t="s">
        <v>159</v>
      </c>
      <c r="H5" s="147" t="s">
        <v>160</v>
      </c>
      <c r="I5" s="146" t="s">
        <v>253</v>
      </c>
      <c r="J5" s="144" t="s">
        <v>248</v>
      </c>
      <c r="K5" s="144" t="s">
        <v>249</v>
      </c>
      <c r="L5" s="144" t="s">
        <v>250</v>
      </c>
      <c r="M5" s="144" t="s">
        <v>251</v>
      </c>
    </row>
    <row r="6" spans="1:13" ht="21" customHeight="1">
      <c r="A6" s="148" t="s">
        <v>161</v>
      </c>
      <c r="B6" s="396" t="s">
        <v>162</v>
      </c>
      <c r="C6" s="396"/>
      <c r="D6" s="150">
        <f aca="true" t="shared" si="0" ref="D6:L6">D7+D8+D9+D10+D11+D12+D13+D14</f>
        <v>24669.690000000002</v>
      </c>
      <c r="E6" s="151">
        <f t="shared" si="0"/>
        <v>2631.1356000000005</v>
      </c>
      <c r="F6" s="163">
        <f t="shared" si="0"/>
        <v>26358.13154</v>
      </c>
      <c r="G6" s="163">
        <f t="shared" si="0"/>
        <v>28773.865599999997</v>
      </c>
      <c r="H6" s="163">
        <f t="shared" si="0"/>
        <v>2369.3213999999994</v>
      </c>
      <c r="I6" s="163">
        <f t="shared" si="0"/>
        <v>31143.187</v>
      </c>
      <c r="J6" s="163">
        <f t="shared" si="0"/>
        <v>30337.416999999998</v>
      </c>
      <c r="K6" s="163">
        <f>J6/I6*100</f>
        <v>97.41269254171063</v>
      </c>
      <c r="L6" s="163">
        <f t="shared" si="0"/>
        <v>7.006430494674054</v>
      </c>
      <c r="M6" s="163">
        <f>J6/F6*100</f>
        <v>115.09699370746824</v>
      </c>
    </row>
    <row r="7" spans="1:13" ht="25.5" customHeight="1">
      <c r="A7" s="152" t="s">
        <v>163</v>
      </c>
      <c r="B7" s="153" t="s">
        <v>164</v>
      </c>
      <c r="C7" s="153" t="s">
        <v>165</v>
      </c>
      <c r="D7" s="36">
        <v>1047.9</v>
      </c>
      <c r="E7" s="36">
        <v>216.64</v>
      </c>
      <c r="F7" s="164">
        <v>1170.438</v>
      </c>
      <c r="G7" s="164">
        <f>D7+E7</f>
        <v>1264.54</v>
      </c>
      <c r="H7" s="164">
        <v>114.92</v>
      </c>
      <c r="I7" s="164">
        <f aca="true" t="shared" si="1" ref="I7:I29">G7+H7</f>
        <v>1379.46</v>
      </c>
      <c r="J7" s="160">
        <v>1346.828</v>
      </c>
      <c r="K7" s="161">
        <f>J7/I7*100</f>
        <v>97.634436663622</v>
      </c>
      <c r="L7" s="161">
        <f>J7/$J$62*100</f>
        <v>0.31105010589005866</v>
      </c>
      <c r="M7" s="161">
        <f>J7/F7*100</f>
        <v>115.07042662661327</v>
      </c>
    </row>
    <row r="8" spans="1:13" ht="25.5" customHeight="1">
      <c r="A8" s="152" t="s">
        <v>166</v>
      </c>
      <c r="B8" s="153" t="s">
        <v>164</v>
      </c>
      <c r="C8" s="153" t="s">
        <v>167</v>
      </c>
      <c r="D8" s="36">
        <v>1779.43</v>
      </c>
      <c r="E8" s="36">
        <v>-228</v>
      </c>
      <c r="F8" s="164">
        <v>1536.439</v>
      </c>
      <c r="G8" s="164">
        <v>1703.93</v>
      </c>
      <c r="H8" s="164">
        <v>-92.546</v>
      </c>
      <c r="I8" s="164">
        <f t="shared" si="1"/>
        <v>1611.384</v>
      </c>
      <c r="J8" s="160">
        <v>1566.912</v>
      </c>
      <c r="K8" s="161">
        <f aca="true" t="shared" si="2" ref="K8:K14">J8/I8*100</f>
        <v>97.2401364293055</v>
      </c>
      <c r="L8" s="161">
        <f aca="true" t="shared" si="3" ref="L8:L14">J8/$J$62*100</f>
        <v>0.3618785349876923</v>
      </c>
      <c r="M8" s="161">
        <f aca="true" t="shared" si="4" ref="M8:M14">J8/F8*100</f>
        <v>101.98335241425139</v>
      </c>
    </row>
    <row r="9" spans="1:13" ht="15" customHeight="1">
      <c r="A9" s="152" t="s">
        <v>168</v>
      </c>
      <c r="B9" s="153" t="s">
        <v>164</v>
      </c>
      <c r="C9" s="153" t="s">
        <v>169</v>
      </c>
      <c r="D9" s="36">
        <v>16883.75</v>
      </c>
      <c r="E9" s="36">
        <f>-4932.801+496.2266</f>
        <v>-4436.5744</v>
      </c>
      <c r="F9" s="164">
        <v>17470.02239</v>
      </c>
      <c r="G9" s="164">
        <v>12367.1756</v>
      </c>
      <c r="H9" s="164">
        <v>2106.9424</v>
      </c>
      <c r="I9" s="164">
        <f t="shared" si="1"/>
        <v>14474.118</v>
      </c>
      <c r="J9" s="160">
        <v>14197.108</v>
      </c>
      <c r="K9" s="161">
        <f t="shared" si="2"/>
        <v>98.08617008649509</v>
      </c>
      <c r="L9" s="161">
        <f t="shared" si="3"/>
        <v>3.278823982522341</v>
      </c>
      <c r="M9" s="161">
        <f t="shared" si="4"/>
        <v>81.26553980907634</v>
      </c>
    </row>
    <row r="10" spans="1:13" ht="15" customHeight="1">
      <c r="A10" s="152" t="s">
        <v>170</v>
      </c>
      <c r="B10" s="153" t="s">
        <v>164</v>
      </c>
      <c r="C10" s="153" t="s">
        <v>171</v>
      </c>
      <c r="D10" s="36"/>
      <c r="E10" s="36"/>
      <c r="F10" s="164">
        <v>8.89</v>
      </c>
      <c r="G10" s="164">
        <f>D10+E10</f>
        <v>0</v>
      </c>
      <c r="H10" s="164"/>
      <c r="I10" s="164">
        <f t="shared" si="1"/>
        <v>0</v>
      </c>
      <c r="J10" s="160"/>
      <c r="K10" s="161"/>
      <c r="L10" s="161">
        <f t="shared" si="3"/>
        <v>0</v>
      </c>
      <c r="M10" s="161">
        <f t="shared" si="4"/>
        <v>0</v>
      </c>
    </row>
    <row r="11" spans="1:13" ht="28.5" customHeight="1">
      <c r="A11" s="152" t="s">
        <v>172</v>
      </c>
      <c r="B11" s="153" t="s">
        <v>164</v>
      </c>
      <c r="C11" s="153" t="s">
        <v>173</v>
      </c>
      <c r="D11" s="36">
        <v>3549.22</v>
      </c>
      <c r="E11" s="36">
        <v>1012.26</v>
      </c>
      <c r="F11" s="164">
        <v>4722.05919</v>
      </c>
      <c r="G11" s="164">
        <v>4779.98</v>
      </c>
      <c r="H11" s="164">
        <v>80.115</v>
      </c>
      <c r="I11" s="164">
        <f t="shared" si="1"/>
        <v>4860.094999999999</v>
      </c>
      <c r="J11" s="160">
        <v>4783.714</v>
      </c>
      <c r="K11" s="161">
        <f t="shared" si="2"/>
        <v>98.42840520607109</v>
      </c>
      <c r="L11" s="161">
        <f t="shared" si="3"/>
        <v>1.1047993851091276</v>
      </c>
      <c r="M11" s="161">
        <f t="shared" si="4"/>
        <v>101.30567634837293</v>
      </c>
    </row>
    <row r="12" spans="1:13" ht="15" customHeight="1">
      <c r="A12" s="152" t="s">
        <v>174</v>
      </c>
      <c r="B12" s="153" t="s">
        <v>164</v>
      </c>
      <c r="C12" s="153" t="s">
        <v>175</v>
      </c>
      <c r="D12" s="36">
        <v>100</v>
      </c>
      <c r="E12" s="36">
        <v>100</v>
      </c>
      <c r="F12" s="164"/>
      <c r="G12" s="164">
        <v>1014</v>
      </c>
      <c r="H12" s="164"/>
      <c r="I12" s="164">
        <f t="shared" si="1"/>
        <v>1014</v>
      </c>
      <c r="J12" s="160">
        <v>1014</v>
      </c>
      <c r="K12" s="161">
        <f t="shared" si="2"/>
        <v>100</v>
      </c>
      <c r="L12" s="161">
        <f t="shared" si="3"/>
        <v>0.2341834349839174</v>
      </c>
      <c r="M12" s="161">
        <v>100</v>
      </c>
    </row>
    <row r="13" spans="1:13" ht="15" customHeight="1">
      <c r="A13" s="152" t="s">
        <v>176</v>
      </c>
      <c r="B13" s="153" t="s">
        <v>164</v>
      </c>
      <c r="C13" s="153" t="s">
        <v>177</v>
      </c>
      <c r="D13" s="36">
        <v>333</v>
      </c>
      <c r="E13" s="36">
        <v>-220</v>
      </c>
      <c r="F13" s="164"/>
      <c r="G13" s="164">
        <v>60</v>
      </c>
      <c r="H13" s="164">
        <v>-60</v>
      </c>
      <c r="I13" s="164">
        <f t="shared" si="1"/>
        <v>0</v>
      </c>
      <c r="J13" s="160"/>
      <c r="K13" s="161"/>
      <c r="L13" s="161">
        <f t="shared" si="3"/>
        <v>0</v>
      </c>
      <c r="M13" s="161"/>
    </row>
    <row r="14" spans="1:13" ht="15" customHeight="1">
      <c r="A14" s="154" t="s">
        <v>178</v>
      </c>
      <c r="B14" s="153" t="s">
        <v>164</v>
      </c>
      <c r="C14" s="153" t="s">
        <v>179</v>
      </c>
      <c r="D14" s="36">
        <v>976.39</v>
      </c>
      <c r="E14" s="36">
        <f>6683.0366-496.2266</f>
        <v>6186.81</v>
      </c>
      <c r="F14" s="164">
        <v>1450.28296</v>
      </c>
      <c r="G14" s="164">
        <v>7584.24</v>
      </c>
      <c r="H14" s="164">
        <v>219.89</v>
      </c>
      <c r="I14" s="164">
        <f t="shared" si="1"/>
        <v>7804.13</v>
      </c>
      <c r="J14" s="160">
        <v>7428.855</v>
      </c>
      <c r="K14" s="161">
        <f t="shared" si="2"/>
        <v>95.19132818136038</v>
      </c>
      <c r="L14" s="161">
        <f t="shared" si="3"/>
        <v>1.7156950511809168</v>
      </c>
      <c r="M14" s="161">
        <f t="shared" si="4"/>
        <v>512.2348676012851</v>
      </c>
    </row>
    <row r="15" spans="1:13" ht="15" customHeight="1">
      <c r="A15" s="148" t="s">
        <v>180</v>
      </c>
      <c r="B15" s="396" t="s">
        <v>181</v>
      </c>
      <c r="C15" s="396"/>
      <c r="D15" s="12">
        <f aca="true" t="shared" si="5" ref="D15:L15">D16</f>
        <v>564.6</v>
      </c>
      <c r="E15" s="12">
        <f t="shared" si="5"/>
        <v>21.7</v>
      </c>
      <c r="F15" s="159">
        <f t="shared" si="5"/>
        <v>562.6</v>
      </c>
      <c r="G15" s="159">
        <f t="shared" si="5"/>
        <v>531.9</v>
      </c>
      <c r="H15" s="159">
        <f t="shared" si="5"/>
        <v>0</v>
      </c>
      <c r="I15" s="159">
        <f t="shared" si="5"/>
        <v>531.9</v>
      </c>
      <c r="J15" s="159">
        <f t="shared" si="5"/>
        <v>531.9</v>
      </c>
      <c r="K15" s="163">
        <f>J15/I15*100</f>
        <v>100</v>
      </c>
      <c r="L15" s="159">
        <f t="shared" si="5"/>
        <v>0.12284237580665253</v>
      </c>
      <c r="M15" s="163">
        <f>J15/F15*100</f>
        <v>94.54319232136508</v>
      </c>
    </row>
    <row r="16" spans="1:13" ht="15" customHeight="1">
      <c r="A16" s="152" t="s">
        <v>182</v>
      </c>
      <c r="B16" s="153" t="s">
        <v>165</v>
      </c>
      <c r="C16" s="153" t="s">
        <v>167</v>
      </c>
      <c r="D16" s="36">
        <v>564.6</v>
      </c>
      <c r="E16" s="36">
        <v>21.7</v>
      </c>
      <c r="F16" s="164">
        <v>562.6</v>
      </c>
      <c r="G16" s="164">
        <v>531.9</v>
      </c>
      <c r="H16" s="164"/>
      <c r="I16" s="164">
        <f t="shared" si="1"/>
        <v>531.9</v>
      </c>
      <c r="J16" s="160">
        <v>531.9</v>
      </c>
      <c r="K16" s="161">
        <f>J16/I16*100</f>
        <v>100</v>
      </c>
      <c r="L16" s="161">
        <f>J16/$J$62*100</f>
        <v>0.12284237580665253</v>
      </c>
      <c r="M16" s="161">
        <f>J16/F16*100</f>
        <v>94.54319232136508</v>
      </c>
    </row>
    <row r="17" spans="1:13" ht="15" customHeight="1">
      <c r="A17" s="148" t="s">
        <v>183</v>
      </c>
      <c r="B17" s="396" t="s">
        <v>184</v>
      </c>
      <c r="C17" s="396"/>
      <c r="D17" s="151">
        <f>SUM(D18:D20)</f>
        <v>100</v>
      </c>
      <c r="E17" s="151">
        <f>SUM(E18:E20)</f>
        <v>502.851</v>
      </c>
      <c r="F17" s="159">
        <f aca="true" t="shared" si="6" ref="F17:M17">SUM(F19:F20)</f>
        <v>546.8</v>
      </c>
      <c r="G17" s="159">
        <f t="shared" si="6"/>
        <v>1115.751</v>
      </c>
      <c r="H17" s="159">
        <f t="shared" si="6"/>
        <v>-45.792</v>
      </c>
      <c r="I17" s="159">
        <f t="shared" si="6"/>
        <v>1069.959</v>
      </c>
      <c r="J17" s="159">
        <f t="shared" si="6"/>
        <v>1041.411</v>
      </c>
      <c r="K17" s="163">
        <f>J17/I17*100</f>
        <v>97.33186037969679</v>
      </c>
      <c r="L17" s="159">
        <f t="shared" si="6"/>
        <v>0.24051400908287615</v>
      </c>
      <c r="M17" s="159">
        <f t="shared" si="6"/>
        <v>339.01860490344984</v>
      </c>
    </row>
    <row r="18" spans="1:13" ht="15" customHeight="1" hidden="1">
      <c r="A18" s="152" t="s">
        <v>185</v>
      </c>
      <c r="B18" s="153" t="s">
        <v>167</v>
      </c>
      <c r="C18" s="153" t="s">
        <v>165</v>
      </c>
      <c r="D18" s="36"/>
      <c r="E18" s="36"/>
      <c r="F18" s="164"/>
      <c r="G18" s="164">
        <f>D18+E18</f>
        <v>0</v>
      </c>
      <c r="H18" s="164"/>
      <c r="I18" s="164">
        <f t="shared" si="1"/>
        <v>0</v>
      </c>
      <c r="J18" s="160"/>
      <c r="K18" s="160"/>
      <c r="L18" s="160"/>
      <c r="M18" s="160"/>
    </row>
    <row r="19" spans="1:13" ht="25.5" customHeight="1">
      <c r="A19" s="152" t="s">
        <v>186</v>
      </c>
      <c r="B19" s="153" t="s">
        <v>167</v>
      </c>
      <c r="C19" s="153" t="s">
        <v>187</v>
      </c>
      <c r="D19" s="36">
        <v>75</v>
      </c>
      <c r="E19" s="36">
        <v>482.851</v>
      </c>
      <c r="F19" s="164">
        <v>502.8</v>
      </c>
      <c r="G19" s="164">
        <v>1058.151</v>
      </c>
      <c r="H19" s="164">
        <v>-51.792</v>
      </c>
      <c r="I19" s="164">
        <f t="shared" si="1"/>
        <v>1006.359</v>
      </c>
      <c r="J19" s="160">
        <v>977.811</v>
      </c>
      <c r="K19" s="161">
        <f>J19/I19*100</f>
        <v>97.16323896343154</v>
      </c>
      <c r="L19" s="161">
        <f>J19/$J$62*100</f>
        <v>0.22582558061642927</v>
      </c>
      <c r="M19" s="161">
        <f>J19/F19*100</f>
        <v>194.47315035799525</v>
      </c>
    </row>
    <row r="20" spans="1:13" ht="15" customHeight="1">
      <c r="A20" s="152" t="s">
        <v>188</v>
      </c>
      <c r="B20" s="153" t="s">
        <v>167</v>
      </c>
      <c r="C20" s="153" t="s">
        <v>189</v>
      </c>
      <c r="D20" s="36">
        <v>25</v>
      </c>
      <c r="E20" s="36">
        <v>20</v>
      </c>
      <c r="F20" s="164">
        <v>44</v>
      </c>
      <c r="G20" s="164">
        <v>57.6</v>
      </c>
      <c r="H20" s="164">
        <v>6</v>
      </c>
      <c r="I20" s="164">
        <f t="shared" si="1"/>
        <v>63.6</v>
      </c>
      <c r="J20" s="160">
        <v>63.6</v>
      </c>
      <c r="K20" s="161">
        <f>J20/I20*100</f>
        <v>100</v>
      </c>
      <c r="L20" s="161">
        <f>J20/$J$62*100</f>
        <v>0.01468842846644689</v>
      </c>
      <c r="M20" s="161">
        <f>J20/F20*100</f>
        <v>144.54545454545456</v>
      </c>
    </row>
    <row r="21" spans="1:13" ht="15" customHeight="1">
      <c r="A21" s="148" t="s">
        <v>190</v>
      </c>
      <c r="B21" s="396" t="s">
        <v>191</v>
      </c>
      <c r="C21" s="396"/>
      <c r="D21" s="151">
        <f>SUM(D22:D25)</f>
        <v>1536.54</v>
      </c>
      <c r="E21" s="151">
        <f>SUM(E22:E25)</f>
        <v>1356.95</v>
      </c>
      <c r="F21" s="159">
        <f aca="true" t="shared" si="7" ref="F21:L21">F23+F25+F24</f>
        <v>21974.63</v>
      </c>
      <c r="G21" s="159">
        <f t="shared" si="7"/>
        <v>10285.705</v>
      </c>
      <c r="H21" s="159">
        <f t="shared" si="7"/>
        <v>1856.119</v>
      </c>
      <c r="I21" s="159">
        <f t="shared" si="7"/>
        <v>12141.824</v>
      </c>
      <c r="J21" s="159">
        <f t="shared" si="7"/>
        <v>12107.474999999999</v>
      </c>
      <c r="K21" s="163">
        <f>J21/I21*100</f>
        <v>99.7171018127095</v>
      </c>
      <c r="L21" s="159">
        <f t="shared" si="7"/>
        <v>2.7962229629999067</v>
      </c>
      <c r="M21" s="163">
        <f>J21/F21*100</f>
        <v>55.09751472493506</v>
      </c>
    </row>
    <row r="22" spans="1:13" ht="15" customHeight="1" hidden="1">
      <c r="A22" s="152" t="s">
        <v>192</v>
      </c>
      <c r="B22" s="153" t="s">
        <v>169</v>
      </c>
      <c r="C22" s="153" t="s">
        <v>164</v>
      </c>
      <c r="D22" s="36"/>
      <c r="E22" s="36"/>
      <c r="F22" s="164"/>
      <c r="G22" s="164">
        <f>D22+E22</f>
        <v>0</v>
      </c>
      <c r="H22" s="164"/>
      <c r="I22" s="164">
        <f t="shared" si="1"/>
        <v>0</v>
      </c>
      <c r="J22" s="160"/>
      <c r="K22" s="160"/>
      <c r="L22" s="160"/>
      <c r="M22" s="160"/>
    </row>
    <row r="23" spans="1:13" ht="15" customHeight="1">
      <c r="A23" s="152" t="s">
        <v>193</v>
      </c>
      <c r="B23" s="153" t="s">
        <v>169</v>
      </c>
      <c r="C23" s="153" t="s">
        <v>171</v>
      </c>
      <c r="D23" s="36">
        <v>160</v>
      </c>
      <c r="E23" s="36">
        <v>160</v>
      </c>
      <c r="F23" s="164">
        <v>445</v>
      </c>
      <c r="G23" s="164">
        <v>520</v>
      </c>
      <c r="H23" s="164">
        <v>-25</v>
      </c>
      <c r="I23" s="164">
        <f t="shared" si="1"/>
        <v>495</v>
      </c>
      <c r="J23" s="160">
        <v>493.2</v>
      </c>
      <c r="K23" s="161">
        <f>J23/I23*100</f>
        <v>99.63636363636364</v>
      </c>
      <c r="L23" s="161">
        <f>J23/$J$62*100</f>
        <v>0.11390460565489947</v>
      </c>
      <c r="M23" s="161">
        <f aca="true" t="shared" si="8" ref="M23:M29">J23/F23*100</f>
        <v>110.8314606741573</v>
      </c>
    </row>
    <row r="24" spans="1:13" ht="15" customHeight="1">
      <c r="A24" s="152" t="s">
        <v>194</v>
      </c>
      <c r="B24" s="153" t="s">
        <v>169</v>
      </c>
      <c r="C24" s="153" t="s">
        <v>187</v>
      </c>
      <c r="D24" s="36"/>
      <c r="E24" s="36"/>
      <c r="F24" s="164">
        <v>3949.65</v>
      </c>
      <c r="G24" s="164">
        <v>4796.215</v>
      </c>
      <c r="H24" s="164">
        <f>-0.01</f>
        <v>-0.01</v>
      </c>
      <c r="I24" s="164">
        <f t="shared" si="1"/>
        <v>4796.205</v>
      </c>
      <c r="J24" s="160">
        <v>4796.205</v>
      </c>
      <c r="K24" s="161">
        <f>J24/I24*100</f>
        <v>100</v>
      </c>
      <c r="L24" s="161">
        <f>J24/$J$62*100</f>
        <v>1.1076841832219326</v>
      </c>
      <c r="M24" s="161">
        <f t="shared" si="8"/>
        <v>121.43367133796666</v>
      </c>
    </row>
    <row r="25" spans="1:13" ht="15" customHeight="1">
      <c r="A25" s="152" t="s">
        <v>195</v>
      </c>
      <c r="B25" s="153" t="s">
        <v>169</v>
      </c>
      <c r="C25" s="153" t="s">
        <v>196</v>
      </c>
      <c r="D25" s="36">
        <v>1376.54</v>
      </c>
      <c r="E25" s="36">
        <v>1196.95</v>
      </c>
      <c r="F25" s="164">
        <v>17579.98</v>
      </c>
      <c r="G25" s="164">
        <v>4969.49</v>
      </c>
      <c r="H25" s="164">
        <v>1881.129</v>
      </c>
      <c r="I25" s="164">
        <f t="shared" si="1"/>
        <v>6850.619</v>
      </c>
      <c r="J25" s="160">
        <v>6818.07</v>
      </c>
      <c r="K25" s="161">
        <f>J25/I25*100</f>
        <v>99.52487505143695</v>
      </c>
      <c r="L25" s="161">
        <f>J25/$J$62*100</f>
        <v>1.5746341741230747</v>
      </c>
      <c r="M25" s="161">
        <f t="shared" si="8"/>
        <v>38.783149923947576</v>
      </c>
    </row>
    <row r="26" spans="1:13" ht="15" customHeight="1">
      <c r="A26" s="148" t="s">
        <v>197</v>
      </c>
      <c r="B26" s="396" t="s">
        <v>198</v>
      </c>
      <c r="C26" s="396"/>
      <c r="D26" s="151">
        <f>SUM(D27:D29)</f>
        <v>2350</v>
      </c>
      <c r="E26" s="151">
        <f>SUM(E27:E29)</f>
        <v>2737.6059999999998</v>
      </c>
      <c r="F26" s="159">
        <f>F28+F29+F27</f>
        <v>36553.72</v>
      </c>
      <c r="G26" s="159">
        <f aca="true" t="shared" si="9" ref="G26:L26">G28+G29+G27</f>
        <v>12800.8944</v>
      </c>
      <c r="H26" s="159">
        <f t="shared" si="9"/>
        <v>1117.151</v>
      </c>
      <c r="I26" s="159">
        <f t="shared" si="9"/>
        <v>13918.0454</v>
      </c>
      <c r="J26" s="159">
        <f t="shared" si="9"/>
        <v>13846.707</v>
      </c>
      <c r="K26" s="163">
        <f>J26/I26*100</f>
        <v>99.4874395222191</v>
      </c>
      <c r="L26" s="159">
        <f t="shared" si="9"/>
        <v>3.1978988249268774</v>
      </c>
      <c r="M26" s="163">
        <f t="shared" si="8"/>
        <v>37.88043186849382</v>
      </c>
    </row>
    <row r="27" spans="1:13" ht="15" customHeight="1">
      <c r="A27" s="152" t="s">
        <v>199</v>
      </c>
      <c r="B27" s="153" t="s">
        <v>171</v>
      </c>
      <c r="C27" s="153" t="s">
        <v>164</v>
      </c>
      <c r="D27" s="36"/>
      <c r="E27" s="36"/>
      <c r="F27" s="164">
        <v>14337.46</v>
      </c>
      <c r="G27" s="164">
        <f>D27+E27</f>
        <v>0</v>
      </c>
      <c r="H27" s="164"/>
      <c r="I27" s="164">
        <f t="shared" si="1"/>
        <v>0</v>
      </c>
      <c r="J27" s="160"/>
      <c r="K27" s="161"/>
      <c r="L27" s="161">
        <f>J27/$J$62*100</f>
        <v>0</v>
      </c>
      <c r="M27" s="161">
        <f t="shared" si="8"/>
        <v>0</v>
      </c>
    </row>
    <row r="28" spans="1:13" ht="15" customHeight="1">
      <c r="A28" s="152" t="s">
        <v>200</v>
      </c>
      <c r="B28" s="153" t="s">
        <v>171</v>
      </c>
      <c r="C28" s="153" t="s">
        <v>165</v>
      </c>
      <c r="D28" s="36">
        <v>2350</v>
      </c>
      <c r="E28" s="36">
        <f>2137.616-0.01</f>
        <v>2137.6059999999998</v>
      </c>
      <c r="F28" s="164">
        <v>21079.26</v>
      </c>
      <c r="G28" s="164">
        <v>11720.8344</v>
      </c>
      <c r="H28" s="164">
        <v>966.451</v>
      </c>
      <c r="I28" s="164">
        <f t="shared" si="1"/>
        <v>12687.2854</v>
      </c>
      <c r="J28" s="160">
        <v>12632.296</v>
      </c>
      <c r="K28" s="161">
        <f>J28/I28*100</f>
        <v>99.56657867884016</v>
      </c>
      <c r="L28" s="161">
        <f>J28/$J$62*100</f>
        <v>2.917430442814201</v>
      </c>
      <c r="M28" s="161">
        <f t="shared" si="8"/>
        <v>59.927606566833944</v>
      </c>
    </row>
    <row r="29" spans="1:13" ht="15" customHeight="1">
      <c r="A29" s="152" t="s">
        <v>201</v>
      </c>
      <c r="B29" s="153" t="s">
        <v>171</v>
      </c>
      <c r="C29" s="153" t="s">
        <v>167</v>
      </c>
      <c r="D29" s="36"/>
      <c r="E29" s="36">
        <v>600</v>
      </c>
      <c r="F29" s="164">
        <v>1137</v>
      </c>
      <c r="G29" s="164">
        <v>1080.06</v>
      </c>
      <c r="H29" s="164">
        <v>150.7</v>
      </c>
      <c r="I29" s="164">
        <f t="shared" si="1"/>
        <v>1230.76</v>
      </c>
      <c r="J29" s="160">
        <v>1214.411</v>
      </c>
      <c r="K29" s="161">
        <f>J29/I29*100</f>
        <v>98.67163378725341</v>
      </c>
      <c r="L29" s="161">
        <f>J29/$J$62*100</f>
        <v>0.28046838211267666</v>
      </c>
      <c r="M29" s="161">
        <f t="shared" si="8"/>
        <v>106.80835532102024</v>
      </c>
    </row>
    <row r="30" spans="1:13" s="155" customFormat="1" ht="15" customHeight="1" hidden="1">
      <c r="A30" s="148" t="s">
        <v>202</v>
      </c>
      <c r="B30" s="396" t="s">
        <v>203</v>
      </c>
      <c r="C30" s="396"/>
      <c r="D30" s="12"/>
      <c r="E30" s="12"/>
      <c r="F30" s="159"/>
      <c r="G30" s="159">
        <f>G31</f>
        <v>0</v>
      </c>
      <c r="H30" s="159">
        <f>H31</f>
        <v>0</v>
      </c>
      <c r="I30" s="159">
        <f>I31</f>
        <v>0</v>
      </c>
      <c r="J30" s="162"/>
      <c r="K30" s="162"/>
      <c r="L30" s="162"/>
      <c r="M30" s="162"/>
    </row>
    <row r="31" spans="1:13" ht="27" customHeight="1" hidden="1">
      <c r="A31" s="156" t="s">
        <v>204</v>
      </c>
      <c r="B31" s="153" t="s">
        <v>173</v>
      </c>
      <c r="C31" s="153" t="s">
        <v>167</v>
      </c>
      <c r="D31" s="36"/>
      <c r="E31" s="36"/>
      <c r="F31" s="164"/>
      <c r="G31" s="164">
        <v>0</v>
      </c>
      <c r="H31" s="164">
        <v>0</v>
      </c>
      <c r="I31" s="164">
        <f>G31+H31</f>
        <v>0</v>
      </c>
      <c r="J31" s="160"/>
      <c r="K31" s="160"/>
      <c r="L31" s="160"/>
      <c r="M31" s="160"/>
    </row>
    <row r="32" spans="1:13" ht="15" customHeight="1">
      <c r="A32" s="148" t="s">
        <v>205</v>
      </c>
      <c r="B32" s="396" t="s">
        <v>206</v>
      </c>
      <c r="C32" s="396"/>
      <c r="D32" s="151">
        <f aca="true" t="shared" si="10" ref="D32:L32">SUM(D33:D37)</f>
        <v>196132.44</v>
      </c>
      <c r="E32" s="151">
        <f t="shared" si="10"/>
        <v>23192.644000000004</v>
      </c>
      <c r="F32" s="159">
        <f t="shared" si="10"/>
        <v>304947.64999999997</v>
      </c>
      <c r="G32" s="159">
        <f t="shared" si="10"/>
        <v>284621.57999999996</v>
      </c>
      <c r="H32" s="159">
        <f t="shared" si="10"/>
        <v>19399.399660000003</v>
      </c>
      <c r="I32" s="159">
        <f t="shared" si="10"/>
        <v>303870.97963</v>
      </c>
      <c r="J32" s="159">
        <f t="shared" si="10"/>
        <v>297733.953</v>
      </c>
      <c r="K32" s="163">
        <f aca="true" t="shared" si="11" ref="K32:K41">J32/I32*100</f>
        <v>97.9803840967398</v>
      </c>
      <c r="L32" s="159">
        <f t="shared" si="10"/>
        <v>68.76169607976352</v>
      </c>
      <c r="M32" s="163">
        <f aca="true" t="shared" si="12" ref="M32:M40">J32/F32*100</f>
        <v>97.63444742072943</v>
      </c>
    </row>
    <row r="33" spans="1:13" ht="15" customHeight="1">
      <c r="A33" s="152" t="s">
        <v>207</v>
      </c>
      <c r="B33" s="153" t="s">
        <v>175</v>
      </c>
      <c r="C33" s="153" t="s">
        <v>164</v>
      </c>
      <c r="D33" s="36">
        <v>2564.73</v>
      </c>
      <c r="E33" s="36">
        <v>-2564.73</v>
      </c>
      <c r="F33" s="164">
        <v>14887.9</v>
      </c>
      <c r="G33" s="164">
        <v>18822.32</v>
      </c>
      <c r="H33" s="164">
        <v>4914.473</v>
      </c>
      <c r="I33" s="164">
        <f>G33+H33</f>
        <v>23736.792999999998</v>
      </c>
      <c r="J33" s="160">
        <v>23659.579</v>
      </c>
      <c r="K33" s="161">
        <f t="shared" si="11"/>
        <v>99.67470753104686</v>
      </c>
      <c r="L33" s="161">
        <f>J33/$J$62*100</f>
        <v>5.464182919618696</v>
      </c>
      <c r="M33" s="161">
        <f t="shared" si="12"/>
        <v>158.9181751623802</v>
      </c>
    </row>
    <row r="34" spans="1:13" ht="15" customHeight="1">
      <c r="A34" s="152" t="s">
        <v>208</v>
      </c>
      <c r="B34" s="153" t="s">
        <v>175</v>
      </c>
      <c r="C34" s="153" t="s">
        <v>165</v>
      </c>
      <c r="D34" s="36">
        <v>187323</v>
      </c>
      <c r="E34" s="36">
        <f>19403.544+0.01</f>
        <v>19403.554</v>
      </c>
      <c r="F34" s="164">
        <v>279423.99</v>
      </c>
      <c r="G34" s="164">
        <v>252349.476</v>
      </c>
      <c r="H34" s="164">
        <v>15137.77503</v>
      </c>
      <c r="I34" s="164">
        <v>267337.251</v>
      </c>
      <c r="J34" s="160">
        <v>261886.322</v>
      </c>
      <c r="K34" s="161">
        <f t="shared" si="11"/>
        <v>97.96102900751382</v>
      </c>
      <c r="L34" s="161">
        <f>J34/$J$62*100</f>
        <v>60.48268092826849</v>
      </c>
      <c r="M34" s="161">
        <f t="shared" si="12"/>
        <v>93.72363554038434</v>
      </c>
    </row>
    <row r="35" spans="1:13" ht="15" customHeight="1">
      <c r="A35" s="152" t="s">
        <v>209</v>
      </c>
      <c r="B35" s="153" t="s">
        <v>175</v>
      </c>
      <c r="C35" s="153" t="s">
        <v>171</v>
      </c>
      <c r="D35" s="36">
        <v>131.5</v>
      </c>
      <c r="E35" s="36">
        <v>671.7</v>
      </c>
      <c r="F35" s="164">
        <v>398.41</v>
      </c>
      <c r="G35" s="164">
        <v>2316.827</v>
      </c>
      <c r="H35" s="164">
        <v>-775.907</v>
      </c>
      <c r="I35" s="164">
        <f>G35+H35</f>
        <v>1540.92</v>
      </c>
      <c r="J35" s="160">
        <v>1514.686</v>
      </c>
      <c r="K35" s="161">
        <f t="shared" si="11"/>
        <v>98.2975105780962</v>
      </c>
      <c r="L35" s="161">
        <f>J35/$J$62*100</f>
        <v>0.34981693333535496</v>
      </c>
      <c r="M35" s="161">
        <f t="shared" si="12"/>
        <v>380.1827263371903</v>
      </c>
    </row>
    <row r="36" spans="1:13" ht="15" customHeight="1">
      <c r="A36" s="152" t="s">
        <v>210</v>
      </c>
      <c r="B36" s="153" t="s">
        <v>175</v>
      </c>
      <c r="C36" s="153" t="s">
        <v>175</v>
      </c>
      <c r="D36" s="36">
        <v>408.8</v>
      </c>
      <c r="E36" s="36">
        <v>1749.47</v>
      </c>
      <c r="F36" s="164">
        <v>2286.88</v>
      </c>
      <c r="G36" s="164">
        <v>2472.95</v>
      </c>
      <c r="H36" s="164">
        <v>0</v>
      </c>
      <c r="I36" s="164">
        <f>G36+H36</f>
        <v>2472.95</v>
      </c>
      <c r="J36" s="160">
        <v>2465.171</v>
      </c>
      <c r="K36" s="161">
        <f t="shared" si="11"/>
        <v>99.68543642208698</v>
      </c>
      <c r="L36" s="161">
        <f>J36/$J$62*100</f>
        <v>0.5693315706141406</v>
      </c>
      <c r="M36" s="161">
        <f t="shared" si="12"/>
        <v>107.79625515986847</v>
      </c>
    </row>
    <row r="37" spans="1:13" ht="15" customHeight="1">
      <c r="A37" s="152" t="s">
        <v>211</v>
      </c>
      <c r="B37" s="153" t="s">
        <v>175</v>
      </c>
      <c r="C37" s="153" t="s">
        <v>187</v>
      </c>
      <c r="D37" s="36">
        <v>5704.41</v>
      </c>
      <c r="E37" s="36">
        <v>3932.65</v>
      </c>
      <c r="F37" s="164">
        <v>7950.47</v>
      </c>
      <c r="G37" s="164">
        <v>8660.007</v>
      </c>
      <c r="H37" s="164">
        <v>123.05863</v>
      </c>
      <c r="I37" s="164">
        <f>G37+H37</f>
        <v>8783.06563</v>
      </c>
      <c r="J37" s="160">
        <v>8208.195</v>
      </c>
      <c r="K37" s="161">
        <f t="shared" si="11"/>
        <v>93.45478385090925</v>
      </c>
      <c r="L37" s="161">
        <f>J37/$J$62*100</f>
        <v>1.8956837279268401</v>
      </c>
      <c r="M37" s="161">
        <f t="shared" si="12"/>
        <v>103.24163225570311</v>
      </c>
    </row>
    <row r="38" spans="1:13" ht="15" customHeight="1">
      <c r="A38" s="148" t="s">
        <v>212</v>
      </c>
      <c r="B38" s="396" t="s">
        <v>213</v>
      </c>
      <c r="C38" s="396"/>
      <c r="D38" s="151">
        <f>SUM(D39:D40)</f>
        <v>8517.099999999999</v>
      </c>
      <c r="E38" s="151">
        <f>SUM(E39:E40)</f>
        <v>509.8234</v>
      </c>
      <c r="F38" s="159">
        <f aca="true" t="shared" si="13" ref="F38:L38">F39++F40</f>
        <v>11716.460000000001</v>
      </c>
      <c r="G38" s="159">
        <f t="shared" si="13"/>
        <v>17011.63255</v>
      </c>
      <c r="H38" s="159">
        <f t="shared" si="13"/>
        <v>207.27659999999997</v>
      </c>
      <c r="I38" s="159">
        <f t="shared" si="13"/>
        <v>17218.90915</v>
      </c>
      <c r="J38" s="159">
        <f t="shared" si="13"/>
        <v>17218.909</v>
      </c>
      <c r="K38" s="163">
        <f t="shared" si="11"/>
        <v>99.99999912886469</v>
      </c>
      <c r="L38" s="159">
        <f t="shared" si="13"/>
        <v>3.9767093257351975</v>
      </c>
      <c r="M38" s="163">
        <f t="shared" si="12"/>
        <v>146.9634087429138</v>
      </c>
    </row>
    <row r="39" spans="1:13" ht="15" customHeight="1">
      <c r="A39" s="152" t="s">
        <v>214</v>
      </c>
      <c r="B39" s="153" t="s">
        <v>215</v>
      </c>
      <c r="C39" s="153" t="s">
        <v>164</v>
      </c>
      <c r="D39" s="36">
        <v>6067.61</v>
      </c>
      <c r="E39" s="36">
        <v>-271.38</v>
      </c>
      <c r="F39" s="164">
        <v>8499.69</v>
      </c>
      <c r="G39" s="164">
        <v>13941.26247</v>
      </c>
      <c r="H39" s="164">
        <f>317.008+25</f>
        <v>342.008</v>
      </c>
      <c r="I39" s="164">
        <f aca="true" t="shared" si="14" ref="I39:I61">G39+H39</f>
        <v>14283.27047</v>
      </c>
      <c r="J39" s="160">
        <v>14283.27</v>
      </c>
      <c r="K39" s="161">
        <f t="shared" si="11"/>
        <v>99.9999967094371</v>
      </c>
      <c r="L39" s="161">
        <f>J39/$J$62*100</f>
        <v>3.2987231078922465</v>
      </c>
      <c r="M39" s="161">
        <f t="shared" si="12"/>
        <v>168.04459927362058</v>
      </c>
    </row>
    <row r="40" spans="1:13" ht="15" customHeight="1">
      <c r="A40" s="152" t="s">
        <v>216</v>
      </c>
      <c r="B40" s="153" t="s">
        <v>215</v>
      </c>
      <c r="C40" s="153" t="s">
        <v>169</v>
      </c>
      <c r="D40" s="36">
        <v>2449.49</v>
      </c>
      <c r="E40" s="36">
        <v>781.2034</v>
      </c>
      <c r="F40" s="164">
        <v>3216.77</v>
      </c>
      <c r="G40" s="164">
        <v>3070.37008</v>
      </c>
      <c r="H40" s="164">
        <f>-109.7314-25</f>
        <v>-134.7314</v>
      </c>
      <c r="I40" s="164">
        <f t="shared" si="14"/>
        <v>2935.63868</v>
      </c>
      <c r="J40" s="160">
        <v>2935.639</v>
      </c>
      <c r="K40" s="161">
        <f t="shared" si="11"/>
        <v>100.00001090052405</v>
      </c>
      <c r="L40" s="161">
        <f>J40/$J$62*100</f>
        <v>0.677986217842951</v>
      </c>
      <c r="M40" s="161">
        <f t="shared" si="12"/>
        <v>91.26045691796429</v>
      </c>
    </row>
    <row r="41" spans="1:13" ht="15" customHeight="1">
      <c r="A41" s="148" t="s">
        <v>217</v>
      </c>
      <c r="B41" s="396" t="s">
        <v>218</v>
      </c>
      <c r="C41" s="396"/>
      <c r="D41" s="151">
        <f>SUM(D42:D45)</f>
        <v>0</v>
      </c>
      <c r="E41" s="151">
        <f>SUM(E42:E45)</f>
        <v>500</v>
      </c>
      <c r="F41" s="159">
        <f aca="true" t="shared" si="15" ref="F41:M41">F45</f>
        <v>490</v>
      </c>
      <c r="G41" s="159">
        <f t="shared" si="15"/>
        <v>500</v>
      </c>
      <c r="H41" s="159">
        <f t="shared" si="15"/>
        <v>-15</v>
      </c>
      <c r="I41" s="159">
        <f t="shared" si="15"/>
        <v>485</v>
      </c>
      <c r="J41" s="159">
        <f t="shared" si="15"/>
        <v>485</v>
      </c>
      <c r="K41" s="163">
        <f t="shared" si="11"/>
        <v>100</v>
      </c>
      <c r="L41" s="159">
        <f t="shared" si="15"/>
        <v>0.11201081456331353</v>
      </c>
      <c r="M41" s="159">
        <f t="shared" si="15"/>
        <v>98.9795918367347</v>
      </c>
    </row>
    <row r="42" spans="1:13" ht="15" customHeight="1" hidden="1">
      <c r="A42" s="152" t="s">
        <v>219</v>
      </c>
      <c r="B42" s="153" t="s">
        <v>187</v>
      </c>
      <c r="C42" s="153" t="s">
        <v>164</v>
      </c>
      <c r="D42" s="36"/>
      <c r="E42" s="36"/>
      <c r="F42" s="164"/>
      <c r="G42" s="164">
        <f>D42+E42</f>
        <v>0</v>
      </c>
      <c r="H42" s="164"/>
      <c r="I42" s="164">
        <f t="shared" si="14"/>
        <v>0</v>
      </c>
      <c r="J42" s="160"/>
      <c r="K42" s="160"/>
      <c r="L42" s="160"/>
      <c r="M42" s="160"/>
    </row>
    <row r="43" spans="1:13" ht="15" customHeight="1" hidden="1">
      <c r="A43" s="152" t="s">
        <v>220</v>
      </c>
      <c r="B43" s="153" t="s">
        <v>187</v>
      </c>
      <c r="C43" s="153" t="s">
        <v>165</v>
      </c>
      <c r="D43" s="36"/>
      <c r="E43" s="36"/>
      <c r="F43" s="164"/>
      <c r="G43" s="164">
        <f>D43+E43</f>
        <v>0</v>
      </c>
      <c r="H43" s="164"/>
      <c r="I43" s="164">
        <f t="shared" si="14"/>
        <v>0</v>
      </c>
      <c r="J43" s="160"/>
      <c r="K43" s="160"/>
      <c r="L43" s="160"/>
      <c r="M43" s="160"/>
    </row>
    <row r="44" spans="1:13" ht="15" customHeight="1" hidden="1">
      <c r="A44" s="152" t="s">
        <v>221</v>
      </c>
      <c r="B44" s="153" t="s">
        <v>187</v>
      </c>
      <c r="C44" s="153" t="s">
        <v>169</v>
      </c>
      <c r="D44" s="36"/>
      <c r="E44" s="36"/>
      <c r="F44" s="164"/>
      <c r="G44" s="164">
        <f>D44+E44</f>
        <v>0</v>
      </c>
      <c r="H44" s="164"/>
      <c r="I44" s="164">
        <f t="shared" si="14"/>
        <v>0</v>
      </c>
      <c r="J44" s="160"/>
      <c r="K44" s="160"/>
      <c r="L44" s="160"/>
      <c r="M44" s="160"/>
    </row>
    <row r="45" spans="1:13" ht="15" customHeight="1">
      <c r="A45" s="152" t="s">
        <v>222</v>
      </c>
      <c r="B45" s="153" t="s">
        <v>187</v>
      </c>
      <c r="C45" s="153" t="s">
        <v>187</v>
      </c>
      <c r="D45" s="36"/>
      <c r="E45" s="36">
        <v>500</v>
      </c>
      <c r="F45" s="164">
        <v>490</v>
      </c>
      <c r="G45" s="164">
        <f>D45+E45</f>
        <v>500</v>
      </c>
      <c r="H45" s="164">
        <v>-15</v>
      </c>
      <c r="I45" s="164">
        <f t="shared" si="14"/>
        <v>485</v>
      </c>
      <c r="J45" s="160">
        <v>485</v>
      </c>
      <c r="K45" s="161">
        <f>J45/I45*100</f>
        <v>100</v>
      </c>
      <c r="L45" s="161">
        <f>J45/$J$62*100</f>
        <v>0.11201081456331353</v>
      </c>
      <c r="M45" s="161">
        <f aca="true" t="shared" si="16" ref="M45:M60">J45/F45*100</f>
        <v>98.9795918367347</v>
      </c>
    </row>
    <row r="46" spans="1:13" ht="15" customHeight="1">
      <c r="A46" s="148" t="s">
        <v>223</v>
      </c>
      <c r="B46" s="396" t="s">
        <v>224</v>
      </c>
      <c r="C46" s="396"/>
      <c r="D46" s="151">
        <f aca="true" t="shared" si="17" ref="D46:L46">SUM(D47:D51)</f>
        <v>19266.269999999997</v>
      </c>
      <c r="E46" s="151">
        <f t="shared" si="17"/>
        <v>6470.23</v>
      </c>
      <c r="F46" s="159">
        <f t="shared" si="17"/>
        <v>35960.93</v>
      </c>
      <c r="G46" s="159">
        <f t="shared" si="17"/>
        <v>14872.113000000001</v>
      </c>
      <c r="H46" s="159">
        <f t="shared" si="17"/>
        <v>5054.692650000001</v>
      </c>
      <c r="I46" s="159">
        <f t="shared" si="17"/>
        <v>19926.805650000002</v>
      </c>
      <c r="J46" s="159">
        <f t="shared" si="17"/>
        <v>19462.093</v>
      </c>
      <c r="K46" s="163">
        <f>J46/I46*100</f>
        <v>97.66790192988107</v>
      </c>
      <c r="L46" s="159">
        <f t="shared" si="17"/>
        <v>4.494772969148377</v>
      </c>
      <c r="M46" s="163">
        <f t="shared" si="16"/>
        <v>54.120104791505675</v>
      </c>
    </row>
    <row r="47" spans="1:13" ht="15" customHeight="1">
      <c r="A47" s="152" t="s">
        <v>225</v>
      </c>
      <c r="B47" s="153" t="s">
        <v>226</v>
      </c>
      <c r="C47" s="153" t="s">
        <v>164</v>
      </c>
      <c r="D47" s="36">
        <v>45</v>
      </c>
      <c r="E47" s="36">
        <v>78</v>
      </c>
      <c r="F47" s="164">
        <v>116.57</v>
      </c>
      <c r="G47" s="164">
        <f>D47+E47</f>
        <v>123</v>
      </c>
      <c r="H47" s="164">
        <v>-27.4</v>
      </c>
      <c r="I47" s="164">
        <f t="shared" si="14"/>
        <v>95.6</v>
      </c>
      <c r="J47" s="160">
        <v>95.543</v>
      </c>
      <c r="K47" s="161">
        <f>J47/I47*100</f>
        <v>99.94037656903767</v>
      </c>
      <c r="L47" s="161">
        <f>J47/$J$62*100</f>
        <v>0.02206566856870653</v>
      </c>
      <c r="M47" s="161">
        <f t="shared" si="16"/>
        <v>81.96191129793259</v>
      </c>
    </row>
    <row r="48" spans="1:13" ht="15" customHeight="1">
      <c r="A48" s="152" t="s">
        <v>227</v>
      </c>
      <c r="B48" s="153" t="s">
        <v>226</v>
      </c>
      <c r="C48" s="153" t="s">
        <v>165</v>
      </c>
      <c r="D48" s="36">
        <v>363.57</v>
      </c>
      <c r="E48" s="36">
        <v>-363.57</v>
      </c>
      <c r="F48" s="164">
        <v>293.13</v>
      </c>
      <c r="G48" s="164">
        <f>D48+E48</f>
        <v>0</v>
      </c>
      <c r="H48" s="164"/>
      <c r="I48" s="164">
        <f t="shared" si="14"/>
        <v>0</v>
      </c>
      <c r="J48" s="160"/>
      <c r="K48" s="161"/>
      <c r="L48" s="161">
        <f>J48/$J$62*100</f>
        <v>0</v>
      </c>
      <c r="M48" s="161">
        <f t="shared" si="16"/>
        <v>0</v>
      </c>
    </row>
    <row r="49" spans="1:13" ht="15" customHeight="1">
      <c r="A49" s="152" t="s">
        <v>228</v>
      </c>
      <c r="B49" s="153" t="s">
        <v>226</v>
      </c>
      <c r="C49" s="153" t="s">
        <v>167</v>
      </c>
      <c r="D49" s="36">
        <v>1066</v>
      </c>
      <c r="E49" s="36">
        <v>2246.5</v>
      </c>
      <c r="F49" s="164">
        <v>17451.11</v>
      </c>
      <c r="G49" s="164">
        <v>4530.761</v>
      </c>
      <c r="H49" s="164">
        <v>4394.363</v>
      </c>
      <c r="I49" s="164">
        <f t="shared" si="14"/>
        <v>8925.124</v>
      </c>
      <c r="J49" s="160">
        <v>8924.724</v>
      </c>
      <c r="K49" s="161">
        <f>J49/I49*100</f>
        <v>99.9955182695501</v>
      </c>
      <c r="L49" s="161">
        <f>J49/$J$62*100</f>
        <v>2.0611661958613485</v>
      </c>
      <c r="M49" s="161">
        <f t="shared" si="16"/>
        <v>51.14129702924342</v>
      </c>
    </row>
    <row r="50" spans="1:13" ht="15" customHeight="1">
      <c r="A50" s="152" t="s">
        <v>229</v>
      </c>
      <c r="B50" s="153" t="s">
        <v>226</v>
      </c>
      <c r="C50" s="153" t="s">
        <v>169</v>
      </c>
      <c r="D50" s="36">
        <v>17598.1</v>
      </c>
      <c r="E50" s="36">
        <v>4482.9</v>
      </c>
      <c r="F50" s="164">
        <v>17759.12</v>
      </c>
      <c r="G50" s="164">
        <v>9968.352</v>
      </c>
      <c r="H50" s="164">
        <v>687.72965</v>
      </c>
      <c r="I50" s="164">
        <f t="shared" si="14"/>
        <v>10656.08165</v>
      </c>
      <c r="J50" s="160">
        <v>10191.826</v>
      </c>
      <c r="K50" s="161">
        <f>J50/I50*100</f>
        <v>95.6432799104913</v>
      </c>
      <c r="L50" s="161">
        <f>J50/$J$62*100</f>
        <v>2.353803571438263</v>
      </c>
      <c r="M50" s="161">
        <f t="shared" si="16"/>
        <v>57.38925126920703</v>
      </c>
    </row>
    <row r="51" spans="1:13" ht="15" customHeight="1">
      <c r="A51" s="152" t="s">
        <v>230</v>
      </c>
      <c r="B51" s="153" t="s">
        <v>226</v>
      </c>
      <c r="C51" s="153" t="s">
        <v>173</v>
      </c>
      <c r="D51" s="36">
        <v>193.6</v>
      </c>
      <c r="E51" s="36">
        <v>26.4</v>
      </c>
      <c r="F51" s="164">
        <v>341</v>
      </c>
      <c r="G51" s="164">
        <v>250</v>
      </c>
      <c r="H51" s="164">
        <v>0</v>
      </c>
      <c r="I51" s="164">
        <f t="shared" si="14"/>
        <v>250</v>
      </c>
      <c r="J51" s="160">
        <v>250</v>
      </c>
      <c r="K51" s="161">
        <f>J51/I51*100</f>
        <v>100</v>
      </c>
      <c r="L51" s="161">
        <f>J51/$J$62*100</f>
        <v>0.05773753328005853</v>
      </c>
      <c r="M51" s="161">
        <f t="shared" si="16"/>
        <v>73.31378299120234</v>
      </c>
    </row>
    <row r="52" spans="1:13" ht="15" customHeight="1">
      <c r="A52" s="148" t="s">
        <v>231</v>
      </c>
      <c r="B52" s="396" t="s">
        <v>232</v>
      </c>
      <c r="C52" s="396"/>
      <c r="D52" s="12">
        <f>D53</f>
        <v>1287.58</v>
      </c>
      <c r="E52" s="12">
        <f>E53</f>
        <v>582.42</v>
      </c>
      <c r="F52" s="159">
        <f aca="true" t="shared" si="18" ref="F52:L52">SUM(F53)</f>
        <v>1686.6</v>
      </c>
      <c r="G52" s="159">
        <f t="shared" si="18"/>
        <v>3062.26</v>
      </c>
      <c r="H52" s="159">
        <f t="shared" si="18"/>
        <v>0</v>
      </c>
      <c r="I52" s="159">
        <f t="shared" si="18"/>
        <v>3062.26</v>
      </c>
      <c r="J52" s="159">
        <f t="shared" si="18"/>
        <v>3062.26</v>
      </c>
      <c r="K52" s="159">
        <f t="shared" si="18"/>
        <v>100</v>
      </c>
      <c r="L52" s="159">
        <f t="shared" si="18"/>
        <v>0.7072293546487682</v>
      </c>
      <c r="M52" s="163">
        <f t="shared" si="16"/>
        <v>181.5640934424286</v>
      </c>
    </row>
    <row r="53" spans="1:13" ht="15" customHeight="1">
      <c r="A53" s="152" t="s">
        <v>233</v>
      </c>
      <c r="B53" s="153" t="s">
        <v>177</v>
      </c>
      <c r="C53" s="153" t="s">
        <v>164</v>
      </c>
      <c r="D53" s="36">
        <v>1287.58</v>
      </c>
      <c r="E53" s="36">
        <v>582.42</v>
      </c>
      <c r="F53" s="164">
        <v>1686.6</v>
      </c>
      <c r="G53" s="164">
        <v>3062.26</v>
      </c>
      <c r="H53" s="164">
        <v>0</v>
      </c>
      <c r="I53" s="164">
        <f t="shared" si="14"/>
        <v>3062.26</v>
      </c>
      <c r="J53" s="160">
        <v>3062.26</v>
      </c>
      <c r="K53" s="161">
        <f>J53/I53*100</f>
        <v>100</v>
      </c>
      <c r="L53" s="161">
        <f>J53/$J$62*100</f>
        <v>0.7072293546487682</v>
      </c>
      <c r="M53" s="161">
        <f t="shared" si="16"/>
        <v>181.5640934424286</v>
      </c>
    </row>
    <row r="54" spans="1:13" ht="15" customHeight="1">
      <c r="A54" s="148" t="s">
        <v>234</v>
      </c>
      <c r="B54" s="396" t="s">
        <v>235</v>
      </c>
      <c r="C54" s="396"/>
      <c r="D54" s="12">
        <f aca="true" t="shared" si="19" ref="D54:L54">D55</f>
        <v>903.6</v>
      </c>
      <c r="E54" s="12">
        <f t="shared" si="19"/>
        <v>230.42</v>
      </c>
      <c r="F54" s="159">
        <f t="shared" si="19"/>
        <v>969.68</v>
      </c>
      <c r="G54" s="159">
        <f t="shared" si="19"/>
        <v>1202.02</v>
      </c>
      <c r="H54" s="159">
        <f t="shared" si="19"/>
        <v>0</v>
      </c>
      <c r="I54" s="159">
        <f t="shared" si="19"/>
        <v>1202.02</v>
      </c>
      <c r="J54" s="159">
        <f t="shared" si="19"/>
        <v>1202.02</v>
      </c>
      <c r="K54" s="159">
        <f t="shared" si="19"/>
        <v>100</v>
      </c>
      <c r="L54" s="159">
        <f t="shared" si="19"/>
        <v>0.2776066790131838</v>
      </c>
      <c r="M54" s="163">
        <f t="shared" si="16"/>
        <v>123.96048180843164</v>
      </c>
    </row>
    <row r="55" spans="1:13" ht="15" customHeight="1">
      <c r="A55" s="152" t="s">
        <v>236</v>
      </c>
      <c r="B55" s="153" t="s">
        <v>196</v>
      </c>
      <c r="C55" s="153" t="s">
        <v>165</v>
      </c>
      <c r="D55" s="36">
        <v>903.6</v>
      </c>
      <c r="E55" s="36">
        <v>230.42</v>
      </c>
      <c r="F55" s="164">
        <v>969.68</v>
      </c>
      <c r="G55" s="164">
        <v>1202.02</v>
      </c>
      <c r="H55" s="164"/>
      <c r="I55" s="164">
        <f t="shared" si="14"/>
        <v>1202.02</v>
      </c>
      <c r="J55" s="160">
        <v>1202.02</v>
      </c>
      <c r="K55" s="161">
        <f>J55/I55*100</f>
        <v>100</v>
      </c>
      <c r="L55" s="161">
        <f>J55/$J$62*100</f>
        <v>0.2776066790131838</v>
      </c>
      <c r="M55" s="161">
        <f t="shared" si="16"/>
        <v>123.96048180843164</v>
      </c>
    </row>
    <row r="56" spans="1:13" ht="19.5" customHeight="1">
      <c r="A56" s="148" t="s">
        <v>237</v>
      </c>
      <c r="B56" s="396" t="s">
        <v>238</v>
      </c>
      <c r="C56" s="396"/>
      <c r="D56" s="12">
        <f aca="true" t="shared" si="20" ref="D56:L56">D57</f>
        <v>45.04</v>
      </c>
      <c r="E56" s="12">
        <f t="shared" si="20"/>
        <v>154.96</v>
      </c>
      <c r="F56" s="159">
        <f t="shared" si="20"/>
        <v>254.25</v>
      </c>
      <c r="G56" s="159">
        <f t="shared" si="20"/>
        <v>200</v>
      </c>
      <c r="H56" s="159">
        <f t="shared" si="20"/>
        <v>66.22197</v>
      </c>
      <c r="I56" s="159">
        <f t="shared" si="20"/>
        <v>266.22197</v>
      </c>
      <c r="J56" s="159">
        <f t="shared" si="20"/>
        <v>266.222</v>
      </c>
      <c r="K56" s="159">
        <f t="shared" si="20"/>
        <v>100.00001126879197</v>
      </c>
      <c r="L56" s="159">
        <f t="shared" si="20"/>
        <v>0.061484006339534956</v>
      </c>
      <c r="M56" s="163">
        <f t="shared" si="16"/>
        <v>104.70875122910522</v>
      </c>
    </row>
    <row r="57" spans="1:13" ht="24.75" customHeight="1">
      <c r="A57" s="152" t="s">
        <v>239</v>
      </c>
      <c r="B57" s="153" t="s">
        <v>179</v>
      </c>
      <c r="C57" s="153" t="s">
        <v>164</v>
      </c>
      <c r="D57" s="36">
        <v>45.04</v>
      </c>
      <c r="E57" s="36">
        <v>154.96</v>
      </c>
      <c r="F57" s="164">
        <v>254.25</v>
      </c>
      <c r="G57" s="164">
        <f>D57+E57</f>
        <v>200</v>
      </c>
      <c r="H57" s="164">
        <v>66.22197</v>
      </c>
      <c r="I57" s="164">
        <f t="shared" si="14"/>
        <v>266.22197</v>
      </c>
      <c r="J57" s="160">
        <v>266.222</v>
      </c>
      <c r="K57" s="161">
        <f>J57/I57*100</f>
        <v>100.00001126879197</v>
      </c>
      <c r="L57" s="161">
        <f>J57/$J$62*100</f>
        <v>0.061484006339534956</v>
      </c>
      <c r="M57" s="161">
        <f t="shared" si="16"/>
        <v>104.70875122910522</v>
      </c>
    </row>
    <row r="58" spans="1:13" ht="30" customHeight="1">
      <c r="A58" s="148" t="s">
        <v>240</v>
      </c>
      <c r="B58" s="396" t="s">
        <v>241</v>
      </c>
      <c r="C58" s="396"/>
      <c r="D58" s="12">
        <f aca="true" t="shared" si="21" ref="D58:L58">D59+D60</f>
        <v>29125.9</v>
      </c>
      <c r="E58" s="12">
        <f t="shared" si="21"/>
        <v>5772.5</v>
      </c>
      <c r="F58" s="159">
        <f t="shared" si="21"/>
        <v>37409.909999999996</v>
      </c>
      <c r="G58" s="159">
        <f t="shared" si="21"/>
        <v>35671.08</v>
      </c>
      <c r="H58" s="159">
        <f t="shared" si="21"/>
        <v>27.4587</v>
      </c>
      <c r="I58" s="159">
        <f t="shared" si="21"/>
        <v>35698.538700000005</v>
      </c>
      <c r="J58" s="159">
        <f t="shared" si="21"/>
        <v>35698.538</v>
      </c>
      <c r="K58" s="163">
        <f>J58/I58*100</f>
        <v>99.9999980391354</v>
      </c>
      <c r="L58" s="159">
        <f t="shared" si="21"/>
        <v>8.244582103297738</v>
      </c>
      <c r="M58" s="163">
        <f t="shared" si="16"/>
        <v>95.42535119704914</v>
      </c>
    </row>
    <row r="59" spans="1:13" ht="23.25" customHeight="1">
      <c r="A59" s="152" t="s">
        <v>242</v>
      </c>
      <c r="B59" s="153" t="s">
        <v>189</v>
      </c>
      <c r="C59" s="153" t="s">
        <v>164</v>
      </c>
      <c r="D59" s="36">
        <v>29125.9</v>
      </c>
      <c r="E59" s="36">
        <v>5772.5</v>
      </c>
      <c r="F59" s="164">
        <v>30877.1</v>
      </c>
      <c r="G59" s="164">
        <f>D59+E59</f>
        <v>34898.4</v>
      </c>
      <c r="H59" s="164">
        <v>0</v>
      </c>
      <c r="I59" s="164">
        <f t="shared" si="14"/>
        <v>34898.4</v>
      </c>
      <c r="J59" s="160">
        <v>34898.4</v>
      </c>
      <c r="K59" s="161">
        <f>J59/I59*100</f>
        <v>100</v>
      </c>
      <c r="L59" s="161">
        <f>J59/$J$62*100</f>
        <v>8.059790125683179</v>
      </c>
      <c r="M59" s="161">
        <f t="shared" si="16"/>
        <v>113.02356762778889</v>
      </c>
    </row>
    <row r="60" spans="1:13" ht="26.25" customHeight="1">
      <c r="A60" s="152" t="s">
        <v>243</v>
      </c>
      <c r="B60" s="153" t="s">
        <v>189</v>
      </c>
      <c r="C60" s="153" t="s">
        <v>167</v>
      </c>
      <c r="D60" s="36"/>
      <c r="E60" s="36"/>
      <c r="F60" s="164">
        <v>6532.81</v>
      </c>
      <c r="G60" s="164">
        <v>772.68</v>
      </c>
      <c r="H60" s="164">
        <v>27.4587</v>
      </c>
      <c r="I60" s="164">
        <f t="shared" si="14"/>
        <v>800.1387</v>
      </c>
      <c r="J60" s="160">
        <v>800.138</v>
      </c>
      <c r="K60" s="161">
        <f>J60/I60*100</f>
        <v>99.9999125151677</v>
      </c>
      <c r="L60" s="161">
        <f>J60/$J$62*100</f>
        <v>0.1847919776145579</v>
      </c>
      <c r="M60" s="161">
        <f t="shared" si="16"/>
        <v>12.247991293180117</v>
      </c>
    </row>
    <row r="61" spans="1:13" ht="17.25" customHeight="1" hidden="1">
      <c r="A61" s="152" t="s">
        <v>244</v>
      </c>
      <c r="B61" s="153" t="s">
        <v>245</v>
      </c>
      <c r="C61" s="153" t="s">
        <v>245</v>
      </c>
      <c r="D61" s="36">
        <v>7294.84</v>
      </c>
      <c r="E61" s="36">
        <v>-7294.84</v>
      </c>
      <c r="F61" s="164"/>
      <c r="G61" s="164">
        <f>D61+E61</f>
        <v>0</v>
      </c>
      <c r="H61" s="164"/>
      <c r="I61" s="164">
        <f t="shared" si="14"/>
        <v>0</v>
      </c>
      <c r="J61" s="160"/>
      <c r="K61" s="160"/>
      <c r="L61" s="160"/>
      <c r="M61" s="160"/>
    </row>
    <row r="62" spans="1:13" ht="12.75">
      <c r="A62" s="148" t="s">
        <v>246</v>
      </c>
      <c r="B62" s="149"/>
      <c r="C62" s="149"/>
      <c r="D62" s="151">
        <f>D6+D15+D17+D21+D26+D32+D38+D41+D46+D52+D54+D56+D58+D61</f>
        <v>291793.60000000003</v>
      </c>
      <c r="E62" s="151">
        <f>E6+E15+E17+E21+E26+E32+E38+E41+E46+E52+E54+E56+E58+E61</f>
        <v>37368.399999999994</v>
      </c>
      <c r="F62" s="163">
        <f aca="true" t="shared" si="22" ref="F62:L62">F6+F15+F17+F21+F26+F32+F38+F41+F46+F52+F54+F56+F58+F61+F30</f>
        <v>479431.36153999995</v>
      </c>
      <c r="G62" s="163">
        <f t="shared" si="22"/>
        <v>410648.80155</v>
      </c>
      <c r="H62" s="163">
        <f t="shared" si="22"/>
        <v>30036.848980000002</v>
      </c>
      <c r="I62" s="163">
        <f t="shared" si="22"/>
        <v>440535.6505000001</v>
      </c>
      <c r="J62" s="163">
        <f t="shared" si="22"/>
        <v>432993.90499999997</v>
      </c>
      <c r="K62" s="163">
        <f>J62/I62*100</f>
        <v>98.28805103708625</v>
      </c>
      <c r="L62" s="163">
        <f t="shared" si="22"/>
        <v>100.00000000000003</v>
      </c>
      <c r="M62" s="163">
        <f>J62/F62*100</f>
        <v>90.31405530275775</v>
      </c>
    </row>
    <row r="63" spans="4:9" ht="12.75">
      <c r="D63" s="157"/>
      <c r="E63" s="157"/>
      <c r="F63" s="157"/>
      <c r="I63" s="158"/>
    </row>
    <row r="64" spans="4:6" ht="12.75">
      <c r="D64" s="157"/>
      <c r="E64" s="157"/>
      <c r="F64" s="157"/>
    </row>
  </sheetData>
  <sheetProtection/>
  <mergeCells count="16">
    <mergeCell ref="A3:M3"/>
    <mergeCell ref="A2:M2"/>
    <mergeCell ref="B6:C6"/>
    <mergeCell ref="B15:C15"/>
    <mergeCell ref="B17:C17"/>
    <mergeCell ref="B21:C21"/>
    <mergeCell ref="B52:C52"/>
    <mergeCell ref="B54:C54"/>
    <mergeCell ref="B56:C56"/>
    <mergeCell ref="B58:C58"/>
    <mergeCell ref="B26:C26"/>
    <mergeCell ref="B30:C30"/>
    <mergeCell ref="B32:C32"/>
    <mergeCell ref="B38:C38"/>
    <mergeCell ref="B41:C41"/>
    <mergeCell ref="B46:C46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4"/>
  <sheetViews>
    <sheetView view="pageBreakPreview" zoomScale="60" zoomScalePageLayoutView="0" workbookViewId="0" topLeftCell="A1">
      <selection activeCell="B12" sqref="B12"/>
    </sheetView>
  </sheetViews>
  <sheetFormatPr defaultColWidth="0" defaultRowHeight="12.75"/>
  <cols>
    <col min="1" max="1" width="20.57421875" style="216" customWidth="1"/>
    <col min="2" max="2" width="27.7109375" style="248" customWidth="1"/>
    <col min="3" max="3" width="45.00390625" style="248" customWidth="1"/>
    <col min="4" max="4" width="0.2890625" style="216" hidden="1" customWidth="1"/>
    <col min="5" max="6" width="8.8515625" style="216" hidden="1" customWidth="1"/>
    <col min="7" max="7" width="16.140625" style="216" hidden="1" customWidth="1"/>
    <col min="8" max="8" width="8.8515625" style="216" hidden="1" customWidth="1"/>
    <col min="9" max="9" width="16.8515625" style="216" hidden="1" customWidth="1"/>
    <col min="10" max="10" width="21.140625" style="216" hidden="1" customWidth="1"/>
    <col min="11" max="11" width="18.57421875" style="216" hidden="1" customWidth="1"/>
    <col min="12" max="12" width="17.7109375" style="216" hidden="1" customWidth="1"/>
    <col min="13" max="13" width="19.8515625" style="216" hidden="1" customWidth="1"/>
    <col min="14" max="14" width="21.7109375" style="216" hidden="1" customWidth="1"/>
    <col min="15" max="15" width="17.7109375" style="216" hidden="1" customWidth="1"/>
    <col min="16" max="16" width="12.140625" style="216" hidden="1" customWidth="1"/>
    <col min="17" max="17" width="11.00390625" style="216" hidden="1" customWidth="1"/>
    <col min="18" max="18" width="11.28125" style="216" hidden="1" customWidth="1"/>
    <col min="19" max="19" width="11.57421875" style="216" hidden="1" customWidth="1"/>
    <col min="20" max="20" width="16.28125" style="216" customWidth="1"/>
    <col min="21" max="21" width="14.8515625" style="216" customWidth="1"/>
    <col min="22" max="22" width="15.28125" style="216" customWidth="1"/>
    <col min="23" max="23" width="13.7109375" style="216" bestFit="1" customWidth="1"/>
    <col min="24" max="24" width="16.28125" style="216" customWidth="1"/>
    <col min="25" max="25" width="14.8515625" style="216" customWidth="1"/>
    <col min="26" max="26" width="15.28125" style="216" customWidth="1"/>
    <col min="27" max="27" width="13.7109375" style="216" bestFit="1" customWidth="1"/>
    <col min="28" max="28" width="11.140625" style="216" bestFit="1" customWidth="1"/>
    <col min="29" max="249" width="9.140625" style="216" customWidth="1"/>
    <col min="250" max="250" width="20.57421875" style="216" customWidth="1"/>
    <col min="251" max="251" width="35.421875" style="216" customWidth="1"/>
    <col min="252" max="252" width="41.7109375" style="216" customWidth="1"/>
    <col min="253" max="16384" width="0" style="216" hidden="1" customWidth="1"/>
  </cols>
  <sheetData>
    <row r="1" spans="1:26" ht="15.75">
      <c r="A1" s="213"/>
      <c r="B1" s="214"/>
      <c r="C1" s="214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X1" s="215"/>
      <c r="Y1" s="215"/>
      <c r="Z1" s="215"/>
    </row>
    <row r="2" spans="1:256" ht="18.75">
      <c r="A2" s="80" t="s">
        <v>408</v>
      </c>
      <c r="B2" s="41"/>
      <c r="C2" s="133"/>
      <c r="D2" s="133"/>
      <c r="E2" s="133"/>
      <c r="F2" s="133"/>
      <c r="G2" s="133"/>
      <c r="H2" s="133"/>
      <c r="I2" s="133"/>
      <c r="J2" s="134"/>
      <c r="K2" s="134"/>
      <c r="L2" s="217"/>
      <c r="M2" s="217"/>
      <c r="N2" s="217"/>
      <c r="O2" s="217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7" ht="20.25">
      <c r="A3" s="403" t="s">
        <v>411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4"/>
      <c r="U3" s="404"/>
      <c r="V3" s="404"/>
      <c r="W3" s="338"/>
      <c r="X3" s="338"/>
      <c r="Y3" s="338"/>
      <c r="Z3" s="338"/>
      <c r="AA3" s="338"/>
    </row>
    <row r="4" spans="1:27" ht="15.75">
      <c r="A4" s="213"/>
      <c r="B4" s="214"/>
      <c r="C4" s="214"/>
      <c r="D4" s="218"/>
      <c r="E4" s="218"/>
      <c r="F4" s="218"/>
      <c r="G4" s="218"/>
      <c r="H4" s="218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V4" s="219"/>
      <c r="W4" s="219"/>
      <c r="X4" s="213"/>
      <c r="Z4" s="219"/>
      <c r="AA4" s="219" t="s">
        <v>369</v>
      </c>
    </row>
    <row r="5" spans="1:28" ht="14.25">
      <c r="A5" s="405" t="s">
        <v>370</v>
      </c>
      <c r="B5" s="405" t="s">
        <v>371</v>
      </c>
      <c r="C5" s="405" t="s">
        <v>372</v>
      </c>
      <c r="D5" s="410" t="s">
        <v>373</v>
      </c>
      <c r="E5" s="411"/>
      <c r="F5" s="412"/>
      <c r="G5" s="413" t="s">
        <v>374</v>
      </c>
      <c r="H5" s="414"/>
      <c r="I5" s="415"/>
      <c r="J5" s="413" t="s">
        <v>375</v>
      </c>
      <c r="K5" s="414"/>
      <c r="L5" s="415"/>
      <c r="M5" s="413" t="s">
        <v>376</v>
      </c>
      <c r="N5" s="414"/>
      <c r="O5" s="415"/>
      <c r="P5" s="416" t="s">
        <v>377</v>
      </c>
      <c r="Q5" s="417"/>
      <c r="R5" s="417"/>
      <c r="S5" s="418"/>
      <c r="T5" s="416" t="s">
        <v>406</v>
      </c>
      <c r="U5" s="417"/>
      <c r="V5" s="417"/>
      <c r="W5" s="418"/>
      <c r="X5" s="416" t="s">
        <v>407</v>
      </c>
      <c r="Y5" s="417"/>
      <c r="Z5" s="417"/>
      <c r="AA5" s="418"/>
      <c r="AB5" s="419" t="s">
        <v>58</v>
      </c>
    </row>
    <row r="6" spans="1:28" ht="28.5">
      <c r="A6" s="406"/>
      <c r="B6" s="408"/>
      <c r="C6" s="406"/>
      <c r="D6" s="421" t="s">
        <v>378</v>
      </c>
      <c r="E6" s="421" t="s">
        <v>379</v>
      </c>
      <c r="F6" s="421" t="s">
        <v>380</v>
      </c>
      <c r="G6" s="423" t="s">
        <v>2</v>
      </c>
      <c r="H6" s="413" t="s">
        <v>381</v>
      </c>
      <c r="I6" s="415"/>
      <c r="J6" s="405" t="s">
        <v>2</v>
      </c>
      <c r="K6" s="413" t="s">
        <v>381</v>
      </c>
      <c r="L6" s="415"/>
      <c r="M6" s="405" t="s">
        <v>2</v>
      </c>
      <c r="N6" s="413" t="s">
        <v>381</v>
      </c>
      <c r="O6" s="415"/>
      <c r="P6" s="425" t="s">
        <v>2</v>
      </c>
      <c r="Q6" s="220" t="s">
        <v>381</v>
      </c>
      <c r="R6" s="220"/>
      <c r="S6" s="220"/>
      <c r="T6" s="425" t="s">
        <v>2</v>
      </c>
      <c r="U6" s="416" t="s">
        <v>381</v>
      </c>
      <c r="V6" s="427"/>
      <c r="W6" s="428"/>
      <c r="X6" s="425" t="s">
        <v>2</v>
      </c>
      <c r="Y6" s="416" t="s">
        <v>381</v>
      </c>
      <c r="Z6" s="427"/>
      <c r="AA6" s="428"/>
      <c r="AB6" s="420"/>
    </row>
    <row r="7" spans="1:28" ht="42.75">
      <c r="A7" s="407"/>
      <c r="B7" s="409"/>
      <c r="C7" s="407"/>
      <c r="D7" s="422"/>
      <c r="E7" s="422"/>
      <c r="F7" s="422"/>
      <c r="G7" s="424"/>
      <c r="H7" s="221" t="s">
        <v>382</v>
      </c>
      <c r="I7" s="222" t="s">
        <v>383</v>
      </c>
      <c r="J7" s="409"/>
      <c r="K7" s="223" t="s">
        <v>384</v>
      </c>
      <c r="L7" s="223" t="s">
        <v>385</v>
      </c>
      <c r="M7" s="409"/>
      <c r="N7" s="223" t="s">
        <v>384</v>
      </c>
      <c r="O7" s="223" t="s">
        <v>385</v>
      </c>
      <c r="P7" s="426"/>
      <c r="Q7" s="224" t="s">
        <v>384</v>
      </c>
      <c r="R7" s="224" t="s">
        <v>385</v>
      </c>
      <c r="S7" s="224" t="s">
        <v>386</v>
      </c>
      <c r="T7" s="426"/>
      <c r="U7" s="224" t="s">
        <v>384</v>
      </c>
      <c r="V7" s="224" t="s">
        <v>385</v>
      </c>
      <c r="W7" s="224" t="s">
        <v>386</v>
      </c>
      <c r="X7" s="426"/>
      <c r="Y7" s="224" t="s">
        <v>384</v>
      </c>
      <c r="Z7" s="224" t="s">
        <v>385</v>
      </c>
      <c r="AA7" s="224" t="s">
        <v>386</v>
      </c>
      <c r="AB7" s="420"/>
    </row>
    <row r="8" spans="1:28" ht="123.75">
      <c r="A8" s="429" t="s">
        <v>387</v>
      </c>
      <c r="B8" s="259" t="s">
        <v>388</v>
      </c>
      <c r="C8" s="260" t="s">
        <v>389</v>
      </c>
      <c r="D8" s="225"/>
      <c r="E8" s="225"/>
      <c r="F8" s="225"/>
      <c r="G8" s="226"/>
      <c r="H8" s="225"/>
      <c r="I8" s="226"/>
      <c r="J8" s="227"/>
      <c r="K8" s="227"/>
      <c r="L8" s="227"/>
      <c r="M8" s="227"/>
      <c r="N8" s="227"/>
      <c r="O8" s="227"/>
      <c r="P8" s="227">
        <f>SUM(Q8:S8)</f>
        <v>3015.5</v>
      </c>
      <c r="Q8" s="227"/>
      <c r="R8" s="227">
        <v>3015.5</v>
      </c>
      <c r="S8" s="227"/>
      <c r="T8" s="228">
        <f aca="true" t="shared" si="0" ref="T8:T15">SUM(U8:W8)</f>
        <v>7583.0154</v>
      </c>
      <c r="U8" s="228"/>
      <c r="V8" s="228">
        <v>7581.7</v>
      </c>
      <c r="W8" s="228">
        <v>1.3154</v>
      </c>
      <c r="X8" s="228">
        <f>SUM(Y8:AA8)</f>
        <v>7583.0154</v>
      </c>
      <c r="Y8" s="228"/>
      <c r="Z8" s="228">
        <v>7581.7</v>
      </c>
      <c r="AA8" s="228">
        <v>1.3154</v>
      </c>
      <c r="AB8" s="229">
        <f>X8/T8*100</f>
        <v>100</v>
      </c>
    </row>
    <row r="9" spans="1:256" ht="67.5">
      <c r="A9" s="430"/>
      <c r="B9" s="261" t="s">
        <v>390</v>
      </c>
      <c r="C9" s="261" t="s">
        <v>391</v>
      </c>
      <c r="D9" s="225"/>
      <c r="E9" s="225"/>
      <c r="F9" s="225"/>
      <c r="G9" s="230"/>
      <c r="H9" s="231"/>
      <c r="I9" s="231"/>
      <c r="J9" s="227"/>
      <c r="K9" s="227"/>
      <c r="L9" s="227"/>
      <c r="M9" s="227"/>
      <c r="N9" s="227"/>
      <c r="O9" s="227"/>
      <c r="P9" s="227">
        <f>SUM(Q9:S9)</f>
        <v>-582.5</v>
      </c>
      <c r="Q9" s="227"/>
      <c r="R9" s="227">
        <v>-582.5</v>
      </c>
      <c r="S9" s="227"/>
      <c r="T9" s="228">
        <f t="shared" si="0"/>
        <v>1390</v>
      </c>
      <c r="U9" s="228"/>
      <c r="V9" s="228">
        <v>1390</v>
      </c>
      <c r="W9" s="228"/>
      <c r="X9" s="228">
        <f>SUM(Y9:AA9)</f>
        <v>925.7446</v>
      </c>
      <c r="Y9" s="228"/>
      <c r="Z9" s="228">
        <v>925.7446</v>
      </c>
      <c r="AA9" s="228"/>
      <c r="AB9" s="229">
        <f aca="true" t="shared" si="1" ref="AB9:AB17">X9/T9*100</f>
        <v>66.60033093525179</v>
      </c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  <c r="IV9" s="232"/>
    </row>
    <row r="10" spans="1:256" ht="15.75">
      <c r="A10" s="431" t="s">
        <v>392</v>
      </c>
      <c r="B10" s="432"/>
      <c r="C10" s="433"/>
      <c r="D10" s="233"/>
      <c r="E10" s="233"/>
      <c r="F10" s="233"/>
      <c r="G10" s="234" t="e">
        <f>SUM(#REF!)</f>
        <v>#REF!</v>
      </c>
      <c r="H10" s="233"/>
      <c r="I10" s="234" t="e">
        <f>SUM(#REF!)</f>
        <v>#REF!</v>
      </c>
      <c r="J10" s="235" t="e">
        <f>SUM(#REF!)</f>
        <v>#REF!</v>
      </c>
      <c r="K10" s="235"/>
      <c r="L10" s="235" t="e">
        <f>SUM(#REF!)</f>
        <v>#REF!</v>
      </c>
      <c r="M10" s="235" t="e">
        <f>N10+O10</f>
        <v>#REF!</v>
      </c>
      <c r="N10" s="235" t="e">
        <f>SUM(#REF!)</f>
        <v>#REF!</v>
      </c>
      <c r="O10" s="235" t="e">
        <f>SUM(#REF!)</f>
        <v>#REF!</v>
      </c>
      <c r="P10" s="236">
        <f>SUM(P8:P9)</f>
        <v>2433</v>
      </c>
      <c r="Q10" s="236">
        <f>SUM(Q8:Q9)</f>
        <v>0</v>
      </c>
      <c r="R10" s="236">
        <f>SUM(R8:R9)</f>
        <v>2433</v>
      </c>
      <c r="S10" s="236">
        <f>SUM(S8:S9)</f>
        <v>0</v>
      </c>
      <c r="T10" s="237">
        <f t="shared" si="0"/>
        <v>8973.0154</v>
      </c>
      <c r="U10" s="237">
        <f aca="true" t="shared" si="2" ref="U10:AA10">SUM(U8:U9)</f>
        <v>0</v>
      </c>
      <c r="V10" s="237">
        <f t="shared" si="2"/>
        <v>8971.7</v>
      </c>
      <c r="W10" s="237">
        <f t="shared" si="2"/>
        <v>1.3154</v>
      </c>
      <c r="X10" s="237">
        <f t="shared" si="2"/>
        <v>8508.76</v>
      </c>
      <c r="Y10" s="237">
        <f t="shared" si="2"/>
        <v>0</v>
      </c>
      <c r="Z10" s="237">
        <f t="shared" si="2"/>
        <v>8507.444599999999</v>
      </c>
      <c r="AA10" s="237">
        <f t="shared" si="2"/>
        <v>1.3154</v>
      </c>
      <c r="AB10" s="229">
        <f t="shared" si="1"/>
        <v>94.82609380119865</v>
      </c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38"/>
      <c r="GR10" s="238"/>
      <c r="GS10" s="238"/>
      <c r="GT10" s="238"/>
      <c r="GU10" s="238"/>
      <c r="GV10" s="238"/>
      <c r="GW10" s="238"/>
      <c r="GX10" s="238"/>
      <c r="GY10" s="238"/>
      <c r="GZ10" s="238"/>
      <c r="HA10" s="238"/>
      <c r="HB10" s="238"/>
      <c r="HC10" s="238"/>
      <c r="HD10" s="238"/>
      <c r="HE10" s="238"/>
      <c r="HF10" s="238"/>
      <c r="HG10" s="238"/>
      <c r="HH10" s="238"/>
      <c r="HI10" s="238"/>
      <c r="HJ10" s="238"/>
      <c r="HK10" s="238"/>
      <c r="HL10" s="238"/>
      <c r="HM10" s="238"/>
      <c r="HN10" s="238"/>
      <c r="HO10" s="238"/>
      <c r="HP10" s="238"/>
      <c r="HQ10" s="238"/>
      <c r="HR10" s="238"/>
      <c r="HS10" s="238"/>
      <c r="HT10" s="238"/>
      <c r="HU10" s="238"/>
      <c r="HV10" s="238"/>
      <c r="HW10" s="238"/>
      <c r="HX10" s="238"/>
      <c r="HY10" s="238"/>
      <c r="HZ10" s="238"/>
      <c r="IA10" s="238"/>
      <c r="IB10" s="238"/>
      <c r="IC10" s="238"/>
      <c r="ID10" s="238"/>
      <c r="IE10" s="238"/>
      <c r="IF10" s="238"/>
      <c r="IG10" s="238"/>
      <c r="IH10" s="238"/>
      <c r="II10" s="238"/>
      <c r="IJ10" s="238"/>
      <c r="IK10" s="238"/>
      <c r="IL10" s="238"/>
      <c r="IM10" s="238"/>
      <c r="IN10" s="238"/>
      <c r="IO10" s="238"/>
      <c r="IP10" s="238"/>
      <c r="IQ10" s="238"/>
      <c r="IR10" s="238"/>
      <c r="IS10" s="238"/>
      <c r="IT10" s="238"/>
      <c r="IU10" s="238"/>
      <c r="IV10" s="238"/>
    </row>
    <row r="11" spans="1:28" ht="45">
      <c r="A11" s="434" t="s">
        <v>393</v>
      </c>
      <c r="B11" s="259" t="s">
        <v>394</v>
      </c>
      <c r="C11" s="260" t="s">
        <v>395</v>
      </c>
      <c r="D11" s="225"/>
      <c r="E11" s="225"/>
      <c r="F11" s="225"/>
      <c r="G11" s="226"/>
      <c r="H11" s="225"/>
      <c r="I11" s="226"/>
      <c r="J11" s="227"/>
      <c r="K11" s="227"/>
      <c r="L11" s="227"/>
      <c r="M11" s="227"/>
      <c r="N11" s="227"/>
      <c r="O11" s="227"/>
      <c r="P11" s="227">
        <f>SUM(Q11:S11)</f>
        <v>100</v>
      </c>
      <c r="Q11" s="227">
        <v>0</v>
      </c>
      <c r="R11" s="227">
        <v>0</v>
      </c>
      <c r="S11" s="227">
        <v>100</v>
      </c>
      <c r="T11" s="228">
        <f t="shared" si="0"/>
        <v>748.5029999999999</v>
      </c>
      <c r="U11" s="228">
        <v>239.783</v>
      </c>
      <c r="V11" s="228">
        <v>208.72</v>
      </c>
      <c r="W11" s="228">
        <v>300</v>
      </c>
      <c r="X11" s="228">
        <f>SUM(Y11:AA11)</f>
        <v>748.5029999999999</v>
      </c>
      <c r="Y11" s="228">
        <v>239.783</v>
      </c>
      <c r="Z11" s="228">
        <v>208.72</v>
      </c>
      <c r="AA11" s="228">
        <v>300</v>
      </c>
      <c r="AB11" s="229">
        <f t="shared" si="1"/>
        <v>100</v>
      </c>
    </row>
    <row r="12" spans="1:28" ht="191.25">
      <c r="A12" s="435"/>
      <c r="B12" s="262" t="s">
        <v>396</v>
      </c>
      <c r="C12" s="262" t="s">
        <v>397</v>
      </c>
      <c r="D12" s="225"/>
      <c r="E12" s="225"/>
      <c r="F12" s="225"/>
      <c r="G12" s="226"/>
      <c r="H12" s="225"/>
      <c r="I12" s="226"/>
      <c r="J12" s="227"/>
      <c r="K12" s="227"/>
      <c r="L12" s="227"/>
      <c r="M12" s="227"/>
      <c r="N12" s="227"/>
      <c r="O12" s="227"/>
      <c r="P12" s="227">
        <f>SUM(Q12:S12)</f>
        <v>2232</v>
      </c>
      <c r="Q12" s="227">
        <v>2232</v>
      </c>
      <c r="R12" s="227"/>
      <c r="S12" s="227"/>
      <c r="T12" s="228">
        <f t="shared" si="0"/>
        <v>1177.2</v>
      </c>
      <c r="U12" s="228">
        <v>1177.2</v>
      </c>
      <c r="V12" s="228"/>
      <c r="W12" s="228"/>
      <c r="X12" s="228">
        <f>SUM(Y12:AA12)</f>
        <v>1177.2</v>
      </c>
      <c r="Y12" s="228">
        <v>1177.2</v>
      </c>
      <c r="Z12" s="228"/>
      <c r="AA12" s="228"/>
      <c r="AB12" s="229">
        <f t="shared" si="1"/>
        <v>100</v>
      </c>
    </row>
    <row r="13" spans="1:28" ht="112.5">
      <c r="A13" s="435"/>
      <c r="B13" s="262" t="s">
        <v>398</v>
      </c>
      <c r="C13" s="262" t="s">
        <v>399</v>
      </c>
      <c r="D13" s="225"/>
      <c r="E13" s="225"/>
      <c r="F13" s="225"/>
      <c r="G13" s="226"/>
      <c r="H13" s="225"/>
      <c r="I13" s="226"/>
      <c r="J13" s="227"/>
      <c r="K13" s="227"/>
      <c r="L13" s="227"/>
      <c r="M13" s="227"/>
      <c r="N13" s="227"/>
      <c r="O13" s="227"/>
      <c r="P13" s="227">
        <f>SUM(Q13:S13)</f>
        <v>558</v>
      </c>
      <c r="Q13" s="227">
        <v>558</v>
      </c>
      <c r="R13" s="227"/>
      <c r="S13" s="227"/>
      <c r="T13" s="228">
        <f t="shared" si="0"/>
        <v>1765.8</v>
      </c>
      <c r="U13" s="228">
        <v>1765.8</v>
      </c>
      <c r="V13" s="228"/>
      <c r="W13" s="228"/>
      <c r="X13" s="228">
        <f>SUM(Y13:AA13)</f>
        <v>1765.8</v>
      </c>
      <c r="Y13" s="228">
        <v>1765.8</v>
      </c>
      <c r="Z13" s="228"/>
      <c r="AA13" s="228"/>
      <c r="AB13" s="229">
        <f t="shared" si="1"/>
        <v>100</v>
      </c>
    </row>
    <row r="14" spans="1:28" ht="33.75">
      <c r="A14" s="435"/>
      <c r="B14" s="261" t="s">
        <v>400</v>
      </c>
      <c r="C14" s="261" t="s">
        <v>401</v>
      </c>
      <c r="D14" s="225"/>
      <c r="E14" s="225"/>
      <c r="F14" s="225"/>
      <c r="G14" s="230">
        <v>4032</v>
      </c>
      <c r="H14" s="231"/>
      <c r="I14" s="231">
        <v>4032</v>
      </c>
      <c r="J14" s="227">
        <f>K14+L14</f>
        <v>4225.5</v>
      </c>
      <c r="K14" s="227"/>
      <c r="L14" s="227">
        <v>4225.5</v>
      </c>
      <c r="M14" s="227" t="e">
        <f>N14+O14</f>
        <v>#REF!</v>
      </c>
      <c r="N14" s="227" t="e">
        <f>SUM(#REF!)</f>
        <v>#REF!</v>
      </c>
      <c r="O14" s="227">
        <v>1914.5</v>
      </c>
      <c r="P14" s="227">
        <f>SUM(Q14:S14)</f>
        <v>45</v>
      </c>
      <c r="Q14" s="227">
        <v>0</v>
      </c>
      <c r="R14" s="227">
        <v>0</v>
      </c>
      <c r="S14" s="227">
        <v>45</v>
      </c>
      <c r="T14" s="228">
        <f t="shared" si="0"/>
        <v>95.6</v>
      </c>
      <c r="U14" s="228"/>
      <c r="V14" s="228"/>
      <c r="W14" s="228">
        <v>95.6</v>
      </c>
      <c r="X14" s="228">
        <f>SUM(Y14:AA14)</f>
        <v>95.542</v>
      </c>
      <c r="Y14" s="228"/>
      <c r="Z14" s="228"/>
      <c r="AA14" s="228">
        <v>95.542</v>
      </c>
      <c r="AB14" s="229">
        <f t="shared" si="1"/>
        <v>99.93933054393305</v>
      </c>
    </row>
    <row r="15" spans="1:28" ht="67.5">
      <c r="A15" s="436"/>
      <c r="B15" s="263" t="s">
        <v>402</v>
      </c>
      <c r="C15" s="261" t="s">
        <v>403</v>
      </c>
      <c r="D15" s="225"/>
      <c r="E15" s="225"/>
      <c r="F15" s="225"/>
      <c r="G15" s="230"/>
      <c r="H15" s="231"/>
      <c r="I15" s="231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8">
        <f t="shared" si="0"/>
        <v>4530.617</v>
      </c>
      <c r="U15" s="228">
        <v>2948.098</v>
      </c>
      <c r="V15" s="228">
        <v>1146.482</v>
      </c>
      <c r="W15" s="228">
        <v>436.037</v>
      </c>
      <c r="X15" s="228">
        <f>SUM(Y15:AA15)</f>
        <v>4530.617</v>
      </c>
      <c r="Y15" s="228">
        <v>2948.098</v>
      </c>
      <c r="Z15" s="228">
        <v>1146.482</v>
      </c>
      <c r="AA15" s="228">
        <v>436.037</v>
      </c>
      <c r="AB15" s="229">
        <f t="shared" si="1"/>
        <v>100</v>
      </c>
    </row>
    <row r="16" spans="1:28" ht="15.75">
      <c r="A16" s="437" t="s">
        <v>404</v>
      </c>
      <c r="B16" s="438"/>
      <c r="C16" s="439"/>
      <c r="D16" s="233"/>
      <c r="E16" s="233"/>
      <c r="F16" s="233"/>
      <c r="G16" s="239" t="e">
        <f>#REF!+#REF!</f>
        <v>#REF!</v>
      </c>
      <c r="H16" s="239" t="e">
        <f>#REF!+#REF!</f>
        <v>#REF!</v>
      </c>
      <c r="I16" s="234" t="e">
        <f>#REF!+#REF!</f>
        <v>#REF!</v>
      </c>
      <c r="J16" s="235" t="e">
        <f>#REF!+#REF!</f>
        <v>#REF!</v>
      </c>
      <c r="K16" s="235" t="e">
        <f>#REF!+#REF!</f>
        <v>#REF!</v>
      </c>
      <c r="L16" s="235" t="e">
        <f>#REF!+#REF!</f>
        <v>#REF!</v>
      </c>
      <c r="M16" s="235" t="e">
        <f>#REF!+#REF!</f>
        <v>#REF!</v>
      </c>
      <c r="N16" s="235" t="e">
        <f>#REF!+#REF!</f>
        <v>#REF!</v>
      </c>
      <c r="O16" s="235" t="e">
        <f>#REF!+#REF!</f>
        <v>#REF!</v>
      </c>
      <c r="P16" s="236">
        <f>SUM(P11:P14)</f>
        <v>2935</v>
      </c>
      <c r="Q16" s="236">
        <f>SUM(Q11:Q14)</f>
        <v>2790</v>
      </c>
      <c r="R16" s="236">
        <f>SUM(R11:R14)</f>
        <v>0</v>
      </c>
      <c r="S16" s="236">
        <f>SUM(S11:S14)</f>
        <v>145</v>
      </c>
      <c r="T16" s="240">
        <f aca="true" t="shared" si="3" ref="T16:AA16">SUM(T11:T15)</f>
        <v>8317.72</v>
      </c>
      <c r="U16" s="240">
        <f t="shared" si="3"/>
        <v>6130.880999999999</v>
      </c>
      <c r="V16" s="240">
        <f t="shared" si="3"/>
        <v>1355.202</v>
      </c>
      <c r="W16" s="240">
        <f t="shared" si="3"/>
        <v>831.637</v>
      </c>
      <c r="X16" s="240">
        <f t="shared" si="3"/>
        <v>8317.662</v>
      </c>
      <c r="Y16" s="240">
        <f t="shared" si="3"/>
        <v>6130.880999999999</v>
      </c>
      <c r="Z16" s="240">
        <f t="shared" si="3"/>
        <v>1355.202</v>
      </c>
      <c r="AA16" s="240">
        <f t="shared" si="3"/>
        <v>831.579</v>
      </c>
      <c r="AB16" s="229">
        <f t="shared" si="1"/>
        <v>99.9993026935266</v>
      </c>
    </row>
    <row r="17" spans="1:256" ht="15.75">
      <c r="A17" s="440" t="s">
        <v>405</v>
      </c>
      <c r="B17" s="441"/>
      <c r="C17" s="442"/>
      <c r="D17" s="241"/>
      <c r="E17" s="241"/>
      <c r="F17" s="241"/>
      <c r="G17" s="241"/>
      <c r="H17" s="241"/>
      <c r="I17" s="241"/>
      <c r="J17" s="242"/>
      <c r="K17" s="242"/>
      <c r="L17" s="242"/>
      <c r="M17" s="242"/>
      <c r="N17" s="242"/>
      <c r="O17" s="242"/>
      <c r="P17" s="242" t="e">
        <f>P10+P16+#REF!</f>
        <v>#REF!</v>
      </c>
      <c r="Q17" s="242" t="e">
        <f>Q10+Q16+#REF!</f>
        <v>#REF!</v>
      </c>
      <c r="R17" s="242" t="e">
        <f>R10+R16+#REF!</f>
        <v>#REF!</v>
      </c>
      <c r="S17" s="242" t="e">
        <f>S10+S16+#REF!</f>
        <v>#REF!</v>
      </c>
      <c r="T17" s="264">
        <f aca="true" t="shared" si="4" ref="T17:AA17">T10+T16</f>
        <v>17290.735399999998</v>
      </c>
      <c r="U17" s="264">
        <f t="shared" si="4"/>
        <v>6130.880999999999</v>
      </c>
      <c r="V17" s="264">
        <f t="shared" si="4"/>
        <v>10326.902</v>
      </c>
      <c r="W17" s="264">
        <f t="shared" si="4"/>
        <v>832.9523999999999</v>
      </c>
      <c r="X17" s="243">
        <f t="shared" si="4"/>
        <v>16826.422</v>
      </c>
      <c r="Y17" s="243">
        <f t="shared" si="4"/>
        <v>6130.880999999999</v>
      </c>
      <c r="Z17" s="243">
        <f t="shared" si="4"/>
        <v>9862.646599999998</v>
      </c>
      <c r="AA17" s="243">
        <f t="shared" si="4"/>
        <v>832.8943999999999</v>
      </c>
      <c r="AB17" s="229">
        <f t="shared" si="1"/>
        <v>97.31466945009176</v>
      </c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244"/>
      <c r="DU17" s="244"/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244"/>
      <c r="EO17" s="244"/>
      <c r="EP17" s="244"/>
      <c r="EQ17" s="244"/>
      <c r="ER17" s="244"/>
      <c r="ES17" s="244"/>
      <c r="ET17" s="244"/>
      <c r="EU17" s="244"/>
      <c r="EV17" s="244"/>
      <c r="EW17" s="244"/>
      <c r="EX17" s="244"/>
      <c r="EY17" s="244"/>
      <c r="EZ17" s="244"/>
      <c r="FA17" s="244"/>
      <c r="FB17" s="244"/>
      <c r="FC17" s="244"/>
      <c r="FD17" s="244"/>
      <c r="FE17" s="244"/>
      <c r="FF17" s="244"/>
      <c r="FG17" s="244"/>
      <c r="FH17" s="244"/>
      <c r="FI17" s="244"/>
      <c r="FJ17" s="244"/>
      <c r="FK17" s="244"/>
      <c r="FL17" s="244"/>
      <c r="FM17" s="244"/>
      <c r="FN17" s="244"/>
      <c r="FO17" s="244"/>
      <c r="FP17" s="244"/>
      <c r="FQ17" s="244"/>
      <c r="FR17" s="244"/>
      <c r="FS17" s="244"/>
      <c r="FT17" s="244"/>
      <c r="FU17" s="244"/>
      <c r="FV17" s="244"/>
      <c r="FW17" s="244"/>
      <c r="FX17" s="244"/>
      <c r="FY17" s="244"/>
      <c r="FZ17" s="244"/>
      <c r="GA17" s="244"/>
      <c r="GB17" s="244"/>
      <c r="GC17" s="244"/>
      <c r="GD17" s="244"/>
      <c r="GE17" s="244"/>
      <c r="GF17" s="244"/>
      <c r="GG17" s="244"/>
      <c r="GH17" s="244"/>
      <c r="GI17" s="244"/>
      <c r="GJ17" s="244"/>
      <c r="GK17" s="244"/>
      <c r="GL17" s="244"/>
      <c r="GM17" s="244"/>
      <c r="GN17" s="244"/>
      <c r="GO17" s="244"/>
      <c r="GP17" s="244"/>
      <c r="GQ17" s="244"/>
      <c r="GR17" s="244"/>
      <c r="GS17" s="244"/>
      <c r="GT17" s="244"/>
      <c r="GU17" s="244"/>
      <c r="GV17" s="244"/>
      <c r="GW17" s="244"/>
      <c r="GX17" s="244"/>
      <c r="GY17" s="244"/>
      <c r="GZ17" s="244"/>
      <c r="HA17" s="244"/>
      <c r="HB17" s="244"/>
      <c r="HC17" s="244"/>
      <c r="HD17" s="244"/>
      <c r="HE17" s="244"/>
      <c r="HF17" s="244"/>
      <c r="HG17" s="244"/>
      <c r="HH17" s="244"/>
      <c r="HI17" s="244"/>
      <c r="HJ17" s="244"/>
      <c r="HK17" s="244"/>
      <c r="HL17" s="244"/>
      <c r="HM17" s="244"/>
      <c r="HN17" s="244"/>
      <c r="HO17" s="244"/>
      <c r="HP17" s="244"/>
      <c r="HQ17" s="244"/>
      <c r="HR17" s="244"/>
      <c r="HS17" s="244"/>
      <c r="HT17" s="244"/>
      <c r="HU17" s="244"/>
      <c r="HV17" s="244"/>
      <c r="HW17" s="244"/>
      <c r="HX17" s="244"/>
      <c r="HY17" s="244"/>
      <c r="HZ17" s="244"/>
      <c r="IA17" s="244"/>
      <c r="IB17" s="244"/>
      <c r="IC17" s="244"/>
      <c r="ID17" s="244"/>
      <c r="IE17" s="244"/>
      <c r="IF17" s="244"/>
      <c r="IG17" s="244"/>
      <c r="IH17" s="244"/>
      <c r="II17" s="244"/>
      <c r="IJ17" s="244"/>
      <c r="IK17" s="244"/>
      <c r="IL17" s="244"/>
      <c r="IM17" s="244"/>
      <c r="IN17" s="244"/>
      <c r="IO17" s="244"/>
      <c r="IP17" s="244"/>
      <c r="IQ17" s="244"/>
      <c r="IR17" s="244"/>
      <c r="IS17" s="244"/>
      <c r="IT17" s="244"/>
      <c r="IU17" s="244"/>
      <c r="IV17" s="244"/>
    </row>
    <row r="18" spans="1:26" ht="12.75">
      <c r="A18" s="245"/>
      <c r="B18" s="246"/>
      <c r="C18" s="246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X18" s="247"/>
      <c r="Y18" s="247"/>
      <c r="Z18" s="247"/>
    </row>
    <row r="19" spans="1:26" ht="12.75">
      <c r="A19" s="245"/>
      <c r="B19" s="246"/>
      <c r="C19" s="246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X19" s="247"/>
      <c r="Y19" s="247"/>
      <c r="Z19" s="247"/>
    </row>
    <row r="20" spans="1:26" ht="12.75">
      <c r="A20" s="245"/>
      <c r="B20" s="246"/>
      <c r="C20" s="246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X20" s="247"/>
      <c r="Y20" s="247"/>
      <c r="Z20" s="247"/>
    </row>
    <row r="21" spans="3:26" ht="12.75">
      <c r="C21" s="246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X21" s="247"/>
      <c r="Y21" s="247"/>
      <c r="Z21" s="247"/>
    </row>
    <row r="22" spans="3:26" ht="12.75">
      <c r="C22" s="246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X22" s="247"/>
      <c r="Y22" s="247"/>
      <c r="Z22" s="247"/>
    </row>
    <row r="23" spans="3:26" ht="12.75">
      <c r="C23" s="246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X23" s="247"/>
      <c r="Y23" s="247"/>
      <c r="Z23" s="247"/>
    </row>
    <row r="24" spans="10:26" ht="12.75"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X24" s="247"/>
      <c r="Y24" s="247"/>
      <c r="Z24" s="247"/>
    </row>
    <row r="25" spans="10:26" ht="12.75"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X25" s="247"/>
      <c r="Y25" s="247"/>
      <c r="Z25" s="247"/>
    </row>
    <row r="26" spans="10:26" ht="12.75"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X26" s="247"/>
      <c r="Y26" s="247"/>
      <c r="Z26" s="247"/>
    </row>
    <row r="27" spans="10:26" ht="12.75"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X27" s="247"/>
      <c r="Y27" s="247"/>
      <c r="Z27" s="247"/>
    </row>
    <row r="28" spans="10:26" ht="12.75"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X28" s="247"/>
      <c r="Y28" s="247"/>
      <c r="Z28" s="247"/>
    </row>
    <row r="29" spans="10:26" ht="12.75"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X29" s="247"/>
      <c r="Y29" s="247"/>
      <c r="Z29" s="247"/>
    </row>
    <row r="30" spans="10:26" ht="12.75"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X30" s="247"/>
      <c r="Y30" s="247"/>
      <c r="Z30" s="247"/>
    </row>
    <row r="31" spans="10:26" ht="12.75"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X31" s="247"/>
      <c r="Y31" s="247"/>
      <c r="Z31" s="247"/>
    </row>
    <row r="32" spans="2:26" ht="15">
      <c r="B32" s="443"/>
      <c r="C32" s="444"/>
      <c r="D32" s="444"/>
      <c r="E32" s="444"/>
      <c r="F32" s="445"/>
      <c r="G32" s="445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X32" s="247"/>
      <c r="Y32" s="247"/>
      <c r="Z32" s="247"/>
    </row>
    <row r="33" spans="10:26" ht="12.75"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X33" s="247"/>
      <c r="Y33" s="247"/>
      <c r="Z33" s="247"/>
    </row>
    <row r="34" spans="10:26" ht="12.75"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X34" s="247"/>
      <c r="Y34" s="247"/>
      <c r="Z34" s="247"/>
    </row>
  </sheetData>
  <sheetProtection/>
  <mergeCells count="32">
    <mergeCell ref="A8:A9"/>
    <mergeCell ref="A10:C10"/>
    <mergeCell ref="A11:A15"/>
    <mergeCell ref="A16:C16"/>
    <mergeCell ref="A17:C17"/>
    <mergeCell ref="B32:G32"/>
    <mergeCell ref="N6:O6"/>
    <mergeCell ref="P6:P7"/>
    <mergeCell ref="T6:T7"/>
    <mergeCell ref="U6:W6"/>
    <mergeCell ref="X6:X7"/>
    <mergeCell ref="Y6:AA6"/>
    <mergeCell ref="X5:AA5"/>
    <mergeCell ref="AB5:AB7"/>
    <mergeCell ref="D6:D7"/>
    <mergeCell ref="E6:E7"/>
    <mergeCell ref="F6:F7"/>
    <mergeCell ref="G6:G7"/>
    <mergeCell ref="H6:I6"/>
    <mergeCell ref="J6:J7"/>
    <mergeCell ref="K6:L6"/>
    <mergeCell ref="M6:M7"/>
    <mergeCell ref="A3:AA3"/>
    <mergeCell ref="A5:A7"/>
    <mergeCell ref="B5:B7"/>
    <mergeCell ref="C5:C7"/>
    <mergeCell ref="D5:F5"/>
    <mergeCell ref="G5:I5"/>
    <mergeCell ref="J5:L5"/>
    <mergeCell ref="M5:O5"/>
    <mergeCell ref="P5:S5"/>
    <mergeCell ref="T5:W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1"/>
  <sheetViews>
    <sheetView view="pageBreakPreview" zoomScale="83" zoomScaleSheetLayoutView="83" zoomScalePageLayoutView="0" workbookViewId="0" topLeftCell="F7">
      <selection activeCell="I20" sqref="I20"/>
    </sheetView>
  </sheetViews>
  <sheetFormatPr defaultColWidth="9.140625" defaultRowHeight="12.75"/>
  <cols>
    <col min="1" max="1" width="5.8515625" style="7" hidden="1" customWidth="1"/>
    <col min="2" max="2" width="10.28125" style="7" hidden="1" customWidth="1"/>
    <col min="3" max="3" width="0" style="7" hidden="1" customWidth="1"/>
    <col min="4" max="4" width="6.421875" style="7" hidden="1" customWidth="1"/>
    <col min="5" max="5" width="7.00390625" style="304" hidden="1" customWidth="1"/>
    <col min="6" max="6" width="32.57421875" style="297" customWidth="1"/>
    <col min="7" max="7" width="13.57421875" style="7" customWidth="1"/>
    <col min="8" max="8" width="12.421875" style="7" bestFit="1" customWidth="1"/>
    <col min="9" max="9" width="13.7109375" style="7" customWidth="1"/>
    <col min="10" max="10" width="12.28125" style="7" bestFit="1" customWidth="1"/>
    <col min="11" max="11" width="14.7109375" style="7" customWidth="1"/>
    <col min="12" max="13" width="12.421875" style="7" bestFit="1" customWidth="1"/>
    <col min="14" max="14" width="12.28125" style="7" bestFit="1" customWidth="1"/>
    <col min="15" max="16384" width="9.140625" style="7" customWidth="1"/>
  </cols>
  <sheetData>
    <row r="1" spans="1:256" s="284" customFormat="1" ht="18.75">
      <c r="A1" s="80" t="s">
        <v>128</v>
      </c>
      <c r="B1" s="41"/>
      <c r="C1" s="133"/>
      <c r="D1" s="133"/>
      <c r="E1" s="133"/>
      <c r="F1" s="133" t="s">
        <v>368</v>
      </c>
      <c r="G1" s="133"/>
      <c r="H1" s="133"/>
      <c r="I1" s="133"/>
      <c r="J1" s="134"/>
      <c r="K1" s="134"/>
      <c r="L1" s="249"/>
      <c r="M1" s="249"/>
      <c r="N1" s="249"/>
      <c r="O1" s="24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14" ht="25.5" customHeight="1">
      <c r="A2" s="371" t="s">
        <v>260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4" ht="25.5" customHeight="1">
      <c r="A3" s="372" t="s">
        <v>261</v>
      </c>
      <c r="B3" s="372"/>
      <c r="C3" s="372"/>
      <c r="D3" s="372"/>
      <c r="E3" s="373" t="s">
        <v>262</v>
      </c>
      <c r="F3" s="374" t="s">
        <v>1</v>
      </c>
      <c r="G3" s="372" t="s">
        <v>45</v>
      </c>
      <c r="H3" s="372"/>
      <c r="I3" s="372"/>
      <c r="J3" s="372"/>
      <c r="K3" s="375" t="s">
        <v>263</v>
      </c>
      <c r="L3" s="375"/>
      <c r="M3" s="375"/>
      <c r="N3" s="375"/>
    </row>
    <row r="4" spans="1:14" ht="75.75" customHeight="1">
      <c r="A4" s="372"/>
      <c r="B4" s="372"/>
      <c r="C4" s="372"/>
      <c r="D4" s="372"/>
      <c r="E4" s="373"/>
      <c r="F4" s="374"/>
      <c r="G4" s="250" t="s">
        <v>264</v>
      </c>
      <c r="H4" s="250" t="s">
        <v>265</v>
      </c>
      <c r="I4" s="250" t="s">
        <v>266</v>
      </c>
      <c r="J4" s="250" t="s">
        <v>267</v>
      </c>
      <c r="K4" s="250" t="s">
        <v>264</v>
      </c>
      <c r="L4" s="250" t="s">
        <v>265</v>
      </c>
      <c r="M4" s="250" t="s">
        <v>266</v>
      </c>
      <c r="N4" s="250" t="s">
        <v>267</v>
      </c>
    </row>
    <row r="5" spans="1:14" ht="42.75" customHeight="1">
      <c r="A5" s="372" t="s">
        <v>268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</row>
    <row r="6" spans="1:14" ht="25.5">
      <c r="A6" s="278"/>
      <c r="B6" s="278" t="s">
        <v>269</v>
      </c>
      <c r="C6" s="278" t="s">
        <v>270</v>
      </c>
      <c r="D6" s="278" t="s">
        <v>271</v>
      </c>
      <c r="E6" s="321" t="s">
        <v>272</v>
      </c>
      <c r="F6" s="253" t="s">
        <v>273</v>
      </c>
      <c r="G6" s="200">
        <f>SUM(H6:J6)</f>
        <v>856.46</v>
      </c>
      <c r="H6" s="200">
        <v>456.46</v>
      </c>
      <c r="I6" s="200">
        <v>200</v>
      </c>
      <c r="J6" s="200">
        <v>200</v>
      </c>
      <c r="K6" s="251">
        <f>SUM(L6:N6)</f>
        <v>856.46</v>
      </c>
      <c r="L6" s="251">
        <v>456.46</v>
      </c>
      <c r="M6" s="251">
        <v>200</v>
      </c>
      <c r="N6" s="251">
        <v>200</v>
      </c>
    </row>
    <row r="7" spans="1:14" ht="25.5">
      <c r="A7" s="278" t="s">
        <v>256</v>
      </c>
      <c r="B7" s="278" t="s">
        <v>269</v>
      </c>
      <c r="C7" s="278" t="s">
        <v>270</v>
      </c>
      <c r="D7" s="278" t="s">
        <v>271</v>
      </c>
      <c r="E7" s="321" t="s">
        <v>272</v>
      </c>
      <c r="F7" s="285" t="s">
        <v>274</v>
      </c>
      <c r="G7" s="200">
        <f aca="true" t="shared" si="0" ref="G7:G16">SUM(H7:J7)</f>
        <v>3706</v>
      </c>
      <c r="H7" s="200">
        <v>1486</v>
      </c>
      <c r="I7" s="200">
        <v>1110</v>
      </c>
      <c r="J7" s="200">
        <v>1110</v>
      </c>
      <c r="K7" s="251">
        <f aca="true" t="shared" si="1" ref="K7:K16">SUM(L7:N7)</f>
        <v>3706</v>
      </c>
      <c r="L7" s="251">
        <v>1486</v>
      </c>
      <c r="M7" s="251">
        <v>1110</v>
      </c>
      <c r="N7" s="251">
        <v>1110</v>
      </c>
    </row>
    <row r="8" spans="1:14" ht="12.75">
      <c r="A8" s="278" t="s">
        <v>255</v>
      </c>
      <c r="B8" s="278" t="s">
        <v>275</v>
      </c>
      <c r="C8" s="278" t="s">
        <v>270</v>
      </c>
      <c r="D8" s="278" t="s">
        <v>271</v>
      </c>
      <c r="E8" s="321" t="s">
        <v>276</v>
      </c>
      <c r="F8" s="285" t="s">
        <v>277</v>
      </c>
      <c r="G8" s="200">
        <f t="shared" si="0"/>
        <v>178.59</v>
      </c>
      <c r="H8" s="200">
        <v>176.79</v>
      </c>
      <c r="I8" s="200"/>
      <c r="J8" s="200">
        <v>1.8</v>
      </c>
      <c r="K8" s="251">
        <f t="shared" si="1"/>
        <v>178.59</v>
      </c>
      <c r="L8" s="251">
        <v>176.79</v>
      </c>
      <c r="M8" s="251"/>
      <c r="N8" s="251">
        <v>1.8</v>
      </c>
    </row>
    <row r="9" spans="1:14" ht="25.5">
      <c r="A9" s="278" t="s">
        <v>256</v>
      </c>
      <c r="B9" s="278" t="s">
        <v>269</v>
      </c>
      <c r="C9" s="278" t="s">
        <v>270</v>
      </c>
      <c r="D9" s="278" t="s">
        <v>271</v>
      </c>
      <c r="E9" s="321" t="s">
        <v>272</v>
      </c>
      <c r="F9" s="253" t="s">
        <v>278</v>
      </c>
      <c r="G9" s="200">
        <f t="shared" si="0"/>
        <v>520</v>
      </c>
      <c r="H9" s="200">
        <v>320</v>
      </c>
      <c r="I9" s="200">
        <v>100</v>
      </c>
      <c r="J9" s="200">
        <v>100</v>
      </c>
      <c r="K9" s="251">
        <f t="shared" si="1"/>
        <v>520</v>
      </c>
      <c r="L9" s="251">
        <v>320</v>
      </c>
      <c r="M9" s="251">
        <v>100</v>
      </c>
      <c r="N9" s="251">
        <v>100</v>
      </c>
    </row>
    <row r="10" spans="1:14" ht="25.5">
      <c r="A10" s="278" t="s">
        <v>256</v>
      </c>
      <c r="B10" s="278" t="s">
        <v>269</v>
      </c>
      <c r="C10" s="278" t="s">
        <v>270</v>
      </c>
      <c r="D10" s="278" t="s">
        <v>271</v>
      </c>
      <c r="E10" s="321" t="s">
        <v>272</v>
      </c>
      <c r="F10" s="253" t="s">
        <v>279</v>
      </c>
      <c r="G10" s="200">
        <f t="shared" si="0"/>
        <v>164.13</v>
      </c>
      <c r="H10" s="200">
        <v>104.13</v>
      </c>
      <c r="I10" s="200">
        <v>30</v>
      </c>
      <c r="J10" s="200">
        <v>30</v>
      </c>
      <c r="K10" s="251">
        <f t="shared" si="1"/>
        <v>164.13</v>
      </c>
      <c r="L10" s="251">
        <v>104.13</v>
      </c>
      <c r="M10" s="251">
        <v>30</v>
      </c>
      <c r="N10" s="251">
        <v>30</v>
      </c>
    </row>
    <row r="11" spans="1:14" ht="25.5">
      <c r="A11" s="278" t="s">
        <v>255</v>
      </c>
      <c r="B11" s="278" t="s">
        <v>269</v>
      </c>
      <c r="C11" s="278" t="s">
        <v>270</v>
      </c>
      <c r="D11" s="278" t="s">
        <v>271</v>
      </c>
      <c r="E11" s="321" t="s">
        <v>272</v>
      </c>
      <c r="F11" s="253" t="s">
        <v>280</v>
      </c>
      <c r="G11" s="200">
        <f t="shared" si="0"/>
        <v>750</v>
      </c>
      <c r="H11" s="200">
        <v>450</v>
      </c>
      <c r="I11" s="200">
        <v>150</v>
      </c>
      <c r="J11" s="200">
        <v>150</v>
      </c>
      <c r="K11" s="251">
        <f t="shared" si="1"/>
        <v>750</v>
      </c>
      <c r="L11" s="251">
        <v>450</v>
      </c>
      <c r="M11" s="251">
        <v>150</v>
      </c>
      <c r="N11" s="251">
        <v>150</v>
      </c>
    </row>
    <row r="12" spans="1:14" ht="25.5">
      <c r="A12" s="278" t="s">
        <v>256</v>
      </c>
      <c r="B12" s="278" t="s">
        <v>275</v>
      </c>
      <c r="C12" s="278" t="s">
        <v>270</v>
      </c>
      <c r="D12" s="278" t="s">
        <v>271</v>
      </c>
      <c r="E12" s="321" t="s">
        <v>276</v>
      </c>
      <c r="F12" s="285" t="s">
        <v>281</v>
      </c>
      <c r="G12" s="200">
        <f t="shared" si="0"/>
        <v>1120.47</v>
      </c>
      <c r="H12" s="200">
        <v>1109.47</v>
      </c>
      <c r="I12" s="200">
        <v>0</v>
      </c>
      <c r="J12" s="200">
        <v>11</v>
      </c>
      <c r="K12" s="251">
        <f t="shared" si="1"/>
        <v>1120.47</v>
      </c>
      <c r="L12" s="251">
        <v>1109.47</v>
      </c>
      <c r="M12" s="251"/>
      <c r="N12" s="251">
        <v>11</v>
      </c>
    </row>
    <row r="13" spans="1:14" ht="25.5">
      <c r="A13" s="278" t="s">
        <v>255</v>
      </c>
      <c r="B13" s="278" t="s">
        <v>275</v>
      </c>
      <c r="C13" s="278" t="s">
        <v>270</v>
      </c>
      <c r="D13" s="278" t="s">
        <v>271</v>
      </c>
      <c r="E13" s="321" t="s">
        <v>276</v>
      </c>
      <c r="F13" s="285" t="s">
        <v>282</v>
      </c>
      <c r="G13" s="200">
        <f t="shared" si="0"/>
        <v>324.45</v>
      </c>
      <c r="H13" s="200">
        <v>321.15</v>
      </c>
      <c r="I13" s="200">
        <v>0</v>
      </c>
      <c r="J13" s="200">
        <v>3.3</v>
      </c>
      <c r="K13" s="251">
        <f t="shared" si="1"/>
        <v>324.45</v>
      </c>
      <c r="L13" s="251">
        <v>321.15</v>
      </c>
      <c r="M13" s="251"/>
      <c r="N13" s="251">
        <v>3.3</v>
      </c>
    </row>
    <row r="14" spans="1:14" ht="25.5">
      <c r="A14" s="278" t="s">
        <v>255</v>
      </c>
      <c r="B14" s="278" t="s">
        <v>275</v>
      </c>
      <c r="C14" s="278" t="s">
        <v>270</v>
      </c>
      <c r="D14" s="278" t="s">
        <v>271</v>
      </c>
      <c r="E14" s="321" t="s">
        <v>276</v>
      </c>
      <c r="F14" s="285" t="s">
        <v>283</v>
      </c>
      <c r="G14" s="200">
        <f t="shared" si="0"/>
        <v>400</v>
      </c>
      <c r="H14" s="200">
        <v>396</v>
      </c>
      <c r="I14" s="200"/>
      <c r="J14" s="200">
        <v>4</v>
      </c>
      <c r="K14" s="251">
        <f t="shared" si="1"/>
        <v>400</v>
      </c>
      <c r="L14" s="251">
        <v>396</v>
      </c>
      <c r="M14" s="251"/>
      <c r="N14" s="251">
        <v>4</v>
      </c>
    </row>
    <row r="15" spans="1:14" ht="12.75">
      <c r="A15" s="278" t="s">
        <v>255</v>
      </c>
      <c r="B15" s="278" t="s">
        <v>284</v>
      </c>
      <c r="C15" s="278" t="s">
        <v>285</v>
      </c>
      <c r="D15" s="278" t="s">
        <v>286</v>
      </c>
      <c r="E15" s="376" t="s">
        <v>287</v>
      </c>
      <c r="F15" s="378" t="s">
        <v>288</v>
      </c>
      <c r="G15" s="200">
        <f t="shared" si="0"/>
        <v>2490</v>
      </c>
      <c r="H15" s="200"/>
      <c r="I15" s="200">
        <v>1250</v>
      </c>
      <c r="J15" s="200">
        <v>1240</v>
      </c>
      <c r="K15" s="251">
        <f t="shared" si="1"/>
        <v>2490</v>
      </c>
      <c r="L15" s="251"/>
      <c r="M15" s="251">
        <v>1250</v>
      </c>
      <c r="N15" s="251">
        <v>1240</v>
      </c>
    </row>
    <row r="16" spans="1:14" ht="12.75">
      <c r="A16" s="278" t="s">
        <v>255</v>
      </c>
      <c r="B16" s="278" t="s">
        <v>275</v>
      </c>
      <c r="C16" s="278" t="s">
        <v>285</v>
      </c>
      <c r="D16" s="278" t="s">
        <v>286</v>
      </c>
      <c r="E16" s="377"/>
      <c r="F16" s="379"/>
      <c r="G16" s="200">
        <f t="shared" si="0"/>
        <v>3720</v>
      </c>
      <c r="H16" s="200">
        <f>3000+720</f>
        <v>3720</v>
      </c>
      <c r="I16" s="200"/>
      <c r="J16" s="200"/>
      <c r="K16" s="251">
        <f t="shared" si="1"/>
        <v>3720</v>
      </c>
      <c r="L16" s="251">
        <v>3720</v>
      </c>
      <c r="M16" s="251"/>
      <c r="N16" s="251"/>
    </row>
    <row r="17" spans="1:14" ht="12.75">
      <c r="A17" s="286"/>
      <c r="B17" s="286"/>
      <c r="C17" s="286"/>
      <c r="D17" s="286"/>
      <c r="E17" s="212"/>
      <c r="F17" s="255" t="s">
        <v>2</v>
      </c>
      <c r="G17" s="252">
        <f>SUM(G6:G16)</f>
        <v>14230.1</v>
      </c>
      <c r="H17" s="252">
        <f>SUM(H6:H16)</f>
        <v>8540</v>
      </c>
      <c r="I17" s="252">
        <f aca="true" t="shared" si="2" ref="I17:N17">SUM(I6:I16)</f>
        <v>2840</v>
      </c>
      <c r="J17" s="252">
        <f t="shared" si="2"/>
        <v>2850.1</v>
      </c>
      <c r="K17" s="252">
        <f t="shared" si="2"/>
        <v>14230.1</v>
      </c>
      <c r="L17" s="252">
        <f t="shared" si="2"/>
        <v>8540</v>
      </c>
      <c r="M17" s="252">
        <f t="shared" si="2"/>
        <v>2840</v>
      </c>
      <c r="N17" s="252">
        <f t="shared" si="2"/>
        <v>2850.1</v>
      </c>
    </row>
    <row r="18" spans="1:14" s="199" customFormat="1" ht="12.75">
      <c r="A18" s="201"/>
      <c r="B18" s="201"/>
      <c r="C18" s="201"/>
      <c r="D18" s="201"/>
      <c r="E18" s="201"/>
      <c r="F18" s="202"/>
      <c r="G18" s="201"/>
      <c r="H18" s="287"/>
      <c r="I18" s="287"/>
      <c r="J18" s="287"/>
      <c r="K18" s="201"/>
      <c r="L18" s="201"/>
      <c r="M18" s="201"/>
      <c r="N18" s="201"/>
    </row>
    <row r="19" spans="1:14" ht="12.75" customHeight="1">
      <c r="A19" s="380" t="s">
        <v>289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2"/>
    </row>
    <row r="20" spans="1:14" ht="38.25">
      <c r="A20" s="254"/>
      <c r="B20" s="254"/>
      <c r="C20" s="254"/>
      <c r="D20" s="254"/>
      <c r="E20" s="212"/>
      <c r="F20" s="204" t="s">
        <v>297</v>
      </c>
      <c r="G20" s="200">
        <f>SUM(H20:J20)</f>
        <v>6075.92</v>
      </c>
      <c r="H20" s="288"/>
      <c r="I20" s="288">
        <f>4500+1500</f>
        <v>6000</v>
      </c>
      <c r="J20" s="200">
        <v>75.92</v>
      </c>
      <c r="K20" s="251">
        <f>SUM(L20:N20)</f>
        <v>6075.92</v>
      </c>
      <c r="L20" s="251"/>
      <c r="M20" s="251">
        <v>6000</v>
      </c>
      <c r="N20" s="251">
        <v>75.92</v>
      </c>
    </row>
    <row r="21" spans="1:14" s="290" customFormat="1" ht="12.75">
      <c r="A21" s="289"/>
      <c r="B21" s="289"/>
      <c r="C21" s="289"/>
      <c r="D21" s="289"/>
      <c r="E21" s="212"/>
      <c r="F21" s="255" t="s">
        <v>2</v>
      </c>
      <c r="G21" s="252">
        <f aca="true" t="shared" si="3" ref="G21:N21">SUM(G20:G20)</f>
        <v>6075.92</v>
      </c>
      <c r="H21" s="252">
        <f t="shared" si="3"/>
        <v>0</v>
      </c>
      <c r="I21" s="252">
        <f t="shared" si="3"/>
        <v>6000</v>
      </c>
      <c r="J21" s="252">
        <f t="shared" si="3"/>
        <v>75.92</v>
      </c>
      <c r="K21" s="252">
        <f t="shared" si="3"/>
        <v>6075.92</v>
      </c>
      <c r="L21" s="252">
        <f t="shared" si="3"/>
        <v>0</v>
      </c>
      <c r="M21" s="252">
        <f t="shared" si="3"/>
        <v>6000</v>
      </c>
      <c r="N21" s="252">
        <f t="shared" si="3"/>
        <v>75.92</v>
      </c>
    </row>
    <row r="22" spans="1:14" s="199" customFormat="1" ht="12.75">
      <c r="A22" s="201"/>
      <c r="B22" s="201"/>
      <c r="C22" s="201"/>
      <c r="D22" s="201"/>
      <c r="E22" s="201"/>
      <c r="F22" s="202"/>
      <c r="G22" s="201"/>
      <c r="H22" s="203"/>
      <c r="I22" s="201"/>
      <c r="J22" s="201"/>
      <c r="K22" s="201"/>
      <c r="L22" s="201"/>
      <c r="M22" s="201"/>
      <c r="N22" s="201"/>
    </row>
    <row r="23" spans="1:14" ht="22.5" customHeight="1">
      <c r="A23" s="380" t="s">
        <v>298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2"/>
    </row>
    <row r="24" spans="1:14" ht="25.5">
      <c r="A24" s="285" t="s">
        <v>256</v>
      </c>
      <c r="B24" s="285" t="s">
        <v>299</v>
      </c>
      <c r="C24" s="285" t="s">
        <v>270</v>
      </c>
      <c r="D24" s="285" t="s">
        <v>271</v>
      </c>
      <c r="E24" s="291"/>
      <c r="F24" s="204" t="s">
        <v>300</v>
      </c>
      <c r="G24" s="253">
        <f aca="true" t="shared" si="4" ref="G24:G29">SUM(H24:J24)</f>
        <v>1086.776</v>
      </c>
      <c r="H24" s="253">
        <v>990</v>
      </c>
      <c r="I24" s="292"/>
      <c r="J24" s="253">
        <v>96.776</v>
      </c>
      <c r="K24" s="253">
        <f aca="true" t="shared" si="5" ref="K24:K29">SUM(L24:N24)</f>
        <v>1086.776</v>
      </c>
      <c r="L24" s="254">
        <v>990</v>
      </c>
      <c r="M24" s="254"/>
      <c r="N24" s="254">
        <v>96.776</v>
      </c>
    </row>
    <row r="25" spans="1:14" ht="25.5">
      <c r="A25" s="253"/>
      <c r="B25" s="253"/>
      <c r="C25" s="253"/>
      <c r="D25" s="253"/>
      <c r="E25" s="211"/>
      <c r="F25" s="204" t="s">
        <v>301</v>
      </c>
      <c r="G25" s="253">
        <f t="shared" si="4"/>
        <v>2475</v>
      </c>
      <c r="H25" s="253">
        <v>2475</v>
      </c>
      <c r="I25" s="292"/>
      <c r="J25" s="253"/>
      <c r="K25" s="253">
        <f t="shared" si="5"/>
        <v>2475</v>
      </c>
      <c r="L25" s="254">
        <v>2475</v>
      </c>
      <c r="M25" s="254"/>
      <c r="N25" s="254"/>
    </row>
    <row r="26" spans="1:14" ht="25.5">
      <c r="A26" s="253"/>
      <c r="B26" s="253"/>
      <c r="C26" s="253"/>
      <c r="D26" s="253"/>
      <c r="E26" s="211"/>
      <c r="F26" s="204" t="s">
        <v>302</v>
      </c>
      <c r="G26" s="253">
        <f t="shared" si="4"/>
        <v>2475</v>
      </c>
      <c r="H26" s="253">
        <v>2475</v>
      </c>
      <c r="I26" s="292"/>
      <c r="J26" s="253"/>
      <c r="K26" s="253">
        <f t="shared" si="5"/>
        <v>2475</v>
      </c>
      <c r="L26" s="254">
        <v>2475</v>
      </c>
      <c r="M26" s="254"/>
      <c r="N26" s="254"/>
    </row>
    <row r="27" spans="1:14" ht="38.25">
      <c r="A27" s="253"/>
      <c r="B27" s="253"/>
      <c r="C27" s="253"/>
      <c r="D27" s="253"/>
      <c r="E27" s="211"/>
      <c r="F27" s="204" t="s">
        <v>303</v>
      </c>
      <c r="G27" s="253">
        <f t="shared" si="4"/>
        <v>2970</v>
      </c>
      <c r="H27" s="253">
        <v>2970</v>
      </c>
      <c r="I27" s="292"/>
      <c r="J27" s="253"/>
      <c r="K27" s="253">
        <f t="shared" si="5"/>
        <v>2970</v>
      </c>
      <c r="L27" s="254">
        <v>2970</v>
      </c>
      <c r="M27" s="254"/>
      <c r="N27" s="254"/>
    </row>
    <row r="28" spans="1:14" ht="25.5">
      <c r="A28" s="253"/>
      <c r="B28" s="253"/>
      <c r="C28" s="253"/>
      <c r="D28" s="253"/>
      <c r="E28" s="211"/>
      <c r="F28" s="204" t="s">
        <v>304</v>
      </c>
      <c r="G28" s="253">
        <f t="shared" si="4"/>
        <v>6057.5</v>
      </c>
      <c r="H28" s="253">
        <f>4997.5</f>
        <v>4997.5</v>
      </c>
      <c r="I28" s="292"/>
      <c r="J28" s="253">
        <v>1060</v>
      </c>
      <c r="K28" s="253">
        <f t="shared" si="5"/>
        <v>6057.5</v>
      </c>
      <c r="L28" s="254">
        <v>4997.5</v>
      </c>
      <c r="M28" s="254"/>
      <c r="N28" s="254">
        <v>1060</v>
      </c>
    </row>
    <row r="29" spans="1:14" ht="32.25" thickBot="1">
      <c r="A29" s="253"/>
      <c r="B29" s="253"/>
      <c r="C29" s="253"/>
      <c r="D29" s="253"/>
      <c r="E29" s="211"/>
      <c r="F29" s="293" t="s">
        <v>410</v>
      </c>
      <c r="G29" s="253">
        <f t="shared" si="4"/>
        <v>936.24</v>
      </c>
      <c r="H29" s="253">
        <v>600</v>
      </c>
      <c r="I29" s="292">
        <v>336.24</v>
      </c>
      <c r="J29" s="253"/>
      <c r="K29" s="253">
        <f t="shared" si="5"/>
        <v>936.24</v>
      </c>
      <c r="L29" s="253">
        <v>600</v>
      </c>
      <c r="M29" s="292">
        <v>336.24</v>
      </c>
      <c r="N29" s="254"/>
    </row>
    <row r="30" spans="1:14" s="290" customFormat="1" ht="12.75">
      <c r="A30" s="255"/>
      <c r="B30" s="255"/>
      <c r="C30" s="255"/>
      <c r="D30" s="255"/>
      <c r="E30" s="211"/>
      <c r="F30" s="255" t="s">
        <v>2</v>
      </c>
      <c r="G30" s="255">
        <f aca="true" t="shared" si="6" ref="G30:N30">SUM(G24:G29)</f>
        <v>16000.516</v>
      </c>
      <c r="H30" s="255">
        <f t="shared" si="6"/>
        <v>14507.5</v>
      </c>
      <c r="I30" s="255">
        <f t="shared" si="6"/>
        <v>336.24</v>
      </c>
      <c r="J30" s="255">
        <f t="shared" si="6"/>
        <v>1156.776</v>
      </c>
      <c r="K30" s="255">
        <f t="shared" si="6"/>
        <v>16000.516</v>
      </c>
      <c r="L30" s="255">
        <f t="shared" si="6"/>
        <v>14507.5</v>
      </c>
      <c r="M30" s="255">
        <f t="shared" si="6"/>
        <v>336.24</v>
      </c>
      <c r="N30" s="255">
        <f t="shared" si="6"/>
        <v>1156.776</v>
      </c>
    </row>
    <row r="31" spans="1:14" ht="12.75">
      <c r="A31" s="209"/>
      <c r="B31" s="209"/>
      <c r="C31" s="209"/>
      <c r="D31" s="209"/>
      <c r="E31" s="210"/>
      <c r="F31" s="211" t="s">
        <v>366</v>
      </c>
      <c r="G31" s="212">
        <f>G17+G21+G30</f>
        <v>36306.536</v>
      </c>
      <c r="H31" s="212">
        <f aca="true" t="shared" si="7" ref="H31:N31">H17+H21+H30</f>
        <v>23047.5</v>
      </c>
      <c r="I31" s="212">
        <f t="shared" si="7"/>
        <v>9176.24</v>
      </c>
      <c r="J31" s="212">
        <f t="shared" si="7"/>
        <v>4082.7960000000003</v>
      </c>
      <c r="K31" s="212">
        <f t="shared" si="7"/>
        <v>36306.536</v>
      </c>
      <c r="L31" s="212">
        <f t="shared" si="7"/>
        <v>23047.5</v>
      </c>
      <c r="M31" s="212">
        <f t="shared" si="7"/>
        <v>9176.24</v>
      </c>
      <c r="N31" s="212">
        <f t="shared" si="7"/>
        <v>4082.7960000000003</v>
      </c>
    </row>
  </sheetData>
  <sheetProtection/>
  <mergeCells count="11">
    <mergeCell ref="A2:N2"/>
    <mergeCell ref="A3:D4"/>
    <mergeCell ref="E3:E4"/>
    <mergeCell ref="F3:F4"/>
    <mergeCell ref="G3:J3"/>
    <mergeCell ref="K3:N3"/>
    <mergeCell ref="A5:N5"/>
    <mergeCell ref="E15:E16"/>
    <mergeCell ref="F15:F16"/>
    <mergeCell ref="A19:N19"/>
    <mergeCell ref="A23:N23"/>
  </mergeCells>
  <printOptions/>
  <pageMargins left="0.7086614173228347" right="0" top="0" bottom="0" header="0" footer="0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2014-05-28T08:39:00Z</cp:lastPrinted>
  <dcterms:created xsi:type="dcterms:W3CDTF">2008-05-08T18:28:22Z</dcterms:created>
  <dcterms:modified xsi:type="dcterms:W3CDTF">2016-05-31T08:13:02Z</dcterms:modified>
  <cp:category/>
  <cp:version/>
  <cp:contentType/>
  <cp:contentStatus/>
</cp:coreProperties>
</file>