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505" windowHeight="12435"/>
  </bookViews>
  <sheets>
    <sheet name="прил 1 2021гРез фонд" sheetId="32" r:id="rId1"/>
    <sheet name="прил 2 СП 2021" sheetId="24" r:id="rId2"/>
    <sheet name="прил 3  БИ 2021" sheetId="23" r:id="rId3"/>
    <sheet name="прил 4 Дор фонд2021" sheetId="25" r:id="rId4"/>
    <sheet name="прил 5 Публ.об. 2021" sheetId="22" r:id="rId5"/>
    <sheet name="прил 6  МП 21г" sheetId="11" r:id="rId6"/>
    <sheet name="прил 7  КЦСР 21г" sheetId="14" state="hidden" r:id="rId7"/>
    <sheet name="Лист1" sheetId="28" r:id="rId8"/>
  </sheets>
  <externalReferences>
    <externalReference r:id="rId9"/>
    <externalReference r:id="rId10"/>
  </externalReferences>
  <definedNames>
    <definedName name="_xlnm._FilterDatabase" localSheetId="0" hidden="1">'прил 1 2021гРез фонд'!$A$6:$H$67</definedName>
    <definedName name="_xlnm._FilterDatabase" localSheetId="6" hidden="1">'прил 7  КЦСР 21г'!$A$7:$K$476</definedName>
    <definedName name="Foot0">'[1]НСОт Культ'!#REF!</definedName>
    <definedName name="Foot1">'[1]НСОт Культ'!#REF!</definedName>
    <definedName name="Foot2">'[1]НСОт Культ'!#REF!</definedName>
    <definedName name="Foot3">'[1]НСОт Культ'!#REF!</definedName>
    <definedName name="Foot4">'[1]НСОт Культ'!#REF!</definedName>
    <definedName name="Footer">#REF!</definedName>
    <definedName name="ар">'[1]НСОт Культ'!#REF!</definedName>
    <definedName name="В11" localSheetId="0">#REF!</definedName>
    <definedName name="В11" localSheetId="1">#REF!</definedName>
    <definedName name="В11" localSheetId="2">#REF!</definedName>
    <definedName name="В11" localSheetId="3">#REF!</definedName>
    <definedName name="В11" localSheetId="4">#REF!</definedName>
    <definedName name="В11" localSheetId="5">#REF!</definedName>
    <definedName name="В11" localSheetId="6">#REF!</definedName>
    <definedName name="В11">#REF!</definedName>
    <definedName name="ваи">'[1]НСОт Культ'!#REF!</definedName>
    <definedName name="Вред_всего">'[1]НСОт Культ'!#REF!</definedName>
    <definedName name="Вред_итого">'[1]НСОт Культ'!#REF!</definedName>
    <definedName name="Вред1">'[1]НСОт Культ'!#REF!</definedName>
    <definedName name="Вред2">'[1]НСОт Культ'!#REF!</definedName>
    <definedName name="Дата_составления">'[1]НСОт Культ'!#REF!</definedName>
    <definedName name="Доп_свед">'[1]НСОт Культ'!#REF!</definedName>
    <definedName name="Другие">'[1]НСОт Культ'!#REF!</definedName>
    <definedName name="Другие_всего">'[1]НСОт Культ'!#REF!</definedName>
    <definedName name="Другие_итого">'[1]НСОт Культ'!#REF!</definedName>
    <definedName name="жтапж">'[1]НСОт Культ'!#REF!</definedName>
    <definedName name="_xlnm.Print_Titles" localSheetId="0">'прил 1 2021гРез фонд'!$6:$6</definedName>
    <definedName name="_xlnm.Print_Titles" localSheetId="1">'прил 2 СП 2021'!$4:$5</definedName>
    <definedName name="_xlnm.Print_Titles" localSheetId="6">'прил 7  КЦСР 21г'!$8:$8</definedName>
    <definedName name="Ит_Имя">'[1]НСОт Культ'!#REF!</definedName>
    <definedName name="Ит_Имя2">'[1]НСОт Культ'!#REF!</definedName>
    <definedName name="Ит_ИТОГО">'[1]НСОт Культ'!#REF!</definedName>
    <definedName name="Ит_Объем">'[1]НСОт Культ'!#REF!</definedName>
    <definedName name="Ит_Ставка">'[1]НСОт Культ'!#REF!</definedName>
    <definedName name="Ит_Сум_ФОТ">'[1]НСОт Культ'!#REF!</definedName>
    <definedName name="ИТОГО">'[1]НСОт Культ'!#REF!</definedName>
    <definedName name="ИТОГО_всего">'[1]НСОт Культ'!#REF!</definedName>
    <definedName name="ИТОГО_итого">'[1]НСОт Культ'!#REF!</definedName>
    <definedName name="Категория_ФОТ1">'[1]НСОт Культ'!#REF!</definedName>
    <definedName name="КатФЗП">#REF!</definedName>
    <definedName name="КвКат">'[1]НСОт Культ'!#REF!</definedName>
    <definedName name="Коэфф">'[1]НСОт Культ'!#REF!</definedName>
    <definedName name="Наименование_должности">'[1]НСОт Культ'!#REF!</definedName>
    <definedName name="Непр_всего">'[1]НСОт Культ'!#REF!</definedName>
    <definedName name="Непр_итого">'[1]НСОт Культ'!#REF!</definedName>
    <definedName name="Непр1">'[1]НСОт Культ'!#REF!</definedName>
    <definedName name="Непр2">'[1]НСОт Культ'!#REF!</definedName>
    <definedName name="Ном_Подр">'[1]НСОт Культ'!#REF!</definedName>
    <definedName name="_xlnm.Print_Area" localSheetId="0">'прил 1 2021гРез фонд'!$A$1:$H$67</definedName>
    <definedName name="_xlnm.Print_Area" localSheetId="1">'прил 2 СП 2021'!$A$1:$S$42</definedName>
    <definedName name="_xlnm.Print_Area" localSheetId="2">'прил 3  БИ 2021'!$A$1:$J$29</definedName>
    <definedName name="_xlnm.Print_Area" localSheetId="3">'прил 4 Дор фонд2021'!$A$1:$E$28</definedName>
    <definedName name="_xlnm.Print_Area" localSheetId="4">'прил 5 Публ.об. 2021'!$A$1:$K$14</definedName>
    <definedName name="_xlnm.Print_Area" localSheetId="5">'прил 6  МП 21г'!$A$1:$H$16</definedName>
    <definedName name="_xlnm.Print_Area" localSheetId="6">'прил 7  КЦСР 21г'!$A$1:$G$427</definedName>
    <definedName name="_xlnm.Print_Area">#REF!</definedName>
    <definedName name="Образ">'[1]НСОт Культ'!#REF!</definedName>
    <definedName name="Объем">'[1]НСОт Культ'!#REF!</definedName>
    <definedName name="Объем_всего">'[1]НСОт Культ'!#REF!</definedName>
    <definedName name="Объем_итого">'[1]НСОт Культ'!#REF!</definedName>
    <definedName name="Оклад">'[1]НСОт Культ'!#REF!</definedName>
    <definedName name="Оклад_всего">'[1]НСОт Культ'!#REF!</definedName>
    <definedName name="Оклад_итого">'[1]НСОт Культ'!#REF!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 localSheetId="6">#REF!</definedName>
    <definedName name="п">#REF!</definedName>
    <definedName name="Подзаголовок">#REF!</definedName>
    <definedName name="Подр">#REF!</definedName>
    <definedName name="Подразделение">'[1]НСОт Культ'!#REF!</definedName>
    <definedName name="Подразделение_итого">'[1]НСОт Культ'!#REF!</definedName>
    <definedName name="ПочЗв">'[1]НСОт Культ'!#REF!</definedName>
    <definedName name="Прил16дляраб" localSheetId="1">#REF!</definedName>
    <definedName name="Прил16дляраб" localSheetId="2">#REF!</definedName>
    <definedName name="Прил16дляраб" localSheetId="3">#REF!</definedName>
    <definedName name="Прил16дляраб" localSheetId="4">#REF!</definedName>
    <definedName name="Прил16дляраб" localSheetId="5">#REF!</definedName>
    <definedName name="Прил16дляраб" localSheetId="6">#REF!</definedName>
    <definedName name="Прил16дляраб">#REF!</definedName>
    <definedName name="Ставка">'[1]НСОт Культ'!#REF!</definedName>
    <definedName name="Ставка_всего">'[1]НСОт Культ'!#REF!</definedName>
    <definedName name="Ставка_итого">'[1]НСОт Культ'!#REF!</definedName>
    <definedName name="Ставки">'[1]НСОт Культ'!#REF!</definedName>
    <definedName name="Стаж">'[1]НСОт Культ'!#REF!</definedName>
    <definedName name="Стаж_">'[1]НСОт Культ'!#REF!</definedName>
    <definedName name="Сум_ФОТ">'[1]НСОт Культ'!#REF!</definedName>
    <definedName name="ТабНом">'[1]НСОт Культ'!#REF!</definedName>
    <definedName name="УчСт">'[1]НСОт Культ'!#REF!</definedName>
    <definedName name="ФИО">'[1]НСОт Культ'!#REF!</definedName>
    <definedName name="ФС">#REF!</definedName>
    <definedName name="Функции_контроля">#REF!</definedName>
    <definedName name="Часы_всего">'[1]НСОт Культ'!#REF!</definedName>
    <definedName name="Часы_итого">'[1]НСОт Культ'!#REF!</definedName>
  </definedNames>
  <calcPr calcId="144525"/>
</workbook>
</file>

<file path=xl/calcChain.xml><?xml version="1.0" encoding="utf-8"?>
<calcChain xmlns="http://schemas.openxmlformats.org/spreadsheetml/2006/main">
  <c r="G7" i="32" l="1"/>
  <c r="G8" i="32"/>
  <c r="G9" i="32"/>
  <c r="G10" i="32"/>
  <c r="G11" i="32"/>
  <c r="G12" i="32"/>
  <c r="G13" i="32"/>
  <c r="G14" i="32"/>
  <c r="G15" i="32"/>
  <c r="G16" i="32"/>
  <c r="G17" i="32"/>
  <c r="G18" i="32"/>
  <c r="F19" i="32"/>
  <c r="G19" i="32" s="1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D49" i="32"/>
  <c r="D67" i="32" s="1"/>
  <c r="F49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49" i="32" l="1"/>
  <c r="G67" i="32"/>
  <c r="F67" i="32"/>
  <c r="F22" i="24" l="1"/>
  <c r="O32" i="24"/>
  <c r="K32" i="24"/>
  <c r="J32" i="24"/>
  <c r="H32" i="24"/>
  <c r="F31" i="24"/>
  <c r="F30" i="24"/>
  <c r="L21" i="24"/>
  <c r="J21" i="24"/>
  <c r="G20" i="24"/>
  <c r="F20" i="24" s="1"/>
  <c r="M19" i="24"/>
  <c r="H19" i="24"/>
  <c r="O18" i="24"/>
  <c r="N18" i="24"/>
  <c r="M18" i="24"/>
  <c r="L18" i="24"/>
  <c r="K18" i="24"/>
  <c r="J18" i="24"/>
  <c r="I18" i="24"/>
  <c r="H18" i="24"/>
  <c r="G18" i="24"/>
  <c r="F24" i="24"/>
  <c r="F17" i="24"/>
  <c r="F21" i="24" l="1"/>
  <c r="F32" i="24"/>
  <c r="F19" i="24"/>
  <c r="F18" i="24"/>
  <c r="D26" i="25"/>
  <c r="C19" i="25"/>
  <c r="C22" i="25"/>
  <c r="C23" i="25"/>
  <c r="C24" i="25"/>
  <c r="C11" i="25"/>
  <c r="E8" i="25"/>
  <c r="D8" i="25"/>
  <c r="E7" i="25" l="1"/>
  <c r="D7" i="25"/>
  <c r="C7" i="25" s="1"/>
  <c r="C27" i="25"/>
  <c r="E26" i="25"/>
  <c r="F27" i="25" s="1"/>
  <c r="F28" i="25" s="1"/>
  <c r="C25" i="25"/>
  <c r="C21" i="25"/>
  <c r="C20" i="25"/>
  <c r="C18" i="25"/>
  <c r="C17" i="25"/>
  <c r="C16" i="25"/>
  <c r="C15" i="25"/>
  <c r="C14" i="25"/>
  <c r="C13" i="25"/>
  <c r="C12" i="25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C10" i="25"/>
  <c r="C8" i="25"/>
  <c r="C26" i="25" l="1"/>
  <c r="E28" i="25"/>
  <c r="D28" i="25"/>
  <c r="C28" i="25"/>
  <c r="L23" i="24"/>
  <c r="P23" i="24" l="1"/>
  <c r="P33" i="24"/>
  <c r="Q11" i="24" l="1"/>
  <c r="R11" i="24"/>
  <c r="S11" i="24"/>
  <c r="P15" i="24" l="1"/>
  <c r="F29" i="24"/>
  <c r="F33" i="24"/>
  <c r="Q15" i="24" l="1"/>
  <c r="R15" i="24"/>
  <c r="S15" i="24"/>
  <c r="G15" i="24" l="1"/>
  <c r="H15" i="24"/>
  <c r="I15" i="24"/>
  <c r="K15" i="24"/>
  <c r="M15" i="24"/>
  <c r="O15" i="24"/>
  <c r="N15" i="24"/>
  <c r="J15" i="24"/>
  <c r="L15" i="24"/>
  <c r="F16" i="24"/>
  <c r="F23" i="24"/>
  <c r="F25" i="24"/>
  <c r="F26" i="24"/>
  <c r="F27" i="24"/>
  <c r="F28" i="24"/>
  <c r="F15" i="24" l="1"/>
  <c r="I27" i="23"/>
  <c r="J27" i="23"/>
  <c r="I28" i="23"/>
  <c r="J28" i="23"/>
  <c r="J26" i="23"/>
  <c r="H26" i="23" s="1"/>
  <c r="I26" i="23"/>
  <c r="J25" i="23"/>
  <c r="I25" i="23"/>
  <c r="H25" i="23" s="1"/>
  <c r="I22" i="23"/>
  <c r="J22" i="23"/>
  <c r="J21" i="23"/>
  <c r="I21" i="23"/>
  <c r="E28" i="23"/>
  <c r="D24" i="23"/>
  <c r="D23" i="23" s="1"/>
  <c r="D29" i="23" s="1"/>
  <c r="B28" i="23"/>
  <c r="H27" i="23"/>
  <c r="E27" i="23"/>
  <c r="B27" i="23"/>
  <c r="E26" i="23"/>
  <c r="B26" i="23"/>
  <c r="E25" i="23"/>
  <c r="B25" i="23"/>
  <c r="G24" i="23"/>
  <c r="G23" i="23" s="1"/>
  <c r="F24" i="23"/>
  <c r="F23" i="23" s="1"/>
  <c r="F29" i="23" s="1"/>
  <c r="C24" i="23"/>
  <c r="C23" i="23"/>
  <c r="C29" i="23" s="1"/>
  <c r="E22" i="23"/>
  <c r="B22" i="23"/>
  <c r="E21" i="23"/>
  <c r="E20" i="23" s="1"/>
  <c r="E19" i="23" s="1"/>
  <c r="D21" i="23"/>
  <c r="B21" i="23" s="1"/>
  <c r="B20" i="23" s="1"/>
  <c r="B19" i="23" s="1"/>
  <c r="G20" i="23"/>
  <c r="G19" i="23" s="1"/>
  <c r="F20" i="23"/>
  <c r="C20" i="23"/>
  <c r="C19" i="23" s="1"/>
  <c r="F19" i="23"/>
  <c r="G35" i="24"/>
  <c r="F41" i="24"/>
  <c r="M40" i="24"/>
  <c r="F40" i="24" s="1"/>
  <c r="P39" i="24"/>
  <c r="P38" i="24" s="1"/>
  <c r="O39" i="24"/>
  <c r="O38" i="24" s="1"/>
  <c r="N39" i="24"/>
  <c r="N38" i="24" s="1"/>
  <c r="M39" i="24"/>
  <c r="L39" i="24"/>
  <c r="L38" i="24" s="1"/>
  <c r="K39" i="24"/>
  <c r="K38" i="24" s="1"/>
  <c r="J39" i="24"/>
  <c r="J38" i="24" s="1"/>
  <c r="I39" i="24"/>
  <c r="I38" i="24" s="1"/>
  <c r="H39" i="24"/>
  <c r="G39" i="24"/>
  <c r="G38" i="24" s="1"/>
  <c r="O37" i="24"/>
  <c r="O35" i="24" s="1"/>
  <c r="N37" i="24"/>
  <c r="N35" i="24" s="1"/>
  <c r="K37" i="24"/>
  <c r="K35" i="24" s="1"/>
  <c r="J37" i="24"/>
  <c r="J35" i="24" s="1"/>
  <c r="I37" i="24"/>
  <c r="I35" i="24" s="1"/>
  <c r="H37" i="24"/>
  <c r="H35" i="24" s="1"/>
  <c r="P36" i="24"/>
  <c r="M36" i="24"/>
  <c r="M35" i="24" s="1"/>
  <c r="L36" i="24"/>
  <c r="L35" i="24" s="1"/>
  <c r="F34" i="24"/>
  <c r="P14" i="24"/>
  <c r="O14" i="24"/>
  <c r="N14" i="24"/>
  <c r="N11" i="24" s="1"/>
  <c r="M14" i="24"/>
  <c r="L14" i="24"/>
  <c r="K14" i="24"/>
  <c r="K11" i="24" s="1"/>
  <c r="J14" i="24"/>
  <c r="J11" i="24" s="1"/>
  <c r="I14" i="24"/>
  <c r="I11" i="24" s="1"/>
  <c r="H14" i="24"/>
  <c r="H11" i="24" s="1"/>
  <c r="G14" i="24"/>
  <c r="G11" i="24" s="1"/>
  <c r="M13" i="24"/>
  <c r="P12" i="24"/>
  <c r="F12" i="24" s="1"/>
  <c r="F9" i="24"/>
  <c r="P8" i="24"/>
  <c r="O8" i="24"/>
  <c r="N8" i="24"/>
  <c r="M8" i="24"/>
  <c r="L8" i="24"/>
  <c r="K8" i="24"/>
  <c r="J8" i="24"/>
  <c r="I8" i="24"/>
  <c r="H8" i="24"/>
  <c r="G8" i="24"/>
  <c r="H6" i="24"/>
  <c r="I6" i="24" s="1"/>
  <c r="J6" i="24" s="1"/>
  <c r="K6" i="24" s="1"/>
  <c r="L6" i="24" s="1"/>
  <c r="M6" i="24" s="1"/>
  <c r="N6" i="24" s="1"/>
  <c r="O6" i="24" s="1"/>
  <c r="P11" i="24" l="1"/>
  <c r="E24" i="23"/>
  <c r="E23" i="23" s="1"/>
  <c r="B24" i="23"/>
  <c r="B23" i="23" s="1"/>
  <c r="B29" i="23" s="1"/>
  <c r="H28" i="23"/>
  <c r="H24" i="23" s="1"/>
  <c r="H23" i="23" s="1"/>
  <c r="O11" i="24"/>
  <c r="O10" i="24" s="1"/>
  <c r="O7" i="24" s="1"/>
  <c r="O42" i="24" s="1"/>
  <c r="L11" i="24"/>
  <c r="L10" i="24" s="1"/>
  <c r="L7" i="24" s="1"/>
  <c r="L42" i="24" s="1"/>
  <c r="F36" i="24"/>
  <c r="P35" i="24"/>
  <c r="F13" i="24"/>
  <c r="M11" i="24"/>
  <c r="E29" i="23"/>
  <c r="G29" i="23"/>
  <c r="I20" i="23"/>
  <c r="I19" i="23" s="1"/>
  <c r="J24" i="23"/>
  <c r="J23" i="23" s="1"/>
  <c r="H21" i="23"/>
  <c r="H22" i="23"/>
  <c r="D20" i="23"/>
  <c r="D19" i="23" s="1"/>
  <c r="I24" i="23"/>
  <c r="I23" i="23" s="1"/>
  <c r="J20" i="23"/>
  <c r="J19" i="23" s="1"/>
  <c r="N10" i="24"/>
  <c r="N7" i="24" s="1"/>
  <c r="N42" i="24" s="1"/>
  <c r="H10" i="24"/>
  <c r="I10" i="24"/>
  <c r="I7" i="24" s="1"/>
  <c r="I42" i="24" s="1"/>
  <c r="F37" i="24"/>
  <c r="M38" i="24"/>
  <c r="G10" i="24"/>
  <c r="G7" i="24" s="1"/>
  <c r="G42" i="24" s="1"/>
  <c r="F39" i="24"/>
  <c r="F38" i="24" s="1"/>
  <c r="F35" i="24"/>
  <c r="J10" i="24"/>
  <c r="J7" i="24" s="1"/>
  <c r="J42" i="24" s="1"/>
  <c r="K10" i="24"/>
  <c r="K7" i="24" s="1"/>
  <c r="K42" i="24" s="1"/>
  <c r="M10" i="24"/>
  <c r="F14" i="24"/>
  <c r="F46" i="24" s="1"/>
  <c r="F8" i="24"/>
  <c r="H38" i="24"/>
  <c r="M7" i="24" l="1"/>
  <c r="M42" i="24" s="1"/>
  <c r="F11" i="24"/>
  <c r="F10" i="24" s="1"/>
  <c r="F7" i="24"/>
  <c r="F42" i="24" s="1"/>
  <c r="F44" i="24" s="1"/>
  <c r="J29" i="23"/>
  <c r="I29" i="23"/>
  <c r="H20" i="23"/>
  <c r="H19" i="23" s="1"/>
  <c r="H29" i="23" s="1"/>
  <c r="H7" i="24"/>
  <c r="H42" i="24" s="1"/>
  <c r="P10" i="24"/>
  <c r="P7" i="24" s="1"/>
  <c r="P42" i="24" s="1"/>
  <c r="H13" i="22" l="1"/>
  <c r="H14" i="22"/>
  <c r="H12" i="22"/>
  <c r="H11" i="22"/>
  <c r="H10" i="22"/>
  <c r="H9" i="22"/>
  <c r="H8" i="22"/>
  <c r="C16" i="11" l="1"/>
  <c r="D6" i="25"/>
  <c r="E6" i="25"/>
  <c r="Q7" i="24"/>
  <c r="R7" i="24"/>
  <c r="S7" i="24"/>
  <c r="D7" i="23"/>
  <c r="C8" i="23"/>
  <c r="C7" i="23" s="1"/>
  <c r="D8" i="23"/>
  <c r="F8" i="23"/>
  <c r="F7" i="23" s="1"/>
  <c r="G8" i="23"/>
  <c r="G7" i="23" s="1"/>
  <c r="I8" i="23"/>
  <c r="I7" i="23" s="1"/>
  <c r="J8" i="23"/>
  <c r="J7" i="23" s="1"/>
  <c r="B9" i="23"/>
  <c r="E9" i="23"/>
  <c r="H9" i="23"/>
  <c r="B10" i="23"/>
  <c r="E10" i="23"/>
  <c r="H10" i="23"/>
  <c r="B11" i="23"/>
  <c r="E11" i="23"/>
  <c r="H11" i="23"/>
  <c r="B12" i="23"/>
  <c r="E12" i="23"/>
  <c r="H12" i="23"/>
  <c r="B13" i="23"/>
  <c r="E13" i="23"/>
  <c r="H13" i="23"/>
  <c r="C15" i="23"/>
  <c r="C14" i="23" s="1"/>
  <c r="D15" i="23"/>
  <c r="D14" i="23" s="1"/>
  <c r="F15" i="23"/>
  <c r="F14" i="23" s="1"/>
  <c r="G15" i="23"/>
  <c r="G14" i="23" s="1"/>
  <c r="I15" i="23"/>
  <c r="I14" i="23" s="1"/>
  <c r="J15" i="23"/>
  <c r="J14" i="23" s="1"/>
  <c r="B16" i="23"/>
  <c r="E16" i="23"/>
  <c r="E15" i="23" s="1"/>
  <c r="E14" i="23" s="1"/>
  <c r="H16" i="23"/>
  <c r="B17" i="23"/>
  <c r="E17" i="23"/>
  <c r="H17" i="23"/>
  <c r="E18" i="23"/>
  <c r="D7" i="22"/>
  <c r="D8" i="22"/>
  <c r="D9" i="22"/>
  <c r="E10" i="22"/>
  <c r="F10" i="22"/>
  <c r="G10" i="22"/>
  <c r="I10" i="22"/>
  <c r="J10" i="22"/>
  <c r="K10" i="22"/>
  <c r="D11" i="22"/>
  <c r="D12" i="22"/>
  <c r="E13" i="22"/>
  <c r="F13" i="22"/>
  <c r="G13" i="22"/>
  <c r="G14" i="22" s="1"/>
  <c r="I13" i="22"/>
  <c r="J13" i="22"/>
  <c r="J14" i="22" s="1"/>
  <c r="K13" i="22"/>
  <c r="E8" i="23" l="1"/>
  <c r="B8" i="23"/>
  <c r="B7" i="23" s="1"/>
  <c r="B15" i="23"/>
  <c r="B14" i="23" s="1"/>
  <c r="H15" i="23"/>
  <c r="H14" i="23" s="1"/>
  <c r="H8" i="23"/>
  <c r="H7" i="23" s="1"/>
  <c r="G18" i="23"/>
  <c r="C18" i="23"/>
  <c r="E14" i="22"/>
  <c r="I14" i="22"/>
  <c r="F14" i="22"/>
  <c r="D13" i="22"/>
  <c r="K14" i="22"/>
  <c r="D10" i="22"/>
  <c r="D14" i="22" s="1"/>
  <c r="J18" i="23"/>
  <c r="E7" i="23"/>
  <c r="B18" i="23"/>
  <c r="D18" i="23"/>
  <c r="F18" i="23" l="1"/>
  <c r="H18" i="23" l="1"/>
  <c r="I18" i="23"/>
  <c r="F83" i="14" l="1"/>
  <c r="E83" i="14"/>
  <c r="E149" i="14"/>
  <c r="F227" i="14"/>
  <c r="E227" i="14"/>
  <c r="F230" i="14"/>
  <c r="E230" i="14"/>
  <c r="E412" i="14" l="1"/>
  <c r="F412" i="14"/>
  <c r="F422" i="14"/>
  <c r="E422" i="14"/>
  <c r="F419" i="14"/>
  <c r="E419" i="14"/>
  <c r="F416" i="14"/>
  <c r="E416" i="14"/>
  <c r="F414" i="14"/>
  <c r="G414" i="14" s="1"/>
  <c r="G405" i="14"/>
  <c r="F380" i="14"/>
  <c r="E380" i="14"/>
  <c r="G380" i="14" s="1"/>
  <c r="F378" i="14"/>
  <c r="E378" i="14"/>
  <c r="F374" i="14"/>
  <c r="G374" i="14" s="1"/>
  <c r="F309" i="14"/>
  <c r="E309" i="14"/>
  <c r="F388" i="14"/>
  <c r="F385" i="14"/>
  <c r="G385" i="14" s="1"/>
  <c r="F391" i="14"/>
  <c r="G391" i="14"/>
  <c r="F365" i="14"/>
  <c r="G365" i="14" s="1"/>
  <c r="I332" i="14"/>
  <c r="F331" i="14"/>
  <c r="F325" i="14"/>
  <c r="E325" i="14"/>
  <c r="H324" i="14"/>
  <c r="I322" i="14"/>
  <c r="I324" i="14" s="1"/>
  <c r="F317" i="14"/>
  <c r="E317" i="14"/>
  <c r="F359" i="14"/>
  <c r="G359" i="14" s="1"/>
  <c r="I355" i="14"/>
  <c r="F354" i="14"/>
  <c r="I314" i="14"/>
  <c r="H314" i="14"/>
  <c r="I313" i="14"/>
  <c r="F301" i="14"/>
  <c r="F305" i="14"/>
  <c r="G305" i="14" s="1"/>
  <c r="F293" i="14"/>
  <c r="G293" i="14" s="1"/>
  <c r="F289" i="14"/>
  <c r="E289" i="14"/>
  <c r="G289" i="14" s="1"/>
  <c r="F286" i="14"/>
  <c r="F285" i="14" s="1"/>
  <c r="E285" i="14"/>
  <c r="F284" i="14"/>
  <c r="I310" i="14"/>
  <c r="I309" i="14"/>
  <c r="H311" i="14"/>
  <c r="F271" i="14"/>
  <c r="E271" i="14"/>
  <c r="G271" i="14" s="1"/>
  <c r="F270" i="14"/>
  <c r="E270" i="14"/>
  <c r="F264" i="14"/>
  <c r="E264" i="14"/>
  <c r="G264" i="14" s="1"/>
  <c r="F262" i="14"/>
  <c r="E262" i="14"/>
  <c r="F261" i="14"/>
  <c r="F259" i="14"/>
  <c r="E259" i="14"/>
  <c r="F184" i="14"/>
  <c r="E184" i="14"/>
  <c r="F183" i="14"/>
  <c r="G183" i="14" s="1"/>
  <c r="F179" i="14"/>
  <c r="F178" i="14" s="1"/>
  <c r="E179" i="14"/>
  <c r="E178" i="14" s="1"/>
  <c r="F175" i="14"/>
  <c r="E175" i="14"/>
  <c r="G175" i="14" s="1"/>
  <c r="F194" i="14"/>
  <c r="G194" i="14" s="1"/>
  <c r="F164" i="14"/>
  <c r="E164" i="14"/>
  <c r="F155" i="14"/>
  <c r="E155" i="14"/>
  <c r="F150" i="14"/>
  <c r="F149" i="14" s="1"/>
  <c r="F148" i="14"/>
  <c r="G148" i="14" s="1"/>
  <c r="F79" i="14"/>
  <c r="G79" i="14" s="1"/>
  <c r="F77" i="14"/>
  <c r="G77" i="14" s="1"/>
  <c r="F76" i="14"/>
  <c r="G76" i="14" s="1"/>
  <c r="F74" i="14"/>
  <c r="E74" i="14"/>
  <c r="F70" i="14"/>
  <c r="E70" i="14"/>
  <c r="F68" i="14"/>
  <c r="G68" i="14" s="1"/>
  <c r="F103" i="14"/>
  <c r="G103" i="14" s="1"/>
  <c r="F85" i="14"/>
  <c r="G85" i="14" s="1"/>
  <c r="F99" i="14"/>
  <c r="G99" i="14" s="1"/>
  <c r="F119" i="14"/>
  <c r="E119" i="14"/>
  <c r="F44" i="14"/>
  <c r="G44" i="14" s="1"/>
  <c r="F43" i="14"/>
  <c r="E43" i="14"/>
  <c r="F28" i="14"/>
  <c r="E28" i="14"/>
  <c r="E50" i="14"/>
  <c r="G50" i="14" s="1"/>
  <c r="F18" i="14"/>
  <c r="E18" i="14"/>
  <c r="G15" i="14"/>
  <c r="G22" i="14"/>
  <c r="G23" i="14"/>
  <c r="G25" i="14"/>
  <c r="G27" i="14"/>
  <c r="G29" i="14"/>
  <c r="G32" i="14"/>
  <c r="G34" i="14"/>
  <c r="G36" i="14"/>
  <c r="G39" i="14"/>
  <c r="G47" i="14"/>
  <c r="G54" i="14"/>
  <c r="G57" i="14"/>
  <c r="G61" i="14"/>
  <c r="G63" i="14"/>
  <c r="G81" i="14"/>
  <c r="G87" i="14"/>
  <c r="G89" i="14"/>
  <c r="G91" i="14"/>
  <c r="G93" i="14"/>
  <c r="G94" i="14"/>
  <c r="G96" i="14"/>
  <c r="G100" i="14"/>
  <c r="G105" i="14"/>
  <c r="G107" i="14"/>
  <c r="G110" i="14"/>
  <c r="G113" i="14"/>
  <c r="G117" i="14"/>
  <c r="G121" i="14"/>
  <c r="G124" i="14"/>
  <c r="G127" i="14"/>
  <c r="G131" i="14"/>
  <c r="G132" i="14"/>
  <c r="G134" i="14"/>
  <c r="G137" i="14"/>
  <c r="G138" i="14"/>
  <c r="G141" i="14"/>
  <c r="G143" i="14"/>
  <c r="G152" i="14"/>
  <c r="G156" i="14"/>
  <c r="G158" i="14"/>
  <c r="G160" i="14"/>
  <c r="G162" i="14"/>
  <c r="G166" i="14"/>
  <c r="G168" i="14"/>
  <c r="G170" i="14"/>
  <c r="G177" i="14"/>
  <c r="G185" i="14"/>
  <c r="G187" i="14"/>
  <c r="G191" i="14"/>
  <c r="G195" i="14"/>
  <c r="G198" i="14"/>
  <c r="G202" i="14"/>
  <c r="G205" i="14"/>
  <c r="G206" i="14"/>
  <c r="G208" i="14"/>
  <c r="G210" i="14"/>
  <c r="G211" i="14"/>
  <c r="G213" i="14"/>
  <c r="G216" i="14"/>
  <c r="G217" i="14"/>
  <c r="G219" i="14"/>
  <c r="G222" i="14"/>
  <c r="G225" i="14"/>
  <c r="G226" i="14"/>
  <c r="G228" i="14"/>
  <c r="G231" i="14"/>
  <c r="G234" i="14"/>
  <c r="G238" i="14"/>
  <c r="G239" i="14"/>
  <c r="G241" i="14"/>
  <c r="G243" i="14"/>
  <c r="G244" i="14"/>
  <c r="G248" i="14"/>
  <c r="G252" i="14"/>
  <c r="G254" i="14"/>
  <c r="G261" i="14"/>
  <c r="G266" i="14"/>
  <c r="G275" i="14"/>
  <c r="G276" i="14"/>
  <c r="G279" i="14"/>
  <c r="G284" i="14"/>
  <c r="G287" i="14"/>
  <c r="G294" i="14"/>
  <c r="G296" i="14"/>
  <c r="G297" i="14"/>
  <c r="G299" i="14"/>
  <c r="G301" i="14"/>
  <c r="G303" i="14"/>
  <c r="G311" i="14"/>
  <c r="G313" i="14"/>
  <c r="G315" i="14"/>
  <c r="G319" i="14"/>
  <c r="G321" i="14"/>
  <c r="G323" i="14"/>
  <c r="G327" i="14"/>
  <c r="G329" i="14"/>
  <c r="G331" i="14"/>
  <c r="G333" i="14"/>
  <c r="G335" i="14"/>
  <c r="G336" i="14"/>
  <c r="G338" i="14"/>
  <c r="G340" i="14"/>
  <c r="G343" i="14"/>
  <c r="G345" i="14"/>
  <c r="G348" i="14"/>
  <c r="G351" i="14"/>
  <c r="G354" i="14"/>
  <c r="G357" i="14"/>
  <c r="G358" i="14"/>
  <c r="G361" i="14"/>
  <c r="G366" i="14"/>
  <c r="G368" i="14"/>
  <c r="G370" i="14"/>
  <c r="G372" i="14"/>
  <c r="G376" i="14"/>
  <c r="G378" i="14"/>
  <c r="G382" i="14"/>
  <c r="G387" i="14"/>
  <c r="G388" i="14"/>
  <c r="G393" i="14"/>
  <c r="G395" i="14"/>
  <c r="G398" i="14"/>
  <c r="G402" i="14"/>
  <c r="G403" i="14"/>
  <c r="G404" i="14"/>
  <c r="G406" i="14"/>
  <c r="G408" i="14"/>
  <c r="G409" i="14"/>
  <c r="G410" i="14"/>
  <c r="G412" i="14"/>
  <c r="G419" i="14"/>
  <c r="G422" i="14"/>
  <c r="G424" i="14"/>
  <c r="G426" i="14"/>
  <c r="F13" i="14"/>
  <c r="E13" i="14"/>
  <c r="G28" i="14" l="1"/>
  <c r="G119" i="14"/>
  <c r="G262" i="14"/>
  <c r="G270" i="14"/>
  <c r="G285" i="14"/>
  <c r="G317" i="14"/>
  <c r="G286" i="14"/>
  <c r="G184" i="14"/>
  <c r="G13" i="14"/>
  <c r="G179" i="14"/>
  <c r="G43" i="14"/>
  <c r="G309" i="14"/>
  <c r="G155" i="14"/>
  <c r="G259" i="14"/>
  <c r="G325" i="14"/>
  <c r="G416" i="14"/>
  <c r="G150" i="14"/>
  <c r="G18" i="14"/>
  <c r="G74" i="14"/>
  <c r="G178" i="14"/>
  <c r="G149" i="14"/>
  <c r="G70" i="14"/>
  <c r="G164" i="14"/>
  <c r="F384" i="14" l="1"/>
  <c r="E384" i="14"/>
  <c r="G384" i="14" l="1"/>
  <c r="F308" i="14"/>
  <c r="E308" i="14"/>
  <c r="G308" i="14" l="1"/>
  <c r="F265" i="14" l="1"/>
  <c r="E265" i="14"/>
  <c r="F186" i="14"/>
  <c r="E186" i="14"/>
  <c r="F169" i="14"/>
  <c r="E169" i="14"/>
  <c r="F151" i="14"/>
  <c r="E151" i="14"/>
  <c r="F80" i="14"/>
  <c r="E80" i="14"/>
  <c r="E92" i="14"/>
  <c r="F302" i="14"/>
  <c r="E302" i="14"/>
  <c r="F353" i="14"/>
  <c r="E353" i="14"/>
  <c r="E352" i="14" s="1"/>
  <c r="G186" i="14" l="1"/>
  <c r="F352" i="14"/>
  <c r="G352" i="14" s="1"/>
  <c r="G353" i="14"/>
  <c r="G302" i="14"/>
  <c r="G265" i="14"/>
  <c r="G169" i="14"/>
  <c r="G151" i="14"/>
  <c r="G80" i="14"/>
  <c r="F92" i="14"/>
  <c r="G92" i="14" s="1"/>
  <c r="G230" i="14"/>
  <c r="F53" i="14" l="1"/>
  <c r="E53" i="14"/>
  <c r="E52" i="14" s="1"/>
  <c r="F52" i="14" l="1"/>
  <c r="G52" i="14" s="1"/>
  <c r="G53" i="14"/>
  <c r="F401" i="14"/>
  <c r="E401" i="14" l="1"/>
  <c r="G401" i="14" s="1"/>
  <c r="F377" i="14"/>
  <c r="E377" i="14"/>
  <c r="F375" i="14"/>
  <c r="E375" i="14"/>
  <c r="E330" i="14"/>
  <c r="E274" i="14"/>
  <c r="F207" i="14"/>
  <c r="E207" i="14"/>
  <c r="E204" i="14"/>
  <c r="E182" i="14"/>
  <c r="E242" i="14"/>
  <c r="F106" i="14"/>
  <c r="E106" i="14"/>
  <c r="F90" i="14"/>
  <c r="E90" i="14"/>
  <c r="E42" i="14"/>
  <c r="F16" i="14"/>
  <c r="G16" i="14" s="1"/>
  <c r="G375" i="14" l="1"/>
  <c r="G106" i="14"/>
  <c r="G90" i="14"/>
  <c r="G377" i="14"/>
  <c r="G207" i="14"/>
  <c r="F274" i="14"/>
  <c r="G274" i="14" s="1"/>
  <c r="E181" i="14"/>
  <c r="F330" i="14"/>
  <c r="G330" i="14" s="1"/>
  <c r="F204" i="14"/>
  <c r="F242" i="14"/>
  <c r="G242" i="14" s="1"/>
  <c r="F182" i="14"/>
  <c r="F42" i="14"/>
  <c r="G42" i="14" s="1"/>
  <c r="G204" i="14" l="1"/>
  <c r="F181" i="14"/>
  <c r="G181" i="14" s="1"/>
  <c r="G182" i="14"/>
  <c r="E180" i="14"/>
  <c r="E456" i="14" s="1"/>
  <c r="F180" i="14" l="1"/>
  <c r="F456" i="14" s="1"/>
  <c r="G180" i="14" l="1"/>
  <c r="G456" i="14" s="1"/>
  <c r="G227" i="14" l="1"/>
  <c r="F233" i="14" l="1"/>
  <c r="E233" i="14"/>
  <c r="E232" i="14" s="1"/>
  <c r="F229" i="14"/>
  <c r="E229" i="14"/>
  <c r="F112" i="14"/>
  <c r="E112" i="14"/>
  <c r="E111" i="14" s="1"/>
  <c r="G229" i="14" l="1"/>
  <c r="F232" i="14"/>
  <c r="G232" i="14" s="1"/>
  <c r="G233" i="14"/>
  <c r="F111" i="14"/>
  <c r="G111" i="14" s="1"/>
  <c r="G112" i="14"/>
  <c r="F288" i="14" l="1"/>
  <c r="E288" i="14"/>
  <c r="F283" i="14"/>
  <c r="E283" i="14"/>
  <c r="F69" i="14"/>
  <c r="E69" i="14"/>
  <c r="F67" i="14"/>
  <c r="E67" i="14"/>
  <c r="E66" i="14" s="1"/>
  <c r="F147" i="14"/>
  <c r="E147" i="14"/>
  <c r="F17" i="14"/>
  <c r="E17" i="14"/>
  <c r="E14" i="14"/>
  <c r="F12" i="14"/>
  <c r="E12" i="14"/>
  <c r="G12" i="14" l="1"/>
  <c r="G17" i="14"/>
  <c r="G288" i="14"/>
  <c r="G283" i="14"/>
  <c r="G147" i="14"/>
  <c r="G69" i="14"/>
  <c r="F66" i="14"/>
  <c r="G66" i="14" s="1"/>
  <c r="G67" i="14"/>
  <c r="F282" i="14"/>
  <c r="F146" i="14"/>
  <c r="E282" i="14"/>
  <c r="E281" i="14" s="1"/>
  <c r="E467" i="14" s="1"/>
  <c r="E146" i="14"/>
  <c r="E11" i="14"/>
  <c r="E10" i="14" s="1"/>
  <c r="E65" i="14"/>
  <c r="E439" i="14" s="1"/>
  <c r="F14" i="14"/>
  <c r="G146" i="14" l="1"/>
  <c r="F281" i="14"/>
  <c r="G282" i="14"/>
  <c r="F65" i="14"/>
  <c r="F11" i="14"/>
  <c r="G14" i="14"/>
  <c r="E145" i="14"/>
  <c r="E452" i="14" s="1"/>
  <c r="F145" i="14"/>
  <c r="E432" i="14"/>
  <c r="F467" i="14" l="1"/>
  <c r="G281" i="14"/>
  <c r="G467" i="14" s="1"/>
  <c r="F452" i="14"/>
  <c r="G145" i="14"/>
  <c r="G452" i="14" s="1"/>
  <c r="F439" i="14"/>
  <c r="G65" i="14"/>
  <c r="G439" i="14" s="1"/>
  <c r="F10" i="14"/>
  <c r="G11" i="14"/>
  <c r="G10" i="14" l="1"/>
  <c r="G432" i="14" s="1"/>
  <c r="F432" i="14"/>
  <c r="F339" i="14" l="1"/>
  <c r="E339" i="14"/>
  <c r="J379" i="14"/>
  <c r="J374" i="14"/>
  <c r="J329" i="14"/>
  <c r="J332" i="14"/>
  <c r="I325" i="14"/>
  <c r="J325" i="14" s="1"/>
  <c r="I321" i="14"/>
  <c r="J321" i="14" s="1"/>
  <c r="I317" i="14"/>
  <c r="J317" i="14" s="1"/>
  <c r="I316" i="14"/>
  <c r="J316" i="14" s="1"/>
  <c r="J314" i="14"/>
  <c r="J313" i="14"/>
  <c r="G339" i="14" l="1"/>
  <c r="J322" i="14"/>
  <c r="F397" i="14" l="1"/>
  <c r="E397" i="14"/>
  <c r="E396" i="14" s="1"/>
  <c r="F394" i="14"/>
  <c r="E394" i="14"/>
  <c r="F392" i="14"/>
  <c r="E392" i="14"/>
  <c r="K380" i="14"/>
  <c r="H333" i="14"/>
  <c r="I333" i="14"/>
  <c r="K333" i="14"/>
  <c r="J333" i="14"/>
  <c r="K324" i="14"/>
  <c r="J324" i="14"/>
  <c r="H318" i="14"/>
  <c r="I318" i="14"/>
  <c r="K318" i="14"/>
  <c r="J318" i="14"/>
  <c r="H315" i="14"/>
  <c r="K315" i="14"/>
  <c r="K311" i="14"/>
  <c r="F396" i="14" l="1"/>
  <c r="G396" i="14" s="1"/>
  <c r="G397" i="14"/>
  <c r="G394" i="14"/>
  <c r="G392" i="14"/>
  <c r="I311" i="14"/>
  <c r="J311" i="14"/>
  <c r="J380" i="14"/>
  <c r="J315" i="14"/>
  <c r="I315" i="14"/>
  <c r="E221" i="14"/>
  <c r="E220" i="14" s="1"/>
  <c r="F120" i="14"/>
  <c r="E120" i="14"/>
  <c r="F109" i="14"/>
  <c r="E109" i="14"/>
  <c r="E108" i="14" s="1"/>
  <c r="F38" i="14"/>
  <c r="E38" i="14"/>
  <c r="E37" i="14" s="1"/>
  <c r="F37" i="14" l="1"/>
  <c r="G37" i="14" s="1"/>
  <c r="G38" i="14"/>
  <c r="F108" i="14"/>
  <c r="G108" i="14" s="1"/>
  <c r="G109" i="14"/>
  <c r="G120" i="14"/>
  <c r="F221" i="14"/>
  <c r="F220" i="14" l="1"/>
  <c r="G220" i="14" s="1"/>
  <c r="G221" i="14"/>
  <c r="F104" i="14" l="1"/>
  <c r="E104" i="14"/>
  <c r="G104" i="14" l="1"/>
  <c r="F367" i="14"/>
  <c r="E367" i="14"/>
  <c r="E364" i="14" s="1"/>
  <c r="F298" i="14"/>
  <c r="E298" i="14"/>
  <c r="F371" i="14"/>
  <c r="E371" i="14"/>
  <c r="E369" i="14" s="1"/>
  <c r="F344" i="14"/>
  <c r="E344" i="14"/>
  <c r="F337" i="14"/>
  <c r="E337" i="14"/>
  <c r="F326" i="14"/>
  <c r="E326" i="14"/>
  <c r="F350" i="14"/>
  <c r="E350" i="14"/>
  <c r="E349" i="14" s="1"/>
  <c r="E310" i="14"/>
  <c r="F312" i="14"/>
  <c r="E312" i="14"/>
  <c r="F278" i="14"/>
  <c r="E278" i="14"/>
  <c r="E277" i="14" s="1"/>
  <c r="F212" i="14"/>
  <c r="E212" i="14"/>
  <c r="F237" i="14"/>
  <c r="E237" i="14"/>
  <c r="G337" i="14" l="1"/>
  <c r="F277" i="14"/>
  <c r="G277" i="14" s="1"/>
  <c r="G278" i="14"/>
  <c r="G212" i="14"/>
  <c r="F349" i="14"/>
  <c r="G349" i="14" s="1"/>
  <c r="G350" i="14"/>
  <c r="G326" i="14"/>
  <c r="G344" i="14"/>
  <c r="G298" i="14"/>
  <c r="F364" i="14"/>
  <c r="G364" i="14" s="1"/>
  <c r="G367" i="14"/>
  <c r="F369" i="14"/>
  <c r="G369" i="14" s="1"/>
  <c r="G371" i="14"/>
  <c r="G312" i="14"/>
  <c r="G237" i="14"/>
  <c r="E292" i="14" l="1"/>
  <c r="E356" i="14"/>
  <c r="F356" i="14"/>
  <c r="G356" i="14" s="1"/>
  <c r="E407" i="14"/>
  <c r="F318" i="14"/>
  <c r="E318" i="14"/>
  <c r="F328" i="14"/>
  <c r="E328" i="14"/>
  <c r="E240" i="14"/>
  <c r="G328" i="14" l="1"/>
  <c r="G318" i="14"/>
  <c r="F407" i="14"/>
  <c r="E400" i="14"/>
  <c r="F292" i="14"/>
  <c r="G292" i="14" s="1"/>
  <c r="F240" i="14"/>
  <c r="G240" i="14" s="1"/>
  <c r="F400" i="14" l="1"/>
  <c r="G400" i="14" s="1"/>
  <c r="G407" i="14"/>
  <c r="F295" i="14" l="1"/>
  <c r="E295" i="14"/>
  <c r="F176" i="14"/>
  <c r="E176" i="14"/>
  <c r="G176" i="14" l="1"/>
  <c r="G295" i="14"/>
  <c r="F347" i="14"/>
  <c r="F346" i="14" s="1"/>
  <c r="E347" i="14"/>
  <c r="E346" i="14" s="1"/>
  <c r="G346" i="14" l="1"/>
  <c r="G347" i="14"/>
  <c r="F411" i="14"/>
  <c r="E411" i="14"/>
  <c r="F360" i="14"/>
  <c r="E360" i="14"/>
  <c r="F381" i="14"/>
  <c r="E381" i="14"/>
  <c r="F224" i="14"/>
  <c r="E224" i="14"/>
  <c r="E223" i="14" s="1"/>
  <c r="F215" i="14"/>
  <c r="E215" i="14"/>
  <c r="F33" i="14"/>
  <c r="E33" i="14"/>
  <c r="F24" i="14"/>
  <c r="E24" i="14"/>
  <c r="G381" i="14" l="1"/>
  <c r="G24" i="14"/>
  <c r="G360" i="14"/>
  <c r="G33" i="14"/>
  <c r="G411" i="14"/>
  <c r="F223" i="14"/>
  <c r="G223" i="14" s="1"/>
  <c r="G224" i="14"/>
  <c r="G215" i="14"/>
  <c r="F167" i="14" l="1"/>
  <c r="F379" i="14"/>
  <c r="E197" i="14"/>
  <c r="F334" i="14" l="1"/>
  <c r="F355" i="14"/>
  <c r="E355" i="14"/>
  <c r="G355" i="14" l="1"/>
  <c r="F197" i="14"/>
  <c r="E196" i="14"/>
  <c r="F193" i="14"/>
  <c r="F201" i="14"/>
  <c r="F200" i="14" s="1"/>
  <c r="E201" i="14"/>
  <c r="E200" i="14" s="1"/>
  <c r="F159" i="14"/>
  <c r="E159" i="14"/>
  <c r="G159" i="14" s="1"/>
  <c r="F86" i="14"/>
  <c r="E86" i="14"/>
  <c r="F142" i="14"/>
  <c r="E142" i="14"/>
  <c r="F140" i="14"/>
  <c r="E140" i="14"/>
  <c r="F62" i="14"/>
  <c r="E62" i="14"/>
  <c r="G142" i="14" l="1"/>
  <c r="G140" i="14"/>
  <c r="G86" i="14"/>
  <c r="F196" i="14"/>
  <c r="G196" i="14" s="1"/>
  <c r="G197" i="14"/>
  <c r="G200" i="14"/>
  <c r="G201" i="14"/>
  <c r="F192" i="14"/>
  <c r="G62" i="14"/>
  <c r="E139" i="14"/>
  <c r="F139" i="14"/>
  <c r="E193" i="14"/>
  <c r="E192" i="14" s="1"/>
  <c r="G139" i="14" l="1"/>
  <c r="G193" i="14"/>
  <c r="G192" i="14"/>
  <c r="F390" i="14" l="1"/>
  <c r="E390" i="14"/>
  <c r="G390" i="14" l="1"/>
  <c r="E389" i="14"/>
  <c r="F389" i="14"/>
  <c r="F421" i="14"/>
  <c r="G389" i="14" l="1"/>
  <c r="E102" i="14"/>
  <c r="F425" i="14" l="1"/>
  <c r="E425" i="14"/>
  <c r="G425" i="14" l="1"/>
  <c r="F300" i="14"/>
  <c r="E300" i="14"/>
  <c r="E379" i="14"/>
  <c r="G379" i="14" s="1"/>
  <c r="F342" i="14"/>
  <c r="E342" i="14"/>
  <c r="E341" i="14" s="1"/>
  <c r="F332" i="14"/>
  <c r="E332" i="14"/>
  <c r="F263" i="14"/>
  <c r="E263" i="14"/>
  <c r="F260" i="14"/>
  <c r="E260" i="14"/>
  <c r="F258" i="14"/>
  <c r="E258" i="14"/>
  <c r="G260" i="14" l="1"/>
  <c r="G300" i="14"/>
  <c r="F341" i="14"/>
  <c r="G341" i="14" s="1"/>
  <c r="G342" i="14"/>
  <c r="G332" i="14"/>
  <c r="G263" i="14"/>
  <c r="G258" i="14"/>
  <c r="F257" i="14"/>
  <c r="E257" i="14"/>
  <c r="G257" i="14" l="1"/>
  <c r="F256" i="14"/>
  <c r="E256" i="14"/>
  <c r="E473" i="14" s="1"/>
  <c r="F218" i="14"/>
  <c r="E218" i="14"/>
  <c r="E214" i="14" s="1"/>
  <c r="F473" i="14" l="1"/>
  <c r="G256" i="14"/>
  <c r="G473" i="14" s="1"/>
  <c r="F214" i="14"/>
  <c r="G214" i="14" s="1"/>
  <c r="G218" i="14"/>
  <c r="E209" i="14"/>
  <c r="E203" i="14" s="1"/>
  <c r="E199" i="14" s="1"/>
  <c r="F253" i="14"/>
  <c r="E253" i="14"/>
  <c r="F251" i="14"/>
  <c r="E251" i="14"/>
  <c r="E167" i="14"/>
  <c r="G167" i="14" s="1"/>
  <c r="F78" i="14"/>
  <c r="E78" i="14"/>
  <c r="F75" i="14"/>
  <c r="E75" i="14"/>
  <c r="F73" i="14"/>
  <c r="E73" i="14"/>
  <c r="F95" i="14"/>
  <c r="E95" i="14"/>
  <c r="E130" i="14"/>
  <c r="F133" i="14"/>
  <c r="E133" i="14"/>
  <c r="F126" i="14"/>
  <c r="E126" i="14"/>
  <c r="E125" i="14" s="1"/>
  <c r="F60" i="14"/>
  <c r="E60" i="14"/>
  <c r="E59" i="14" s="1"/>
  <c r="E58" i="14" s="1"/>
  <c r="E436" i="14" s="1"/>
  <c r="F49" i="14"/>
  <c r="E49" i="14"/>
  <c r="E48" i="14" s="1"/>
  <c r="G75" i="14" l="1"/>
  <c r="G95" i="14"/>
  <c r="G133" i="14"/>
  <c r="G253" i="14"/>
  <c r="F125" i="14"/>
  <c r="G125" i="14" s="1"/>
  <c r="G126" i="14"/>
  <c r="G251" i="14"/>
  <c r="G78" i="14"/>
  <c r="G73" i="14"/>
  <c r="F59" i="14"/>
  <c r="G60" i="14"/>
  <c r="G49" i="14"/>
  <c r="F48" i="14"/>
  <c r="G48" i="14" s="1"/>
  <c r="F72" i="14"/>
  <c r="E72" i="14"/>
  <c r="E71" i="14" s="1"/>
  <c r="F250" i="14"/>
  <c r="E250" i="14"/>
  <c r="E249" i="14" s="1"/>
  <c r="E462" i="14" s="1"/>
  <c r="E129" i="14"/>
  <c r="F102" i="14"/>
  <c r="G102" i="14" s="1"/>
  <c r="F209" i="14"/>
  <c r="G209" i="14" l="1"/>
  <c r="F203" i="14"/>
  <c r="F199" i="14" s="1"/>
  <c r="F249" i="14"/>
  <c r="G250" i="14"/>
  <c r="F71" i="14"/>
  <c r="G71" i="14" s="1"/>
  <c r="G72" i="14"/>
  <c r="F58" i="14"/>
  <c r="G59" i="14"/>
  <c r="E440" i="14"/>
  <c r="F462" i="14" l="1"/>
  <c r="G249" i="14"/>
  <c r="G462" i="14" s="1"/>
  <c r="F440" i="14"/>
  <c r="F436" i="14"/>
  <c r="G58" i="14"/>
  <c r="G436" i="14" s="1"/>
  <c r="G440" i="14"/>
  <c r="F450" i="14" l="1"/>
  <c r="G450" i="14"/>
  <c r="F465" i="14"/>
  <c r="G465" i="14"/>
  <c r="F31" i="14"/>
  <c r="E31" i="14"/>
  <c r="F101" i="14"/>
  <c r="E101" i="14"/>
  <c r="F88" i="14"/>
  <c r="E88" i="14"/>
  <c r="F420" i="14"/>
  <c r="E421" i="14"/>
  <c r="G421" i="14" s="1"/>
  <c r="F413" i="14"/>
  <c r="E413" i="14"/>
  <c r="F415" i="14"/>
  <c r="E415" i="14"/>
  <c r="F418" i="14"/>
  <c r="E418" i="14"/>
  <c r="E417" i="14" s="1"/>
  <c r="F423" i="14"/>
  <c r="E423" i="14"/>
  <c r="E84" i="14"/>
  <c r="G413" i="14" l="1"/>
  <c r="G31" i="14"/>
  <c r="G423" i="14"/>
  <c r="G415" i="14"/>
  <c r="F417" i="14"/>
  <c r="G417" i="14" s="1"/>
  <c r="G418" i="14"/>
  <c r="G101" i="14"/>
  <c r="G88" i="14"/>
  <c r="E420" i="14"/>
  <c r="E479" i="14" s="1"/>
  <c r="F399" i="14" l="1"/>
  <c r="G420" i="14"/>
  <c r="G479" i="14" s="1"/>
  <c r="F479" i="14"/>
  <c r="E399" i="14"/>
  <c r="E386" i="14"/>
  <c r="E383" i="14" s="1"/>
  <c r="F386" i="14"/>
  <c r="F116" i="14"/>
  <c r="E116" i="14"/>
  <c r="F123" i="14"/>
  <c r="E123" i="14"/>
  <c r="E122" i="14" s="1"/>
  <c r="F130" i="14"/>
  <c r="F136" i="14"/>
  <c r="F135" i="14" s="1"/>
  <c r="E136" i="14"/>
  <c r="F98" i="14"/>
  <c r="E98" i="14"/>
  <c r="E97" i="14" s="1"/>
  <c r="E82" i="14" s="1"/>
  <c r="F236" i="14"/>
  <c r="E236" i="14"/>
  <c r="F190" i="14"/>
  <c r="F189" i="14" s="1"/>
  <c r="F188" i="14" s="1"/>
  <c r="E190" i="14"/>
  <c r="E189" i="14" s="1"/>
  <c r="E188" i="14" s="1"/>
  <c r="G399" i="14" l="1"/>
  <c r="E135" i="14"/>
  <c r="E128" i="14" s="1"/>
  <c r="E445" i="14" s="1"/>
  <c r="G116" i="14"/>
  <c r="F383" i="14"/>
  <c r="G383" i="14" s="1"/>
  <c r="G386" i="14"/>
  <c r="G190" i="14"/>
  <c r="G236" i="14"/>
  <c r="G135" i="14"/>
  <c r="G136" i="14"/>
  <c r="F129" i="14"/>
  <c r="G129" i="14" s="1"/>
  <c r="G130" i="14"/>
  <c r="F122" i="14"/>
  <c r="G122" i="14" s="1"/>
  <c r="G123" i="14"/>
  <c r="F97" i="14"/>
  <c r="G97" i="14" s="1"/>
  <c r="G98" i="14"/>
  <c r="E442" i="14"/>
  <c r="E235" i="14"/>
  <c r="E460" i="14" s="1"/>
  <c r="F235" i="14"/>
  <c r="F84" i="14"/>
  <c r="G188" i="14" l="1"/>
  <c r="G457" i="14" s="1"/>
  <c r="G199" i="14"/>
  <c r="G203" i="14"/>
  <c r="G189" i="14"/>
  <c r="F460" i="14"/>
  <c r="G235" i="14"/>
  <c r="G460" i="14" s="1"/>
  <c r="G83" i="14"/>
  <c r="G84" i="14"/>
  <c r="F128" i="14"/>
  <c r="F445" i="14" s="1"/>
  <c r="F457" i="14" l="1"/>
  <c r="F82" i="14"/>
  <c r="G82" i="14" s="1"/>
  <c r="G442" i="14" s="1"/>
  <c r="G128" i="14"/>
  <c r="G445" i="14" s="1"/>
  <c r="F442" i="14"/>
  <c r="F273" i="14"/>
  <c r="E273" i="14"/>
  <c r="E272" i="14" s="1"/>
  <c r="F373" i="14"/>
  <c r="E373" i="14"/>
  <c r="E363" i="14" s="1"/>
  <c r="F304" i="14"/>
  <c r="E304" i="14"/>
  <c r="E291" i="14"/>
  <c r="F291" i="14"/>
  <c r="G291" i="14" l="1"/>
  <c r="G373" i="14"/>
  <c r="G304" i="14"/>
  <c r="E290" i="14"/>
  <c r="E469" i="14" s="1"/>
  <c r="F272" i="14"/>
  <c r="G272" i="14" s="1"/>
  <c r="G273" i="14"/>
  <c r="F290" i="14"/>
  <c r="F363" i="14"/>
  <c r="F362" i="14" l="1"/>
  <c r="G363" i="14"/>
  <c r="G290" i="14"/>
  <c r="G469" i="14" s="1"/>
  <c r="F469" i="14"/>
  <c r="F247" i="14"/>
  <c r="E247" i="14"/>
  <c r="E246" i="14" s="1"/>
  <c r="E245" i="14" s="1"/>
  <c r="F163" i="14"/>
  <c r="E163" i="14"/>
  <c r="F161" i="14"/>
  <c r="E161" i="14"/>
  <c r="F165" i="14"/>
  <c r="E165" i="14"/>
  <c r="F157" i="14"/>
  <c r="E157" i="14"/>
  <c r="F118" i="14"/>
  <c r="E118" i="14"/>
  <c r="E115" i="14" s="1"/>
  <c r="F35" i="14"/>
  <c r="E35" i="14"/>
  <c r="E30" i="14" s="1"/>
  <c r="F56" i="14"/>
  <c r="E56" i="14"/>
  <c r="F26" i="14"/>
  <c r="E26" i="14"/>
  <c r="F21" i="14"/>
  <c r="E21" i="14"/>
  <c r="G165" i="14" l="1"/>
  <c r="G56" i="14"/>
  <c r="F246" i="14"/>
  <c r="G247" i="14"/>
  <c r="G163" i="14"/>
  <c r="G161" i="14"/>
  <c r="G157" i="14"/>
  <c r="F115" i="14"/>
  <c r="G115" i="14" s="1"/>
  <c r="G118" i="14"/>
  <c r="F30" i="14"/>
  <c r="G30" i="14" s="1"/>
  <c r="G35" i="14"/>
  <c r="G26" i="14"/>
  <c r="G21" i="14"/>
  <c r="F20" i="14"/>
  <c r="E20" i="14"/>
  <c r="E19" i="14" s="1"/>
  <c r="E461" i="14"/>
  <c r="F245" i="14" l="1"/>
  <c r="G246" i="14"/>
  <c r="F19" i="14"/>
  <c r="G19" i="14" s="1"/>
  <c r="G20" i="14"/>
  <c r="E458" i="14"/>
  <c r="G458" i="14"/>
  <c r="F458" i="14"/>
  <c r="G245" i="14" l="1"/>
  <c r="G461" i="14" s="1"/>
  <c r="F461" i="14"/>
  <c r="F154" i="14" l="1"/>
  <c r="E154" i="14"/>
  <c r="E153" i="14" s="1"/>
  <c r="F153" i="14" l="1"/>
  <c r="G153" i="14" s="1"/>
  <c r="G154" i="14"/>
  <c r="E144" i="14"/>
  <c r="F144" i="14" l="1"/>
  <c r="G144" i="14" s="1"/>
  <c r="G453" i="14"/>
  <c r="F453" i="14"/>
  <c r="E453" i="14"/>
  <c r="E450" i="14"/>
  <c r="D8" i="11" s="1"/>
  <c r="E8" i="11"/>
  <c r="F8" i="11" l="1"/>
  <c r="H8" i="11"/>
  <c r="D15" i="11" l="1"/>
  <c r="E15" i="11"/>
  <c r="E334" i="14"/>
  <c r="E362" i="14"/>
  <c r="G362" i="14" s="1"/>
  <c r="F324" i="14"/>
  <c r="E324" i="14"/>
  <c r="F322" i="14"/>
  <c r="E322" i="14"/>
  <c r="F320" i="14"/>
  <c r="E320" i="14"/>
  <c r="F316" i="14"/>
  <c r="E316" i="14"/>
  <c r="F314" i="14"/>
  <c r="E314" i="14"/>
  <c r="G314" i="14" s="1"/>
  <c r="G475" i="14"/>
  <c r="F475" i="14"/>
  <c r="E475" i="14"/>
  <c r="F269" i="14"/>
  <c r="E269" i="14"/>
  <c r="E268" i="14" s="1"/>
  <c r="E267" i="14" s="1"/>
  <c r="E255" i="14" s="1"/>
  <c r="F15" i="11" l="1"/>
  <c r="H15" i="11"/>
  <c r="G316" i="14"/>
  <c r="G320" i="14"/>
  <c r="G324" i="14"/>
  <c r="G322" i="14"/>
  <c r="E307" i="14"/>
  <c r="E306" i="14" s="1"/>
  <c r="G334" i="14"/>
  <c r="F268" i="14"/>
  <c r="G269" i="14"/>
  <c r="E471" i="14"/>
  <c r="E474" i="14"/>
  <c r="G471" i="14"/>
  <c r="F267" i="14" l="1"/>
  <c r="G268" i="14"/>
  <c r="E280" i="14"/>
  <c r="F471" i="14"/>
  <c r="E476" i="14"/>
  <c r="D12" i="11" s="1"/>
  <c r="G267" i="14" l="1"/>
  <c r="G474" i="14" s="1"/>
  <c r="G476" i="14" s="1"/>
  <c r="F255" i="14"/>
  <c r="G255" i="14" s="1"/>
  <c r="F474" i="14"/>
  <c r="F476" i="14" s="1"/>
  <c r="E12" i="11" s="1"/>
  <c r="F12" i="11" l="1"/>
  <c r="H12" i="11"/>
  <c r="E14" i="11" l="1"/>
  <c r="F174" i="14"/>
  <c r="F114" i="14"/>
  <c r="F55" i="14"/>
  <c r="F46" i="14"/>
  <c r="F41" i="14"/>
  <c r="G433" i="14"/>
  <c r="F433" i="14"/>
  <c r="H14" i="11" l="1"/>
  <c r="F45" i="14"/>
  <c r="F173" i="14"/>
  <c r="F51" i="14"/>
  <c r="F435" i="14" s="1"/>
  <c r="F443" i="14"/>
  <c r="F446" i="14" s="1"/>
  <c r="F64" i="14"/>
  <c r="F40" i="14"/>
  <c r="E11" i="11"/>
  <c r="H11" i="11" l="1"/>
  <c r="F172" i="14"/>
  <c r="F434" i="14"/>
  <c r="F437" i="14" s="1"/>
  <c r="F9" i="14"/>
  <c r="F454" i="14"/>
  <c r="E9" i="11" s="1"/>
  <c r="H9" i="11" l="1"/>
  <c r="F171" i="14"/>
  <c r="F455" i="14"/>
  <c r="F463" i="14" s="1"/>
  <c r="E10" i="11" s="1"/>
  <c r="E6" i="11"/>
  <c r="E7" i="11"/>
  <c r="H7" i="11" l="1"/>
  <c r="H10" i="11"/>
  <c r="H6" i="11"/>
  <c r="E46" i="14" l="1"/>
  <c r="G46" i="14" s="1"/>
  <c r="G454" i="14" l="1"/>
  <c r="E45" i="14" l="1"/>
  <c r="G45" i="14" s="1"/>
  <c r="E55" i="14"/>
  <c r="E174" i="14"/>
  <c r="G174" i="14" s="1"/>
  <c r="E41" i="14"/>
  <c r="G41" i="14" s="1"/>
  <c r="E51" i="14" l="1"/>
  <c r="G51" i="14" s="1"/>
  <c r="G435" i="14" s="1"/>
  <c r="G55" i="14"/>
  <c r="E40" i="14"/>
  <c r="E465" i="14"/>
  <c r="D11" i="11" s="1"/>
  <c r="F11" i="11" s="1"/>
  <c r="E433" i="14"/>
  <c r="E114" i="14"/>
  <c r="E457" i="14"/>
  <c r="D14" i="11"/>
  <c r="F14" i="11" s="1"/>
  <c r="E173" i="14"/>
  <c r="E172" i="14" l="1"/>
  <c r="G173" i="14"/>
  <c r="E64" i="14"/>
  <c r="G64" i="14" s="1"/>
  <c r="G114" i="14"/>
  <c r="G443" i="14" s="1"/>
  <c r="G446" i="14" s="1"/>
  <c r="E427" i="14"/>
  <c r="G40" i="14"/>
  <c r="G434" i="14" s="1"/>
  <c r="G437" i="14" s="1"/>
  <c r="E9" i="14"/>
  <c r="G9" i="14" s="1"/>
  <c r="E435" i="14"/>
  <c r="E455" i="14"/>
  <c r="E463" i="14" s="1"/>
  <c r="E434" i="14"/>
  <c r="E454" i="14"/>
  <c r="D9" i="11" s="1"/>
  <c r="F9" i="11" s="1"/>
  <c r="E443" i="14"/>
  <c r="E446" i="14" s="1"/>
  <c r="E171" i="14" l="1"/>
  <c r="G171" i="14" s="1"/>
  <c r="G172" i="14"/>
  <c r="G455" i="14" s="1"/>
  <c r="G463" i="14" s="1"/>
  <c r="E437" i="14"/>
  <c r="D6" i="11" s="1"/>
  <c r="F6" i="11" s="1"/>
  <c r="D7" i="11"/>
  <c r="F7" i="11" s="1"/>
  <c r="E430" i="14" l="1"/>
  <c r="D10" i="11"/>
  <c r="F10" i="11" s="1"/>
  <c r="F310" i="14" l="1"/>
  <c r="G310" i="14" s="1"/>
  <c r="F307" i="14" l="1"/>
  <c r="E470" i="14"/>
  <c r="E472" i="14" s="1"/>
  <c r="F306" i="14" l="1"/>
  <c r="F280" i="14" s="1"/>
  <c r="G307" i="14"/>
  <c r="E429" i="14"/>
  <c r="E481" i="14"/>
  <c r="E482" i="14" s="1"/>
  <c r="D13" i="11"/>
  <c r="F470" i="14" l="1"/>
  <c r="F472" i="14" s="1"/>
  <c r="F481" i="14" s="1"/>
  <c r="F430" i="14"/>
  <c r="G280" i="14"/>
  <c r="G430" i="14" s="1"/>
  <c r="F427" i="14"/>
  <c r="G306" i="14"/>
  <c r="G470" i="14" s="1"/>
  <c r="G472" i="14" s="1"/>
  <c r="G481" i="14" s="1"/>
  <c r="D16" i="11"/>
  <c r="D18" i="11" s="1"/>
  <c r="E13" i="11" l="1"/>
  <c r="G427" i="14"/>
  <c r="F429" i="14"/>
  <c r="F482" i="14"/>
  <c r="H13" i="11" l="1"/>
  <c r="E16" i="11"/>
  <c r="F13" i="11"/>
  <c r="G429" i="14"/>
  <c r="G482" i="14"/>
  <c r="E18" i="11" l="1"/>
  <c r="H16" i="11"/>
  <c r="G8" i="11"/>
  <c r="G12" i="11"/>
  <c r="G14" i="11"/>
  <c r="G11" i="11"/>
  <c r="G9" i="11"/>
  <c r="G7" i="11"/>
  <c r="G6" i="11"/>
  <c r="G10" i="11"/>
  <c r="G13" i="11"/>
  <c r="F16" i="11"/>
  <c r="F18" i="11" s="1"/>
  <c r="G16" i="11" l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<sst xmlns="http://schemas.openxmlformats.org/spreadsheetml/2006/main" count="1467" uniqueCount="865">
  <si>
    <t>9900000000</t>
  </si>
  <si>
    <t>0400000000</t>
  </si>
  <si>
    <t>0300000000</t>
  </si>
  <si>
    <t>0200000000</t>
  </si>
  <si>
    <t>0100000000</t>
  </si>
  <si>
    <t>500</t>
  </si>
  <si>
    <t>03</t>
  </si>
  <si>
    <t>Межбюджетные трансферты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</si>
  <si>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</si>
  <si>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</si>
  <si>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</si>
  <si>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01</t>
  </si>
  <si>
    <t>0310120000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</si>
  <si>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</si>
  <si>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</si>
  <si>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</si>
  <si>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</si>
  <si>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600</t>
  </si>
  <si>
    <t>02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</si>
  <si>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</si>
  <si>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</si>
  <si>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</si>
  <si>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100</t>
  </si>
  <si>
    <t>05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</si>
  <si>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</si>
  <si>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</si>
  <si>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>0210000000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</si>
  <si>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</si>
  <si>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</si>
  <si>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</si>
  <si>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</si>
  <si>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</si>
  <si>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</si>
  <si>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>200</t>
  </si>
  <si>
    <t>0220110000</t>
  </si>
  <si>
    <t>06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</si>
  <si>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</si>
  <si>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</si>
  <si>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</si>
  <si>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04</t>
  </si>
  <si>
    <t>0230000000</t>
  </si>
  <si>
    <t>0110000000</t>
  </si>
  <si>
    <t>Капитальные вложения в объекты государственной (муниципальной) собственности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</si>
  <si>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</si>
  <si>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</si>
  <si>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</si>
  <si>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07</t>
  </si>
  <si>
    <t>800</t>
  </si>
  <si>
    <t>Расходы на выплаты по оплате труда работников   Отдела образования МО "Онгудайский район"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</si>
  <si>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</si>
  <si>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</si>
  <si>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</si>
  <si>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0420000000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</si>
  <si>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</si>
  <si>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</si>
  <si>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0320000000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</si>
  <si>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</si>
  <si>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</si>
  <si>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</si>
  <si>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</si>
  <si>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</si>
  <si>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</si>
  <si>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</si>
  <si>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0410110000</t>
  </si>
  <si>
    <t>040К110190</t>
  </si>
  <si>
    <t>040К100110</t>
  </si>
  <si>
    <t>040К100100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</si>
  <si>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</si>
  <si>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</si>
  <si>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</si>
  <si>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</si>
  <si>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Резервные фонды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</si>
  <si>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</si>
  <si>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</si>
  <si>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</si>
  <si>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</si>
  <si>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</si>
  <si>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</si>
  <si>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>030А192000</t>
  </si>
  <si>
    <t>Расходы на обеспечение функций    Администрации МО "Онгудайский район"</t>
  </si>
  <si>
    <t>Расходы на выплаты по оплате труда работников   Администрации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</si>
  <si>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</si>
  <si>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</si>
  <si>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</si>
  <si>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</si>
  <si>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</si>
  <si>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</si>
  <si>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990А000100</t>
  </si>
  <si>
    <t xml:space="preserve">Высшее должностное лицо муниципального образования </t>
  </si>
  <si>
    <t>Целевая статья</t>
  </si>
  <si>
    <t>(тыс.рублей)</t>
  </si>
  <si>
    <t xml:space="preserve">Всего </t>
  </si>
  <si>
    <t>Основное мероприятие Поддержка малого и среднего предпринимательства на территории МО "Онгудайский  район"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</si>
  <si>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</si>
  <si>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</si>
  <si>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</si>
  <si>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</si>
  <si>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</si>
  <si>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</si>
  <si>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</si>
  <si>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Расходы на выплаты по оплате труда работников   МКУ ГОЧС</t>
  </si>
  <si>
    <t>Расходы на обеспечение функций   МКУ ГО ЧС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</si>
  <si>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</si>
  <si>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</si>
  <si>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</si>
  <si>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</si>
  <si>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</si>
  <si>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</si>
  <si>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Основное мероприятие Развитие библиотечного обслуживания в муниципальном образовании"Онгудайский район"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</si>
  <si>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</si>
  <si>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0500000000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</si>
  <si>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</si>
  <si>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990000Ш000</t>
  </si>
  <si>
    <t>Основное мерпориятие: Материально-техническое обеспечение Администрации МО "Онгудайский район"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</si>
  <si>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</si>
  <si>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</si>
  <si>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</si>
  <si>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</si>
  <si>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</si>
  <si>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</si>
  <si>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</si>
  <si>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</si>
  <si>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</si>
  <si>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</si>
  <si>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</si>
  <si>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</si>
  <si>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Проведение агротехнических мероприятий в рамках основного мепоприятия 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</si>
  <si>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</si>
  <si>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</si>
  <si>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</si>
  <si>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</si>
  <si>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</si>
  <si>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</si>
  <si>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</si>
  <si>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</si>
  <si>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</si>
  <si>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</si>
  <si>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</si>
  <si>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</si>
  <si>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</si>
  <si>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</si>
  <si>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</si>
  <si>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0210100000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</si>
  <si>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</si>
  <si>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</si>
  <si>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</si>
  <si>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 xml:space="preserve">Реализация молодежной политики муниципального образования "Онгудайский район" </t>
  </si>
  <si>
    <t>0210600000</t>
  </si>
  <si>
    <t>0210610000</t>
  </si>
  <si>
    <t>Основное мероприятие :Материально–техническое обеспечение Отдела культуры МО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</si>
  <si>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</si>
  <si>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010А10000</t>
  </si>
  <si>
    <t>0510000000</t>
  </si>
  <si>
    <t>УУР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</si>
  <si>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</si>
  <si>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</si>
  <si>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</si>
  <si>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</si>
  <si>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</si>
  <si>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</si>
  <si>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</si>
  <si>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</si>
  <si>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</si>
  <si>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</si>
  <si>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</si>
  <si>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</si>
  <si>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</si>
  <si>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</si>
  <si>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Коды бюджетной классификации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</si>
  <si>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</si>
  <si>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</si>
  <si>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</si>
  <si>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</si>
  <si>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</si>
  <si>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</si>
  <si>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</si>
  <si>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</si>
  <si>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</si>
  <si>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</si>
  <si>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</si>
  <si>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</si>
  <si>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</si>
  <si>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</si>
  <si>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</si>
  <si>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</si>
  <si>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</si>
  <si>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</si>
  <si>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</si>
  <si>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</si>
  <si>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</si>
  <si>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</si>
  <si>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</si>
  <si>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</si>
  <si>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</si>
  <si>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</si>
  <si>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</si>
  <si>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>0620000000</t>
  </si>
  <si>
    <t>0620100000</t>
  </si>
  <si>
    <t>0620110000</t>
  </si>
  <si>
    <t>0610000000</t>
  </si>
  <si>
    <t>0600000000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</si>
  <si>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</si>
  <si>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</si>
  <si>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</si>
  <si>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0420420000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</si>
  <si>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</si>
  <si>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</si>
  <si>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</si>
  <si>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</si>
  <si>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</si>
  <si>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Муниципальная программа «Развитие образования в муниципальном образовании «Онгудайский район»</t>
  </si>
  <si>
    <t xml:space="preserve">Муниципальная программа «Управление муниципальной собственностью и градостроительной деятельностью в муниципальном образовании «Онгудайский район» 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</si>
  <si>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</si>
  <si>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</si>
  <si>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</si>
  <si>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</si>
  <si>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</si>
  <si>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</si>
  <si>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</si>
  <si>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</si>
  <si>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</si>
  <si>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</si>
  <si>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0720000000</t>
  </si>
  <si>
    <t>0720100000</t>
  </si>
  <si>
    <t>0720110000</t>
  </si>
  <si>
    <t>0720200000</t>
  </si>
  <si>
    <t>0720247698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</si>
  <si>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</si>
  <si>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</si>
  <si>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</si>
  <si>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</si>
  <si>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</si>
  <si>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</si>
  <si>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</si>
  <si>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</si>
  <si>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</si>
  <si>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</si>
  <si>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</si>
  <si>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</si>
  <si>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</si>
  <si>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</si>
  <si>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</si>
  <si>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</si>
  <si>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0310151200</t>
  </si>
  <si>
    <t>0440100000</t>
  </si>
  <si>
    <t>0440110000</t>
  </si>
  <si>
    <t>04202S1300</t>
  </si>
  <si>
    <t>0720120000</t>
  </si>
  <si>
    <t>03 старая программа с имущ</t>
  </si>
  <si>
    <t>0300000000 нов пр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</si>
  <si>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</si>
  <si>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</si>
  <si>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0210000000стар</t>
  </si>
  <si>
    <t xml:space="preserve">0210000000 нов </t>
  </si>
  <si>
    <t>0220000000 изм нет</t>
  </si>
  <si>
    <t>01102L567П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</si>
  <si>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</si>
  <si>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</si>
  <si>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Основное мероприятие «Реализация регионального проекта «Успех каждого ребенка»</t>
  </si>
  <si>
    <t>071E200000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</si>
  <si>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</si>
  <si>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071E250972</t>
  </si>
  <si>
    <t>Реализация мероприятий по обеспечению жильем молодых семей (субсидии)</t>
  </si>
  <si>
    <t>02401L4970</t>
  </si>
  <si>
    <t>Основное мероприятие «Формирование безбарьерной среды для инвалидов и других маломобильных граждан»</t>
  </si>
  <si>
    <t>0220300000</t>
  </si>
  <si>
    <t>02203L0272</t>
  </si>
  <si>
    <t>Основное мероприятие Повышение эффективности использования муниципального жилого фонда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</si>
  <si>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</si>
  <si>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0420100000</t>
  </si>
  <si>
    <t>0420141100</t>
  </si>
  <si>
    <t>Субвенции на проведение Всероссийской переписи населения 2020 года</t>
  </si>
  <si>
    <t>Основное мероприятие  Привлечение инвестиций на территорию муниципального образования "Онгудайский район", оказание мер государственной поддержки</t>
  </si>
  <si>
    <t>0120300000</t>
  </si>
  <si>
    <t>0120354690</t>
  </si>
  <si>
    <t>Подпрограмма «Обеспечение экологической безопасности и улучшение состояния окружающей среды»</t>
  </si>
  <si>
    <t>Основное мероприятие "Ремонт гидротехнических сооружений"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</si>
  <si>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</t>
  </si>
  <si>
    <t>0450000000</t>
  </si>
  <si>
    <t>0450100000</t>
  </si>
  <si>
    <t>04501L0652</t>
  </si>
  <si>
    <t>Субсидии  на оплату труда работникам бюджетной сферы</t>
  </si>
  <si>
    <t>07101S8500</t>
  </si>
  <si>
    <t>07201S8500</t>
  </si>
  <si>
    <t>040К1S8500</t>
  </si>
  <si>
    <t>03101S8500</t>
  </si>
  <si>
    <t>020К100000</t>
  </si>
  <si>
    <t>020К110100</t>
  </si>
  <si>
    <t>020К110110</t>
  </si>
  <si>
    <t>020К110190</t>
  </si>
  <si>
    <t>020К1S8500</t>
  </si>
  <si>
    <t>02101S8500</t>
  </si>
  <si>
    <t>070Ц2S8500</t>
  </si>
  <si>
    <t>Основное мероприятие Обеспечение доступности информации для населения на территории МО "Онгудайский район"</t>
  </si>
  <si>
    <t>Обеспечение доступности информации для населения на территории МО  "Онгудайский район"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</si>
  <si>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</si>
  <si>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</si>
  <si>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0140100000</t>
  </si>
  <si>
    <t>0140110000</t>
  </si>
  <si>
    <t>0450110000</t>
  </si>
  <si>
    <t>Подготовка и проведение выборов депутатов в представительный орган местного самоуправления</t>
  </si>
  <si>
    <t>9900000500</t>
  </si>
  <si>
    <t>Основное мероприятие Отходы  в муниципальном образовании "Онгудайский район"</t>
  </si>
  <si>
    <t>0420600000</t>
  </si>
  <si>
    <t>Мероприятия по обустройству контейнерных площадок</t>
  </si>
  <si>
    <t>0420620000</t>
  </si>
  <si>
    <t xml:space="preserve">Мероприятия по утилизации отходов в муниципальном образовании "Онгудайский район" </t>
  </si>
  <si>
    <t>0420610000</t>
  </si>
  <si>
    <t>400</t>
  </si>
  <si>
    <t>020К200000</t>
  </si>
  <si>
    <t>060К200000</t>
  </si>
  <si>
    <t>060К200100</t>
  </si>
  <si>
    <t>060К200110</t>
  </si>
  <si>
    <t>060К200190</t>
  </si>
  <si>
    <t>060К2S8500</t>
  </si>
  <si>
    <t>Муниципальная программа  «Развитие образования в муниципальном образовании «Онгудайский район»</t>
  </si>
  <si>
    <t>Муниципальная программа" Социальное развитие муниципального образования "Онгудайский район"</t>
  </si>
  <si>
    <t>Непрограммные направления деятельности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</si>
  <si>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</si>
  <si>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</si>
  <si>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</si>
  <si>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</si>
  <si>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</si>
  <si>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</si>
  <si>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</si>
  <si>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</si>
  <si>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</si>
  <si>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</si>
  <si>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Создание условий для получения детьми-инвалидами качественного образования</t>
  </si>
  <si>
    <t>Основное мероприятие «Реализация мероприятий патриотического воспитания граждан»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</si>
  <si>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</si>
  <si>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0240300000</t>
  </si>
  <si>
    <t>02403L2990</t>
  </si>
  <si>
    <t>01401S8500</t>
  </si>
  <si>
    <t>Проведение культурно-массовых мероприятий в рамках основоного мероприятия</t>
  </si>
  <si>
    <t>0210110002</t>
  </si>
  <si>
    <t>Патриотическое воспитание подрастающей молодежи</t>
  </si>
  <si>
    <t>0240310000</t>
  </si>
  <si>
    <t>0310140000</t>
  </si>
  <si>
    <t>Прочие межбюджетные трансферты общего характера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</si>
  <si>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</si>
  <si>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</si>
  <si>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0410810000</t>
  </si>
  <si>
    <t>Реконструкция систем водоснабжения Онгудайского района Республики Алтай</t>
  </si>
  <si>
    <t>0420410000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</si>
  <si>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</si>
  <si>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</si>
  <si>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</si>
  <si>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0710210000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</si>
  <si>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</si>
  <si>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Муниципальная программа "Управление муниципальными финансами  в  муниципальном образовании "Онгудайский район"</t>
  </si>
  <si>
    <t>Муниципальная программа "Управление муниципальными финансами в муниципальном образовании "Онгудайский район"</t>
  </si>
  <si>
    <t xml:space="preserve">Обеспечивающая подпрограмма "Повышение эффективности управления в Администрации МО "Онгудайский район" муниципальной программы "Развитие экономического потенциала и предпринимательства муниципального образования "Онгудайский район" 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</si>
  <si>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</si>
  <si>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Повышение качества управления и распоряжения муниципальным имуществом </t>
  </si>
  <si>
    <t xml:space="preserve">Мероприятия в рамках основного мероприятия Повышение качества управления и распоряжения муниципальным имуществом 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</si>
  <si>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</si>
  <si>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Обеспечивающая подпрограмма "Повышение эффективности   управления  в Отделе образования"  муниципальной программы" «Развитие образования в муниципальном образовании «Онгудайский район»</t>
  </si>
  <si>
    <t>Основное мероприятие:Материально-техническое обеспечение управления в Отделе образования  МО "Онгудайский район"</t>
  </si>
  <si>
    <t>Расходы на выплаты по оплате труда работников  Управления Управления финансов Онгудайского района</t>
  </si>
  <si>
    <t>Основное мероприятие:Обеспечение деятельности  Управления финансов Онгудайского района</t>
  </si>
  <si>
    <t>Расходы на обеспечение функций     Управления финансов Онгудайского района</t>
  </si>
  <si>
    <t>Дотация на выравнивание уровня бюджетной обеспеченности   поселений, выделяемая бюджетом  муниципального образования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</si>
  <si>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</si>
  <si>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 xml:space="preserve"> Расширение спектра культурно-досуговых услуг </t>
  </si>
  <si>
    <t xml:space="preserve">Предоставление библиотечных услуг </t>
  </si>
  <si>
    <t xml:space="preserve">Обеспечивающая подпрограмма «Повышение эффективности  управления в Отделе культуры, спорта и молодежной политики администрации МО «Онгудайский район» муниципальной программы " Социальное развитие муниципального образования  «Онгудайский район» 
</t>
  </si>
  <si>
    <t>Обеспечивающая подпрогрмма "Обеспечение деятельности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</si>
  <si>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Основное мероприятие: Материально-техническое обеспечение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</si>
  <si>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выплаты по оплате труда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</si>
  <si>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обеспечение функций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</si>
  <si>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</si>
  <si>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 xml:space="preserve">Основное мероприятие:Материально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</si>
  <si>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выплаты по оплате труда работников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</si>
  <si>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обеспечение функций 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</si>
  <si>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Обеспечивающая подпрограмма  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муниципальной программы «Управление муниципальной собственностью и градостроительной деятельностью в муниципальном образовании «Онгудайский район» </t>
  </si>
  <si>
    <t>Проведение работ в рамках  основного мероприятия "Ремонт гидротехнических сооружений"</t>
  </si>
  <si>
    <t>Подпрограмма " Развитие жилищно-коммунального комплекса"муниципальной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</si>
  <si>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Расходы на обеспечение функций управления Отдела образования МО  "Онгудайский район"</t>
  </si>
  <si>
    <t>9900000900</t>
  </si>
  <si>
    <t>Расходы по уплате иных платежей, по решениям судов, штрафов ( в т.ч. административных)</t>
  </si>
  <si>
    <t>01102L576П</t>
  </si>
  <si>
    <t>07102L540П</t>
  </si>
  <si>
    <t>01102L5761</t>
  </si>
  <si>
    <t>0110120000</t>
  </si>
  <si>
    <t xml:space="preserve">Реализация меропиятий по установке и согласованию санитарно-защитных зон в части обустройства содержания мест утилизации биологических отходов (скотомогильников, биотермических ям)  </t>
  </si>
  <si>
    <t>Реализация мероприятий по модернизации региональных и муниципальных школ искусств по  видам искусств</t>
  </si>
  <si>
    <t>07201S3060</t>
  </si>
  <si>
    <t>Реализация мероприятий по повышению устойчивости жилых домов, основных объектов и систем жизнеобеспечения в сейсмических районах РФ (Корректировка ПД по объекту: "Строительство полной средней школы на 260 учащихся с интернатом на 80 мест в с.Иня Онгудайского района РА")</t>
  </si>
  <si>
    <t xml:space="preserve">0420000000 </t>
  </si>
  <si>
    <t>Основное мероприятие «Реализация регионального проекта «Содействие занятости женщин-создание условий дошкольного образования для детей в возрасте до трех лет»</t>
  </si>
  <si>
    <t>071P200000</t>
  </si>
  <si>
    <t>071P210000</t>
  </si>
  <si>
    <t>Создание условий дошкольного образования для детей в возрасте до трех лет</t>
  </si>
  <si>
    <t xml:space="preserve">Субсидии на поддержку развития образовательных  организаций в Республике Алтай, реализующих программы дошкольного образования </t>
  </si>
  <si>
    <t>07101S6200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</si>
  <si>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</si>
  <si>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</si>
  <si>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Мероприятия в целях профилактики и устранения распространения коронавирусной инфекции</t>
  </si>
  <si>
    <t>990000Ш5Ж0</t>
  </si>
  <si>
    <t>0430130001</t>
  </si>
  <si>
    <t xml:space="preserve">Проведение работ в рамках  основного мероприятия Развитие транспортной инфраструктуры  Освещение улиц
</t>
  </si>
  <si>
    <t>071ИП00000</t>
  </si>
  <si>
    <t>071ИП5321Y</t>
  </si>
  <si>
    <t xml:space="preserve">Реализация мероприятий индивидуальной программы социально-экономического развития Республики Алтай </t>
  </si>
  <si>
    <t>Строительство образовательных организаций</t>
  </si>
  <si>
    <t>07101100Ж0</t>
  </si>
  <si>
    <t>07101L3042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</si>
  <si>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</si>
  <si>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07101S4600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</si>
  <si>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</si>
  <si>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071E210003</t>
  </si>
  <si>
    <t xml:space="preserve">Приобретение спортивного оборудования </t>
  </si>
  <si>
    <t>07201100Ж0</t>
  </si>
  <si>
    <t>07201200Ж0</t>
  </si>
  <si>
    <t>070Ц2741Ж0</t>
  </si>
  <si>
    <t>Повышение оплаты труда работников муниципальных учреждений культуры</t>
  </si>
  <si>
    <t>02101S5100</t>
  </si>
  <si>
    <t>062И65321L</t>
  </si>
  <si>
    <t>062И600000</t>
  </si>
  <si>
    <t>Реализация мероприятий  индивидуальной программы социально-экономического развития Республики Алтай</t>
  </si>
  <si>
    <t>Стимулирование жилищного строительства</t>
  </si>
  <si>
    <t>02106S5100</t>
  </si>
  <si>
    <t>Субсидии на пополнение  оборотного фонда теплоснабжающих организаций, организаций, осуществляющих горячее и холодное водоснабжение</t>
  </si>
  <si>
    <t>0420260000</t>
  </si>
  <si>
    <t>Уточненный план 2021г</t>
  </si>
  <si>
    <t>0220151350</t>
  </si>
  <si>
    <t>Разработка проектно-сметной документации, строительство скважин, канализационных коллекторов и котельных</t>
  </si>
  <si>
    <t>Основное мероприятие Реализация мероприятий  индивидуальной программы социально-экономического развития Республики Алтай</t>
  </si>
  <si>
    <t>011ИП00000</t>
  </si>
  <si>
    <t>011ИП5321Ч</t>
  </si>
  <si>
    <t>Проекты комплексного развития сельских территорий</t>
  </si>
  <si>
    <t>021A100000</t>
  </si>
  <si>
    <t>Основное мероприятие «Реализация регионального проекта «Культурная среда»</t>
  </si>
  <si>
    <t>021A155191</t>
  </si>
  <si>
    <t>Государственная поддержка отрасли культуры (субсидии на капитально отремонтированные культурно-досуговые учреждения в сельской местности)</t>
  </si>
  <si>
    <t>072A100000</t>
  </si>
  <si>
    <t>Государственная поддержка отрасли культуры (субсидии на реализацию мероприятии по модернизации муниципальных детских школ искусств но видам искусств )</t>
  </si>
  <si>
    <t>072A155194</t>
  </si>
  <si>
    <t>Основное мероприятие  Благоустройство территорий в  рамках реализации проектов, основанных на местных инициативах</t>
  </si>
  <si>
    <t>0420700000</t>
  </si>
  <si>
    <t>04207S0200</t>
  </si>
  <si>
    <t>Субсидии на выполнение работ по благоустройству территорий в рамках реализации проекта "Инициатива граждан"</t>
  </si>
  <si>
    <t>Государственная поддержка  лучших сельских учреждений культуры</t>
  </si>
  <si>
    <t>Подготовка к отопительному периоду объектов теплоснабжения</t>
  </si>
  <si>
    <t>0420210000</t>
  </si>
  <si>
    <t>0710153032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</si>
  <si>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</si>
  <si>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 2021год</t>
  </si>
  <si>
    <t>Обеспечивающая подпрограмма Материально-техническое обеспечение  деятельности МКУ «Центр по обслуживанию деятельности Отдела образования МО «Онгудайский район» и подведомственных ему учреждений» муниципальной программы" «Развитие образования в муниципальном образовании «Онгудайский район»</t>
  </si>
  <si>
    <t>Основное мероприятие:Создание условий для деятельности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</si>
  <si>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работниковМКУ  «Центр по обслуживанию деятельности Отдела образования МО «Онгудайский район» и подведомственных ему учреждений»</t>
  </si>
  <si>
    <t>Обеспечение  деятельности 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</si>
  <si>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 МКУ  «Центр по обслуживанию деятельности Отдела образования МО «Онгудайский район» и подведомственных ему учреждений»за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</si>
  <si>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070А000000</t>
  </si>
  <si>
    <t>070А074100</t>
  </si>
  <si>
    <t>070А074110</t>
  </si>
  <si>
    <t>070А074190</t>
  </si>
  <si>
    <t>070А0S8500</t>
  </si>
  <si>
    <t>030А000000</t>
  </si>
  <si>
    <t>030А092100</t>
  </si>
  <si>
    <t>030А092110</t>
  </si>
  <si>
    <t>030А092190</t>
  </si>
  <si>
    <t>010А000000</t>
  </si>
  <si>
    <t>010А000100</t>
  </si>
  <si>
    <t>010А000110</t>
  </si>
  <si>
    <t>010А000190</t>
  </si>
  <si>
    <t>010А0S8500</t>
  </si>
  <si>
    <t>020А000000</t>
  </si>
  <si>
    <t>020А010100</t>
  </si>
  <si>
    <t>020А010110</t>
  </si>
  <si>
    <t>020А0S8500</t>
  </si>
  <si>
    <t>010А00000</t>
  </si>
  <si>
    <t>04301S22Д0</t>
  </si>
  <si>
    <t>Проведение капитального  ремонта и ремонта автомобильных дорог общего пользования местного значения и искусственных сооружений на них</t>
  </si>
  <si>
    <t>042И6L321G</t>
  </si>
  <si>
    <t>Реализация мероприятий индивидуальной программы социально-экономического развития Республики Алтай</t>
  </si>
  <si>
    <t>042И600000</t>
  </si>
  <si>
    <t>042И700000</t>
  </si>
  <si>
    <t>042И7L321W</t>
  </si>
  <si>
    <t>02101S5000</t>
  </si>
  <si>
    <t>Субсидии на поддержку и развитие сферы культуры</t>
  </si>
  <si>
    <t>021А255196</t>
  </si>
  <si>
    <t>Основное мероприятие «Реализация регионального проекта «Творческие люди»</t>
  </si>
  <si>
    <t>021А200000</t>
  </si>
  <si>
    <t xml:space="preserve">Субвенции на осуществление полномочий по обеспечению жильем отдельных категорий граждан, установленных ФЗ от 12 января 1995 года № 5-ФЗ "О ветеранах" </t>
  </si>
  <si>
    <t>07201S7600</t>
  </si>
  <si>
    <t>07201S7800</t>
  </si>
  <si>
    <t>Финансирование расходных обязательств, направленных на развитие дополнительного образования детей</t>
  </si>
  <si>
    <t>Субсидии на мероприятия, направленые на оплату труда педагогических работников дополнительного образования детей</t>
  </si>
  <si>
    <t>Субсидии на формирование муниципального специализированного жилищного фонда для обеспечения педагогических работников</t>
  </si>
  <si>
    <t>07101S4700</t>
  </si>
  <si>
    <t>040К200000</t>
  </si>
  <si>
    <t>040К200110</t>
  </si>
  <si>
    <t>040К200100</t>
  </si>
  <si>
    <t>Обеспечивающая подпрограмма Материально-техническое обеспечение МКУ" ОнгудайВодснаб"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</si>
  <si>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 Материально-техническое обеспечение МКУ  "Онгудайводснаб"</t>
  </si>
  <si>
    <t>Расходы на выплаты по оплате труда работников   МКУ "Онгудайводснаб"</t>
  </si>
  <si>
    <t>Расходы на обеспечение функций   МКУ "Онгудайводснаб"</t>
  </si>
  <si>
    <t>040К200190</t>
  </si>
  <si>
    <t>0420270000</t>
  </si>
  <si>
    <t>Предоставление субсидии из бюжета муниципального образования "Онгудайский район"  МУП "ТеплоВодСервис" на оказание финансовой помощи в целях восстановления  платежеспособности</t>
  </si>
  <si>
    <t>02106L519F</t>
  </si>
  <si>
    <t>Государственная поддержка отрасли культуры за счет средств резервного фонда Правительства Российской Федерации (комплектование книжных фондов)</t>
  </si>
  <si>
    <t>Предоставление субсидии за счет средств бюджета муниципального района на финансовое обеспечение (возмещение) затрат Микрокредитной компании «Фонд поддержки субъектов малого и среднего предпринимательства муниципального образования «Онгудайский район»</t>
  </si>
  <si>
    <t>071И90000</t>
  </si>
  <si>
    <t>071И9L321Y</t>
  </si>
  <si>
    <t>Завершение строительства, укомплектование средствами обучения и воспитания, мягким инвентарем образовательных организаций</t>
  </si>
  <si>
    <t>070Ц2S9600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</si>
  <si>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</si>
  <si>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030А0S9600</t>
  </si>
  <si>
    <t>03101S9600</t>
  </si>
  <si>
    <t>060К2S9600</t>
  </si>
  <si>
    <t>040К2S9600</t>
  </si>
  <si>
    <t>020К1S9600</t>
  </si>
  <si>
    <t>07101S1037</t>
  </si>
  <si>
    <t>Обеспечение выполнения требований к антитеррористической защищенности муниципальных образовательных организаций</t>
  </si>
  <si>
    <t>0720210000</t>
  </si>
  <si>
    <t xml:space="preserve">Мероприятия по проведению оздоровительной кампании детей
</t>
  </si>
  <si>
    <t xml:space="preserve">Кассовое исполнение </t>
  </si>
  <si>
    <t>% исполнения</t>
  </si>
  <si>
    <t>Доля в общем расходе     ( в %)</t>
  </si>
  <si>
    <t xml:space="preserve">% исполнения </t>
  </si>
  <si>
    <t>Кассовое исполнение</t>
  </si>
  <si>
    <t>Уточненный план</t>
  </si>
  <si>
    <t>Приложение 1 к пояснительной записке</t>
  </si>
  <si>
    <t>Итого по Отделу образования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</si>
  <si>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</si>
  <si>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</si>
  <si>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</si>
  <si>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Отдел образования Онгудайского района</t>
  </si>
  <si>
    <t>Итого по Администрации</t>
  </si>
  <si>
    <t>Решение Совета депутатов№24-6  от 30.03.2017г  " Об утверждении Положения об условиях предоставления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</si>
  <si>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Осуществление назначения и выплаты доплат к пенсиям</t>
  </si>
  <si>
    <t>Федеральный закон от 12 января 1995 года № 5-ФЗ «О ветеранах»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</si>
  <si>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</si>
  <si>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</si>
  <si>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</si>
  <si>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Администрация района (аймака) муниципального образования "Онгудайский район"</t>
  </si>
  <si>
    <t>Местные средства</t>
  </si>
  <si>
    <t>в том числе</t>
  </si>
  <si>
    <t>Всего</t>
  </si>
  <si>
    <t xml:space="preserve">Уточненный план </t>
  </si>
  <si>
    <t>Нормативный правовой акт, определяющий публичное нормативное  обязательство</t>
  </si>
  <si>
    <t xml:space="preserve">Наименование публичного нормативного обязательства </t>
  </si>
  <si>
    <t>Главный распорядитель бюджетных средств</t>
  </si>
  <si>
    <t>Реконструкция Туектинской основной общеобразовательной школы (спортзал, пищеблок, теплый туалет) ПСД</t>
  </si>
  <si>
    <t>Реконструкция  водопровода в с Купчегень Онгудайского района  Республики Алтай</t>
  </si>
  <si>
    <t>Строительство скважины для водоснабжения села Чуйозы Онгудайского района</t>
  </si>
  <si>
    <t>Внешнее электроснабжение жилого микрорайона "Южный" в с. Онгудай Онгудайского района (1-я очередь), (2-я очередь)</t>
  </si>
  <si>
    <t>Подпрограмма "Развитие инфраструктуры района"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</si>
  <si>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</si>
  <si>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Кредиторская задолженность по выполненным работам: Строительство ЦРБ в с.Онгудай (корпус Г)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</si>
  <si>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</si>
  <si>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</si>
  <si>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ПИР  водопровода в с Малый Яломан Онгудайского района  Республики Алтай</t>
  </si>
  <si>
    <t>Подпрограмма "Развитие конкурентной экономики"</t>
  </si>
  <si>
    <t>Муниципальная программа "Экономическое развитие муниципального образования «Онгудайский район» на 2013-2018г.г."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</si>
  <si>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</si>
  <si>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</si>
  <si>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 всего</t>
  </si>
  <si>
    <t>Остатки от годовых назначений</t>
  </si>
  <si>
    <t>Наименование объекта</t>
  </si>
  <si>
    <t xml:space="preserve">ВСЕГО  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</si>
  <si>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</si>
  <si>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1.3.2.</t>
  </si>
  <si>
    <t>1.3.1.</t>
  </si>
  <si>
    <t>1.3.</t>
  </si>
  <si>
    <t>1.2.2.</t>
  </si>
  <si>
    <t>1.2.</t>
  </si>
  <si>
    <t>1.1.1.</t>
  </si>
  <si>
    <t>Дотация на выравнивание уровня бюджетной обеспеченности</t>
  </si>
  <si>
    <t>1.1.</t>
  </si>
  <si>
    <t>1</t>
  </si>
  <si>
    <t>Б</t>
  </si>
  <si>
    <t>А</t>
  </si>
  <si>
    <t>Онгудайское</t>
  </si>
  <si>
    <t>Ининское</t>
  </si>
  <si>
    <t>Купчегеньское</t>
  </si>
  <si>
    <t>Хабаровское</t>
  </si>
  <si>
    <t>Шашикманское</t>
  </si>
  <si>
    <t>Нижне-Талдинское</t>
  </si>
  <si>
    <t>Каракольское</t>
  </si>
  <si>
    <t>Куладинское</t>
  </si>
  <si>
    <t>Теньгинское</t>
  </si>
  <si>
    <t>Елинское</t>
  </si>
  <si>
    <t xml:space="preserve">  Наименования сельских поселений муниципального образования "Онгудайский район"</t>
  </si>
  <si>
    <t>Индексы</t>
  </si>
  <si>
    <t>Показатели</t>
  </si>
  <si>
    <t>(тыс. рублей)</t>
  </si>
  <si>
    <t>Субсидии  на проведение ремонтных работ Куладинскому сельскому поселению</t>
  </si>
  <si>
    <t>Местный бюджет</t>
  </si>
  <si>
    <t>Федеральный бюджет, республиканский бюджет Республики Алтай (справочно)</t>
  </si>
  <si>
    <t>в том числе по источникам</t>
  </si>
  <si>
    <t>Наименование, виды работ</t>
  </si>
  <si>
    <t>№ п/п</t>
  </si>
  <si>
    <t>Уточненный план на 2021год</t>
  </si>
  <si>
    <t>Исполнение  межбюджетных трансфертов бюджетам сельских поселений муниципального образования "Онгудайский район" за 2021 год</t>
  </si>
  <si>
    <t xml:space="preserve">Исполнение 2020г </t>
  </si>
  <si>
    <t>Отчетный 2021год</t>
  </si>
  <si>
    <t>Темп роста в 2021г по сравн с 2020 годом (%)</t>
  </si>
  <si>
    <t>Республиканские средства</t>
  </si>
  <si>
    <t>Федеральные средства</t>
  </si>
  <si>
    <t>Иные межбюджетные трансферты, передаваемые бюджетам сельских поселений для компенсации дополнительных расходов</t>
  </si>
  <si>
    <t>1.2.1</t>
  </si>
  <si>
    <t>Иные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</si>
  <si>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1.2.1.1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</si>
  <si>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2020г)</t>
  </si>
  <si>
    <t>1.2.1.2.</t>
  </si>
  <si>
    <t xml:space="preserve">Иные межбюджетные  трансферты на проведение выборов  </t>
  </si>
  <si>
    <t>1.2.1.3.</t>
  </si>
  <si>
    <t>Иные межбюджетные трансферты на решение  вопросов  по исполнению полономочий уровня сельских поселений</t>
  </si>
  <si>
    <t>1.2.1.4.</t>
  </si>
  <si>
    <t>Иные 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</si>
  <si>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1.2.2.1</t>
  </si>
  <si>
    <t xml:space="preserve">Иные межбюджетные трансферты, передаваемые бюджетам сельских поселений на осуществление части полномочий , в части дорожной деятельности 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</si>
  <si>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1.2.2.2</t>
  </si>
  <si>
    <t>Прочие субсидии  бюджетам сельских поселений</t>
  </si>
  <si>
    <t>Субсидии  на оплату  труда с начислениями  на неё работников бюджетной сферы (не ниже МРОТ)</t>
  </si>
  <si>
    <t>Субсидии на оплату труда работников учреждений культуры</t>
  </si>
  <si>
    <t>1..3.3</t>
  </si>
  <si>
    <t>Субсидии на проведение капитального  ремонта и ремонта автомобильных дорог общего пользования местного значения и искусственных сооружений на них</t>
  </si>
  <si>
    <t>1.2.1.3.1</t>
  </si>
  <si>
    <t>1.2.1.3.3</t>
  </si>
  <si>
    <t>1.2.1.3.4</t>
  </si>
  <si>
    <t>1.2.1.3.5</t>
  </si>
  <si>
    <t>1.2.1.3.6</t>
  </si>
  <si>
    <t>1.2.1.3.7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</si>
  <si>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</si>
  <si>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</si>
  <si>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</si>
  <si>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</si>
  <si>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</si>
  <si>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</si>
  <si>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</si>
  <si>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</si>
  <si>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 xml:space="preserve">Прохождение государственной экспертизы корректировки ПСД по реконструкции систем вдоснабжения в с Онгудай  микрорайонов Талда, ДРСУ, Южный  </t>
  </si>
  <si>
    <t xml:space="preserve">Государственная экспертиза ПСД на строительство средней школы в с Онгудай на 550 мест </t>
  </si>
  <si>
    <t>Государственная экспертиза ПСД на реконструкцию детского сада в с Теньга</t>
  </si>
  <si>
    <t>Формирование муниципального специализированного жилищного фонда для обеспечения педагогических работников</t>
  </si>
  <si>
    <t>Исполнение 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за  2021 год</t>
  </si>
  <si>
    <t>приобретение угля , дров</t>
  </si>
  <si>
    <t>1.2.1.3.17</t>
  </si>
  <si>
    <t>Ремонт подъездных путей</t>
  </si>
  <si>
    <t>1.2.1.3.18</t>
  </si>
  <si>
    <t>Предотвращение угрозы подтопления жилого дома в с Ело, проведение работ по береукреплению опасных участков  береговой линии рек Урсул в с.Кара-Коба, Каракол в с Бичикту-Бом</t>
  </si>
  <si>
    <t>Кассовое исполнение за  2021 год</t>
  </si>
  <si>
    <t>Ремонт автомобильной дороги по УТЦ Семинский</t>
  </si>
  <si>
    <t>Остаток бюджетных ассигнований Дорожного фонда на  01.01.2022г</t>
  </si>
  <si>
    <t>Дорожный фонд : план на 2021 год</t>
  </si>
  <si>
    <t>Ремонт автомобильной дороги  по ул.Энергетиков в с.Онгудай (полигон ТБО)</t>
  </si>
  <si>
    <t xml:space="preserve">Ямочный ремонт, уширение дороги по улицам Ленина, Семенова и Советская в с.Онгудай </t>
  </si>
  <si>
    <t xml:space="preserve">Текущий  ремонт автомобильных дорог общего пользования местного значения (Расчистка водопропускной канавы по ул. Луговая; ул. Партизанская 18 (уширение проезжей части); ул. Онгудайская (поднятие профиля дороги); ул. Ленина 127-130а (профилировка с отсыпкой); ул. Алтайская (Подъезд к ЦРБ) устройство тротуара; ул. Юбилейная 43-67А (профилировка с отсыпкой); ул. Космонавтов (пожарная часть) профилировка с отсыпкой; Дорога на кладбище)  в с. Онгудай </t>
  </si>
  <si>
    <t xml:space="preserve">Текущий  ремонт автомобильных дорог общего пользования местного значения по улицам Весенняя, Радужная, Дальняя, мкр.Южный в  с .Онгудай </t>
  </si>
  <si>
    <t xml:space="preserve">Текущий ремонт: Устройство асфальтового покрытия  по улице  Заречная 29-38 в с. Онгудай </t>
  </si>
  <si>
    <t xml:space="preserve">Текущий ремонт: Устройство асфальтового покрытия  по улице  Ерзумашева в с. Онгудай </t>
  </si>
  <si>
    <t xml:space="preserve">Текущий  ремонт  мостового перехода по ул. Песчаная,8 в  с. Онгудай </t>
  </si>
  <si>
    <t>Текущий ремонт : Устройство тротуара по ул.Ленина от дома №16 до дома№24 в с Онгудай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</si>
  <si>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Выполнение работ по нанесению горизонтальной дорожной разметки на автомобильной дороге общего пользования местного значения в с.Онгудай </t>
    </r>
  </si>
  <si>
    <t xml:space="preserve">Текущий ремонт: Устройство тротуара ул. Победы 1 -Космонавтов 1) в с. Онгудай </t>
  </si>
  <si>
    <t xml:space="preserve">Передача полномочий муниципального района по дорожной деятельности бюджетам сельских поселений согласно Соглашений </t>
  </si>
  <si>
    <t xml:space="preserve">Текущий ремонт автомобильных дорог общего пользования местного значения по улицам Алтайская, Юбилейная, Партизанская, Молодежная, Фестивальная, Советская, Космонавтов, Кооперативная, Ленина, Семенова и  переулок Импортный, в  с.Онгудай </t>
  </si>
  <si>
    <t>Содержание автомобильных дорог общего пользования местного значения в зимний период на территории МО "Онгудайский район"(россыпь противогололедных материалов комбинированной дорожной машиной)</t>
  </si>
  <si>
    <t xml:space="preserve">Текущий ремонт автомобильной дороги общего пользования местного значения(уширение дороги)по  ул.Советская в с.Онгудай </t>
  </si>
  <si>
    <t>Выполнение работ по монтажу дорожных знаков</t>
  </si>
  <si>
    <t>Исполнение  бюджетных ассигнований Дорожного фонда муниципального образования "Онгудайский район"    за 2021 год</t>
  </si>
  <si>
    <t>Повышение квалификации (44-фз)</t>
  </si>
  <si>
    <t xml:space="preserve">Проведение выборов: ГСМ на доставку, приобретение индивидуальных средств защиты, возмещение расходов на проведение </t>
  </si>
  <si>
    <t>Электроосвещение улиц, техническое присоединение к сетям</t>
  </si>
  <si>
    <t>Ремонт пожарного поста</t>
  </si>
  <si>
    <t xml:space="preserve">Проведение вакцинации от COVID-19: ГСМ на подвоз  </t>
  </si>
  <si>
    <t>Исполнение наказов избирателей  депутатам муниципального образования</t>
  </si>
  <si>
    <t>Ремонт ДК (софинансирование к национальному проекту, подготовка ПСД)</t>
  </si>
  <si>
    <t>Поощрение старост</t>
  </si>
  <si>
    <t xml:space="preserve">Содержание здания интерната, переданного на баланс </t>
  </si>
  <si>
    <t>Ремонт водовоза</t>
  </si>
  <si>
    <t>Ремонт памятников Победы в Великой Отечественной войне 1941-1945 годов</t>
  </si>
  <si>
    <t>Подготовка места проведения районного праздника "Эл-Ойын"</t>
  </si>
  <si>
    <t>Территориальное планирование</t>
  </si>
  <si>
    <t xml:space="preserve">По итогам выборов на исполнение полномочий сельских поселений </t>
  </si>
  <si>
    <t xml:space="preserve">Ремонт отопления спортивного зала </t>
  </si>
  <si>
    <t>Сумма</t>
  </si>
  <si>
    <t>1.2.1.3.2</t>
  </si>
  <si>
    <t>1.2.1.3.8</t>
  </si>
  <si>
    <t>ИТОГО</t>
  </si>
  <si>
    <t>Платежное поручение№897947от16.12.2021</t>
  </si>
  <si>
    <t>Материальная помощь , находящемуся в трудной жизненной ситуации, для строительства бани</t>
  </si>
  <si>
    <t>Распоряжение Главы района (аймака) № 735-р от 14.12.2021г.</t>
  </si>
  <si>
    <t>Платежное поручение №874815от10.12.2021</t>
  </si>
  <si>
    <t>Материальная помощь , в связи с пожаром</t>
  </si>
  <si>
    <t>Распоряжение Главы района (аймака) № 726-р от 09.12.2021г.</t>
  </si>
  <si>
    <t>Платежное поручение№880014от13.12.2021</t>
  </si>
  <si>
    <t>Материальная помощь , на организацию и проведение похорон</t>
  </si>
  <si>
    <t>Распоряжение Главы района (аймака) № 725-р от 09.12.2021г.</t>
  </si>
  <si>
    <t>Платежное поручение№874817от10.12.2021</t>
  </si>
  <si>
    <t>Материальная помощь, на поездку в г.Москва на лечение сына</t>
  </si>
  <si>
    <t>Распоряжение Главы района (аймака) № 724-р от 09.12.2021г.</t>
  </si>
  <si>
    <t>п\п №886230 от 14.12.2021 г.</t>
  </si>
  <si>
    <t>Проведение работ по предотвращению угрозы подтопления жилых домов в с.Бичикту-Боом ул.Шолхо Каракольскому сельскому поселению</t>
  </si>
  <si>
    <t>Распоряжение Главы района (аймака) № 697-р от 25.11.2021г.</t>
  </si>
  <si>
    <r>
      <t xml:space="preserve">ИП Макарьева А.С. Дог№б/н от03.12.21г,тов.накл№124от21.12.21г,п/п№24758от23.12.21г - </t>
    </r>
    <r>
      <rPr>
        <b/>
        <sz val="10"/>
        <rFont val="Times New Roman"/>
        <family val="1"/>
        <charset val="204"/>
      </rPr>
      <t>48976,03р</t>
    </r>
    <r>
      <rPr>
        <sz val="10"/>
        <rFont val="Times New Roman"/>
        <family val="1"/>
        <charset val="204"/>
      </rPr>
      <t>. Дог№б/н от 03.12.21г,акт№125 от21.12.21г,п/п№24759от23.12.21г-</t>
    </r>
    <r>
      <rPr>
        <b/>
        <sz val="10"/>
        <rFont val="Times New Roman"/>
        <family val="1"/>
        <charset val="204"/>
      </rPr>
      <t xml:space="preserve"> 22500р</t>
    </r>
    <r>
      <rPr>
        <sz val="10"/>
        <rFont val="Times New Roman"/>
        <family val="1"/>
        <charset val="204"/>
      </rPr>
      <t xml:space="preserve">. ИП Тантыбарова С.С.,Дог№б/н от15.12.21г,тов.накл№3809 от15.12.21г,п/п№24760от23.12.21г- </t>
    </r>
    <r>
      <rPr>
        <b/>
        <sz val="10"/>
        <rFont val="Times New Roman"/>
        <family val="1"/>
        <charset val="204"/>
      </rPr>
      <t>11323,97р</t>
    </r>
    <r>
      <rPr>
        <sz val="10"/>
        <rFont val="Times New Roman"/>
        <family val="1"/>
        <charset val="204"/>
      </rPr>
      <t>.</t>
    </r>
  </si>
  <si>
    <t>Проведение ремонтных работ двенадцати пожарных гидрантов, расположенных на системах центрального водоснабжения в с.Онгудай, с.Нижняя-Талда, с.Шиба, с.Ело, с.Иня, с.Шашикман</t>
  </si>
  <si>
    <t>Распоряжение Главы района (аймака) № 652-р от 01.11.2021г.</t>
  </si>
  <si>
    <r>
      <t>ИП Красиков Григорий Александрович, Дог№2от24.12.21г,п/п№40898от27.12.21г-</t>
    </r>
    <r>
      <rPr>
        <b/>
        <sz val="10"/>
        <rFont val="Times New Roman"/>
        <family val="1"/>
        <charset val="204"/>
      </rPr>
      <t>12750р</t>
    </r>
    <r>
      <rPr>
        <sz val="10"/>
        <rFont val="Times New Roman"/>
        <family val="1"/>
        <charset val="204"/>
      </rPr>
      <t xml:space="preserve">, Дог№1 от24.12.21г,п/п№42032 от27.12.21г- </t>
    </r>
    <r>
      <rPr>
        <b/>
        <sz val="10"/>
        <rFont val="Times New Roman"/>
        <family val="1"/>
        <charset val="204"/>
      </rPr>
      <t>2250р</t>
    </r>
  </si>
  <si>
    <t>Приобретение части запасов продовольственных товаров, утвержденных в номенклатуре</t>
  </si>
  <si>
    <t>Распоряжение Главы района (аймака) № 651-р от 01.11.2021г.</t>
  </si>
  <si>
    <t xml:space="preserve"> № 686 26.10.2021г.ГСМ</t>
  </si>
  <si>
    <t xml:space="preserve"> Елинскому сельскому поселению</t>
  </si>
  <si>
    <t>счет-фактура №95 от 27.10.2022 СПК "Племзавод "Теньгинский"</t>
  </si>
  <si>
    <t xml:space="preserve"> Теньгинскому сельскому поселению</t>
  </si>
  <si>
    <t>№ 648976 от 16.09.2021г.</t>
  </si>
  <si>
    <t xml:space="preserve"> Куладинскому сельскому поселению</t>
  </si>
  <si>
    <t>п\п №757408 от 28.10.2021 г.</t>
  </si>
  <si>
    <t xml:space="preserve"> Каракольскому сельскому поселению</t>
  </si>
  <si>
    <t>Платежное поручение №886245 от 14.12.2021</t>
  </si>
  <si>
    <t xml:space="preserve"> Нижне-Талдинскому сельскому поселению</t>
  </si>
  <si>
    <t xml:space="preserve">П/п№680603 от 29.09.2021г.Индивидуальный предприниматель Шнитов В.В.(приобретение ГСМ)
</t>
  </si>
  <si>
    <t xml:space="preserve"> Шашикманскому сельскому поселению</t>
  </si>
  <si>
    <t xml:space="preserve">П/пе № 52424 от 28.12.2021 на сумму 7572 руб.; № 52427от  28.12.2021 на сумму 2607 руб.; </t>
  </si>
  <si>
    <t xml:space="preserve"> Онгудайскому сельскому поселению</t>
  </si>
  <si>
    <t>П/п №829238 от 26.11.2021г</t>
  </si>
  <si>
    <t xml:space="preserve"> Хабаровскому сельскому поселению</t>
  </si>
  <si>
    <t>Платежное поручение №765864 от 29.10.2021 г.</t>
  </si>
  <si>
    <t xml:space="preserve"> Купчегенскому сельскому поселению</t>
  </si>
  <si>
    <t>ПП № 813482 от 19.11.2021 г., приобретение ГСМ, ООО "Ника"</t>
  </si>
  <si>
    <t>Ининскому сельскому поселению</t>
  </si>
  <si>
    <t xml:space="preserve">Обеспечение ГСМ автомобилей, предназначенных для организации подвоза населения к пунктам голосования и заправки доп.источников эл/питания </t>
  </si>
  <si>
    <t>Распоряжение Главы района (аймака) № 556-р от 15.09.2021г.</t>
  </si>
  <si>
    <r>
      <t>ООО"Инжиниринг энергетических систем" Договор№07-21от09.09.2021г,тов.накладная№4от10.09.2021,п/п№652930от17.09.21г-</t>
    </r>
    <r>
      <rPr>
        <b/>
        <sz val="10"/>
        <rFont val="Times New Roman"/>
        <family val="1"/>
        <charset val="204"/>
      </rPr>
      <t>263100р</t>
    </r>
    <r>
      <rPr>
        <sz val="10"/>
        <rFont val="Times New Roman"/>
        <family val="1"/>
        <charset val="204"/>
      </rPr>
      <t xml:space="preserve">, Дог№06-21от09.09.21г,аванс.пл30% ,п/п от17.09.21г- </t>
    </r>
    <r>
      <rPr>
        <b/>
        <sz val="10"/>
        <rFont val="Times New Roman"/>
        <family val="1"/>
        <charset val="204"/>
      </rPr>
      <t>40800р</t>
    </r>
    <r>
      <rPr>
        <sz val="10"/>
        <rFont val="Times New Roman"/>
        <family val="1"/>
        <charset val="204"/>
      </rPr>
      <t>, Дог№06-21от09.09.21г,акт№6от24.09.21г,п/п№698893 от 06.10.21г -</t>
    </r>
    <r>
      <rPr>
        <b/>
        <sz val="10"/>
        <rFont val="Times New Roman"/>
        <family val="1"/>
        <charset val="204"/>
      </rPr>
      <t>95200р</t>
    </r>
    <r>
      <rPr>
        <sz val="10"/>
        <rFont val="Times New Roman"/>
        <family val="1"/>
        <charset val="204"/>
      </rPr>
      <t>. ООО"Специализированная фирма"РусЭксперТ",Дог№59-21-08-12от09.09.21г,акт№26от09.09.21г, п/п№667931от24.09.21г-</t>
    </r>
    <r>
      <rPr>
        <b/>
        <sz val="10"/>
        <rFont val="Times New Roman"/>
        <family val="1"/>
        <charset val="204"/>
      </rPr>
      <t>33000р</t>
    </r>
    <r>
      <rPr>
        <sz val="10"/>
        <rFont val="Times New Roman"/>
        <family val="1"/>
        <charset val="204"/>
      </rPr>
      <t>.</t>
    </r>
  </si>
  <si>
    <t>На приобретение и установку транспортерной ленты (конвейерной) для золоудаления в котельную № 1, а так же ремонта колосников в котельной установке</t>
  </si>
  <si>
    <t>Распоряжение Главы района (аймака) № 540-р от 09.09.2021г.</t>
  </si>
  <si>
    <t>Договор№18лт23.09.2021г,акт пр.вып.р№б/н от16.12.2021г.                                                    Платежное поручение№39365от27.12.2021</t>
  </si>
  <si>
    <t>На приобретение индивидуальных средств защиты для проведения выборов депутатов Гос.Думы Федерального Собрания РФ 19 сентября 2021г.</t>
  </si>
  <si>
    <t>Распоряжение Главы района (аймака) № 462-р от 12.08.2021г.</t>
  </si>
  <si>
    <t>ООО "ЦНПЭ "Алтай-Эксперт",Дело№2-259/2020от25.12.2020г,счет№43от21.04.2021г, п/п№573625 от17.08.2021г- 126000р.</t>
  </si>
  <si>
    <t>Для прохождения судебной землеустроительной экспертизы по определению Онгудайского районного суда по делу № 2-259/2020</t>
  </si>
  <si>
    <t>Распоряжение Главы района (аймака) № 461-р от 12.08.2021г.</t>
  </si>
  <si>
    <r>
      <t>ИП Ким Г. Н.,Дог№б/н от28.07.21г,п/п№566818от13.08.21г-</t>
    </r>
    <r>
      <rPr>
        <b/>
        <sz val="10"/>
        <rFont val="Times New Roman"/>
        <family val="1"/>
        <charset val="204"/>
      </rPr>
      <t>21550р,</t>
    </r>
    <r>
      <rPr>
        <sz val="10"/>
        <rFont val="Times New Roman"/>
        <family val="1"/>
        <charset val="204"/>
      </rPr>
      <t xml:space="preserve">ИП Беренова И.П.,Дог№28.07.21г,п/п№564734 от12.08.21г- </t>
    </r>
    <r>
      <rPr>
        <b/>
        <sz val="10"/>
        <rFont val="Times New Roman"/>
        <family val="1"/>
        <charset val="204"/>
      </rPr>
      <t>35450р</t>
    </r>
  </si>
  <si>
    <t>Для проведения мероприятия по подведению итогов деятельности террит-ой подсистемы единой гос-ой системы предупреждения и ликвид-ии чрезв-ых ситуаций в РА за первое полугодие и постановку задач на второе полугодие 2021 года 28 июля 2021г.</t>
  </si>
  <si>
    <t>Распоряжение Главы района (аймака) № 428-р от 30.07.2021г.</t>
  </si>
  <si>
    <t>Платежное поручение№460512от30.06.2021</t>
  </si>
  <si>
    <t>Материальная помощь , на ремонт печи отопления и электропроводки</t>
  </si>
  <si>
    <t>Распоряжение Главы района (аймака) № 339-р от 22.06.2021г.</t>
  </si>
  <si>
    <t>№ 426216 от 16.06.2021г.</t>
  </si>
  <si>
    <t>Для подготовки места проведения районного праздника "Эл-Ойын" 19-20 июня 2021г. Куладинскому сельскому поселению</t>
  </si>
  <si>
    <t>Распоряжение Главы района (аймака) № 291-р от 03.06.2021г.</t>
  </si>
  <si>
    <t xml:space="preserve"> № 563 от 31.08.2021г. За выпол.работ по берегоукреп. опасн.уч.берегов.линии р.Урсул с.К-Коба </t>
  </si>
  <si>
    <t>В целях проведения работ по береукреплению опасного участка береговой линии реки Урсул в с.Кара-Коба Елинскому сельскому поселению</t>
  </si>
  <si>
    <t>Распоряжение Главы района (аймака) № 287 от 02.06.2021г.</t>
  </si>
  <si>
    <t>1. товарная накладная №1893 от 21.06.2021 ИП Темдекова (канцелярские товары)                                 2.Чек от 29.06.2021 на 22000 рублей СИЗы от ООО "Вайлдбериз". Чек от 04.07.2021 на 854 руб от ООО "Вайлдбериз"</t>
  </si>
  <si>
    <t>На приобретение средств индивидуальной защиты для проведения дополнительных выборов депутатов Теньгинскому сельскому поселению</t>
  </si>
  <si>
    <t>Распоряжение Главы района (аймака) № 285-р от 01.06.2021г.</t>
  </si>
  <si>
    <r>
      <t xml:space="preserve">ИПЧумуев А.С.,Дог№б/н от25.05.21г,с/ф№000000000000034от25.05.21г,п/п№387188 от01.06.2021г - </t>
    </r>
    <r>
      <rPr>
        <b/>
        <sz val="10"/>
        <rFont val="Times New Roman"/>
        <family val="1"/>
        <charset val="204"/>
      </rPr>
      <t>26097р</t>
    </r>
    <r>
      <rPr>
        <sz val="10"/>
        <rFont val="Times New Roman"/>
        <family val="1"/>
        <charset val="204"/>
      </rPr>
      <t xml:space="preserve">. АУ РА "Онгудай лес",Дог на оказ.усл№б/н от24.05.21г,акт№б/н от24.05.21г,п/п №428977от17.06.21г- </t>
    </r>
    <r>
      <rPr>
        <b/>
        <sz val="10"/>
        <rFont val="Times New Roman"/>
        <family val="1"/>
        <charset val="204"/>
      </rPr>
      <t xml:space="preserve">12500р. </t>
    </r>
    <r>
      <rPr>
        <sz val="10"/>
        <rFont val="Times New Roman"/>
        <family val="1"/>
        <charset val="204"/>
      </rPr>
      <t>АО ДЭП№222,Дог на оказ.усл№б/н от24.05.21г,акт пр-сд оказ.усл№б/н от24.05.21г,п/п№455054от29.06.21г-</t>
    </r>
    <r>
      <rPr>
        <b/>
        <sz val="10"/>
        <rFont val="Times New Roman"/>
        <family val="1"/>
        <charset val="204"/>
      </rPr>
      <t>25000р.</t>
    </r>
  </si>
  <si>
    <t>В целях восстановления электроснабжения по улице Тодубай с.Нижняя Талда</t>
  </si>
  <si>
    <t>Распоряжение Главы района (аймака) № 263-р от 25.05.2021г.</t>
  </si>
  <si>
    <t>Пл.поручение №468636 от 02.07.2021г</t>
  </si>
  <si>
    <t>В целях обеспечения транспортного сообщения с жителями ул.Заречная с.Улита Хабаровского сельского поселения</t>
  </si>
  <si>
    <t>Распоряжение Главы района (аймака) № 256-р от 24.05.2021г.</t>
  </si>
  <si>
    <t>Платежное поручени№363129от24.05.2021</t>
  </si>
  <si>
    <t>Материальная помощь , для организации и проведения похорон супруга</t>
  </si>
  <si>
    <t>Распоряжение Главы района (аймака) № 246-р от 19.05.2021г.</t>
  </si>
  <si>
    <t>Пл.пор№393445 от 03.06.2021г 3470,00руб. ; пл.пор №423121 от 15.06.2021г 30750</t>
  </si>
  <si>
    <t>На приобретение индивидуальных средств защиты для проведения выборов Главы сельского поселения Хабаровскому сельскому поселению</t>
  </si>
  <si>
    <t>Распоряжение Главы района (аймака) № 200-р от 12.05.2021г.</t>
  </si>
  <si>
    <t>Платежное поручение№347398от17.05.2021</t>
  </si>
  <si>
    <t>Материальная помощь  для поездки в г.Новосибирск на оперативное лечение</t>
  </si>
  <si>
    <t>Распоряжение Главы района (аймака) № 199-р от 12.05.2021г.</t>
  </si>
  <si>
    <t>Платежное поручение№337129от13.05.2021</t>
  </si>
  <si>
    <t>Материальная помощь, для организации и проведении похорон мужа</t>
  </si>
  <si>
    <t>Распоряжение Главы района (аймака) № 198-р от 11.05.2021г.</t>
  </si>
  <si>
    <t>Муп"Тепловодсервис" Дог№б/н от29.04.21г,акт пр.вып.р№б/н  от01.06.21г, п/п №397231 от04.06.21г - 80000р</t>
  </si>
  <si>
    <t>Приведение пожарных гидрантов в исправное состояние</t>
  </si>
  <si>
    <t>Распоряжение Главы района (аймака) № 193-р от 28.04.2021г.</t>
  </si>
  <si>
    <t>ООО"ДНС Ритейл",Дог№А-00138884от06.04.21г,п/п№337589от13.05.21г- 87798р.</t>
  </si>
  <si>
    <t>На оплату приобретаемых товаров (мотопомпа и электрогенератор)</t>
  </si>
  <si>
    <t>Распоряжение Главы района (аймака) № 194-р от 28.04.2021г.</t>
  </si>
  <si>
    <t>Платежное поручение№302095от27.04.2021</t>
  </si>
  <si>
    <t>Материальная помощь , в связи с поездкой в г.Москва дочери для награждения и участия в мероприятиях, посвященных Дню Победы</t>
  </si>
  <si>
    <t>Распоряжение Главы района (аймака) № 181-р от 22.04.2021г.</t>
  </si>
  <si>
    <t>Платежное поручение№297213от26.04.2021</t>
  </si>
  <si>
    <t>Материальная помощь , в связи с поездкой в г.Москва для награждения и участия в мероприятиях, посвященных Дню Победы</t>
  </si>
  <si>
    <t>Распоряжение Главы района (аймака) № 180-р от 22.04.2021г.</t>
  </si>
  <si>
    <t>16347,00- № 280 от 29.04 2021г.За баннер к Дню Победы; 24000,00- №365 от 18.05.2021г. За поставку пиломатериала(тес,плаха,прожил.); 20000,00 -№621 от 30.09.2021г. За сварочные работы по изг.звезды на памят.в с.Ело; 5000,00- № 364 от 17.05.2021г.на оплату услуг по рем.плит мемор.доски; 20920,00- №682 от 26.10.2021г. За поставку труб ду 300, проф труба 50*25*1,5; 23733,00 -№ 624 от 30.09.2021г За поставку пиломатериала(тес,плаха,прожил.)</t>
  </si>
  <si>
    <t>На ремонт памятников Великой отечественной войны Елинскому сельскому поселению</t>
  </si>
  <si>
    <t>Распоряжение Главы района (аймака) № 178-р от 22.04.2021г.</t>
  </si>
  <si>
    <t xml:space="preserve"> № 406 от 09.06.2021г. Берегоукр. прил.террит. в с.Ело по ул. Заречная,3(погр. грав.,вывоз гр.,укладки гр</t>
  </si>
  <si>
    <t>В целях предотвращения угрозы подтопления жилого дома по адресу с.Ело ул.Заречная,3 Елинскому сельскому поселению</t>
  </si>
  <si>
    <t>Распоряжение Главы района (аймака) № 168-р от 20.04.2021г.</t>
  </si>
  <si>
    <t>№ 676 26.10.2021г ГСМ</t>
  </si>
  <si>
    <t>Для организации подвоза населения к пунктам вакцинации Елинскому сельскому поселению</t>
  </si>
  <si>
    <t>счет-фактура №96 от 27.10.2022 СПК "Племзавод "Теньгинский"</t>
  </si>
  <si>
    <t>Для организации подвоза населения к пунктам вакцинации Теньгинскому сельскому поселению</t>
  </si>
  <si>
    <t>Для организации подвоза населения к пунктам вакцинации Куладинскому сельскому поселению</t>
  </si>
  <si>
    <t>Для организации подвоза населения к пунктам вакцинации Каракольскому сельскому поселению</t>
  </si>
  <si>
    <t>Платежное поручение№886243 от 14.12.2021</t>
  </si>
  <si>
    <t>Для организации подвоза населения к пунктам вакцинации Нижне-Талдинскому сельскому поселению</t>
  </si>
  <si>
    <t xml:space="preserve">Платежное поручение №806231 от17.11.2021г.Индивидуальный предприниматель Шнитов В.В.(приобретение ГСМ)
 </t>
  </si>
  <si>
    <t>Для организации подвоза населения к пунктам вакцинации Шашикманскому сельскому поселению</t>
  </si>
  <si>
    <t>Плат.пор№856424 от 06.12.2021г,пл.пор.№829237 от 26.11.2021г</t>
  </si>
  <si>
    <t>Для организации подвоза населения к пунктам вакцинации Хабаровскому сельскому поселению</t>
  </si>
  <si>
    <t>Платежное поручение №765862 от 29.10.2021 г.</t>
  </si>
  <si>
    <t>Для организации подвоза населения к пунктам вакцинации Купчегенскому сельскому поселению</t>
  </si>
  <si>
    <t>ПП № 802202 от 16.11.2021 г., приобретение ГСМ, ООО "Ника"</t>
  </si>
  <si>
    <t>Для организации подвоза населения к пунктам вакцинации Ининскому сельскому поселению</t>
  </si>
  <si>
    <t>Распоряжение Главы района (аймака) № 159-р от 09.04.2021г.</t>
  </si>
  <si>
    <t>п\п № 212459 от 22.03.2021г.(5245,08 (частичная оплата из местного бюджета 6,08)) , п\п № 322709 от 04.05.2021 г.(32000), п\п № 873525 от 10.12.2021 г.(61492), п\п № 58524 от 28.12.2021 г. (2500)</t>
  </si>
  <si>
    <t>На ремонт системы отопления в здании отдельного пожарного поста в с.Бичикту-Боом Каракольскому сельскому поселению</t>
  </si>
  <si>
    <t>Распоряжение Главы района (аймака) № 152-р от 08.04.2021г.</t>
  </si>
  <si>
    <t>Платежное поручение№233001от30.03.2021</t>
  </si>
  <si>
    <t>Материальная помощь , в связи с поездкой на оперативное лечение в г.Санкт-Петербург</t>
  </si>
  <si>
    <t>Распоряжение Главы района (аймака) № 122-р от 29.03.2021г.</t>
  </si>
  <si>
    <t>Приказ МАУДО "ОДШИ" №23 от 15.03.2021г. Количество 17 человек (14 обучающихся, 1 худруководитель, 1 балетмейстер, 1 хореограф А/О №3 от 29.03.2021г.  Командировочные расходы (транспортные расходы 61588,10 рублей, проживание - 25650 рублей, суточные - 13443,63 рублей, ГСМ (дизтопливо) - 3736,27 рублей, .</t>
  </si>
  <si>
    <t>Для участия в Заключительном этапе XIV Всероссийского фестиваля народного танца "Уральский перепляс" в г.Челябинске "Образцового" хореографического ансамбля "Ырысту"</t>
  </si>
  <si>
    <t>Распоряжение Главы района (аймака) № 111-р от 19.03.2021г.</t>
  </si>
  <si>
    <t>Платежное поручение№216706от24.03.2021</t>
  </si>
  <si>
    <t>Материальная помощь , в сявзи с трудной жизненной ситуацией</t>
  </si>
  <si>
    <t>Распоряжение Главы района (аймака) № 110-р от 19.03.2021г.</t>
  </si>
  <si>
    <t>-</t>
  </si>
  <si>
    <t>Платежное поручение№157059от01.03.2021</t>
  </si>
  <si>
    <t>Материальная помощь , в связи с трудной жизненной ситуацией</t>
  </si>
  <si>
    <t>Распоряжение Главы района (аймака) № 82-р от 24.02.2021г.</t>
  </si>
  <si>
    <t>Платежное поручение№164090от03.03.2021</t>
  </si>
  <si>
    <t>Материальная помощь , инвалиду по зрению первой группы, на ремонт дома</t>
  </si>
  <si>
    <t>Распоряжение Главы района (аймака) № 65-р от 09.02.2021г.</t>
  </si>
  <si>
    <t>Платежное поручение№131328от17.02.2021</t>
  </si>
  <si>
    <t>Материальная помощь , на лечение в г.Кургане</t>
  </si>
  <si>
    <t>Распоряжение Главы района (аймака) № 64-р от 09.02.2021г.</t>
  </si>
  <si>
    <t>Платежное поручение№116844от11.02.2021</t>
  </si>
  <si>
    <t>Материальная помощь , для организации и проведение похорон матери</t>
  </si>
  <si>
    <t>Распоряжение Главы района (аймака) № 62-р от 09.02.2021г.</t>
  </si>
  <si>
    <t>ФБУЗ "Центр гигиены и Э в РА",Дог№367 от26.1.21г,п/п№117532от11.02.21г</t>
  </si>
  <si>
    <t>На оплату услуг ФБУЗ "Центр гигиены и эпидимиологии в Республике Алтай" по дезинфекции подъездов в многоквартирном жилом доме по адресу с.Онгудай ул.Заречная,38</t>
  </si>
  <si>
    <t>Распоряжение Главы района (аймака) № 46-р от 04.02.2021г.</t>
  </si>
  <si>
    <t>На проведение капитального ремонта спортивного зала филиала Купчегеньской средней школы Улитинская начальная общеобразовательная школа-детский сад в с.Улита</t>
  </si>
  <si>
    <t>Распоряжение Главы района (аймака) № 41-р от 02.02.2021г.</t>
  </si>
  <si>
    <t>Платежное поручение№65748 от20.01.2021</t>
  </si>
  <si>
    <t>Материальная помощь , на поездку в г.Волгоград, для участия в финальном этапе Всероссийского конкурса "Учитель года России" 2020</t>
  </si>
  <si>
    <t>Распоряжение Главы района (аймака) № 06-р от 14.01.2021г.</t>
  </si>
  <si>
    <t>Платежное поручение№65752 от20.01.2021</t>
  </si>
  <si>
    <t>Материальная помощь  на частичную оплату поездок в г.Барнаул, для обследования в онкологическом центре</t>
  </si>
  <si>
    <t>Распоряжение Главы района (аймака) № 05-р от 14.01.2021г.</t>
  </si>
  <si>
    <t>Платежное поручение№65750от20.01.2021</t>
  </si>
  <si>
    <t>Материальная помощь   на организацию и проведение похорон ветерана ВОВ</t>
  </si>
  <si>
    <t>Распоряжение Главы района (аймака) № 04-р от 14.01.2021г.</t>
  </si>
  <si>
    <t>Фактически оплачено</t>
  </si>
  <si>
    <t>Реквизиты платежных документов*</t>
  </si>
  <si>
    <t>Цель</t>
  </si>
  <si>
    <t xml:space="preserve">Причины остатка средств на счете </t>
  </si>
  <si>
    <t>Остаток неиспользованных средств</t>
  </si>
  <si>
    <t>Фактическое направление средств</t>
  </si>
  <si>
    <t>Направление средств по распоряжению</t>
  </si>
  <si>
    <t>Основание выделения средств (наименование нормативного правового акта, дата и номер)</t>
  </si>
  <si>
    <t>(в рублях)</t>
  </si>
  <si>
    <t>Приложение 2 к пояснительной записке</t>
  </si>
  <si>
    <t>Приложение 3 к пояснительной записке</t>
  </si>
  <si>
    <t>Приложение 4 к пояснительной записке</t>
  </si>
  <si>
    <t>Приложение 5 к пояснительной записке</t>
  </si>
  <si>
    <t>Приложение 6 к пояснительной записке</t>
  </si>
  <si>
    <t>Приложение 7 к пояснительной записке</t>
  </si>
  <si>
    <t xml:space="preserve">Платежное поручение № 212268 от 22.03.2021 </t>
  </si>
  <si>
    <t xml:space="preserve">                                                                                        на 01.01.2022г.                                                                                                                                   </t>
  </si>
  <si>
    <t xml:space="preserve">Отчет о целевом  использованных бюджетных средств выделенных из Резервного фонда  Администрации района (аймака) муниципального образования "Онгудайский район" </t>
  </si>
  <si>
    <t>Исполнение  бюджетных ассигнований, направляемых на исполнение публичных нормативных обязательств по муниципальному образованию "Онгудайский район"  за  2021 год</t>
  </si>
  <si>
    <t>Исполнение бюджетных ассигнований на реализацию муниципальных программ  и непрограммных расходов  муниципального образования"Онгудайский район" за 2021 год</t>
  </si>
  <si>
    <t>Остаток на счетах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</si>
</sst>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#,##0.00000_ ;\-#,##0.00000\ "/>
    <numFmt numFmtId="170" formatCode="#,##0.0_ ;\-#,##0.0\ "/>
    <numFmt numFmtId="172" formatCode="dd\.mm\.yyyy"/>
    <numFmt numFmtId="173" formatCode="_-* #,##0.00&quot;р.&quot;_-;\-* #,##0.00&quot;р.&quot;_-;_-* &quot;-&quot;??&quot;р.&quot;_-;_-@_-"/>
    <numFmt numFmtId="174" formatCode="_(* #,##0.00_);_(* \(#,##0.00\);_(* &quot;-&quot;??_);_(@_)"/>
    <numFmt numFmtId="176" formatCode="_-* #,##0.0_р_._-;\-* #,##0.0_р_._-;_-* &quot;-&quot;??_р_._-;_-@_-"/>
    <numFmt numFmtId="177" formatCode="_-* #,##0.000_р_._-;\-* #,##0.000_р_._-;_-* &quot;-&quot;??_р_._-;_-@_-"/>
    <numFmt numFmtId="178" formatCode="_-* #,##0_р_._-;\-* #,##0_р_._-;_-* &quot;-&quot;?_р_._-;_-@_-"/>
    <numFmt numFmtId="179" formatCode="_-* #,##0.0000_р_._-;\-* #,##0.0000_р_._-;_-* &quot;-&quot;??_р_._-;_-@_-"/>
    <numFmt numFmtId="180" formatCode="#,##0.0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1"/>
      <color theme="1"/>
      <name val="Segoe UI"/>
      <family val="2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 Cyr"/>
      <charset val="204"/>
    </font>
    <font>
      <b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6">
    <xf numFmtId="0" fontId="0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1" fillId="0" borderId="0"/>
    <xf numFmtId="0" fontId="25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/>
    <xf numFmtId="0" fontId="40" fillId="0" borderId="0">
      <alignment horizontal="left"/>
    </xf>
    <xf numFmtId="0" fontId="31" fillId="0" borderId="0"/>
    <xf numFmtId="0" fontId="40" fillId="0" borderId="0">
      <alignment horizontal="left"/>
    </xf>
    <xf numFmtId="0" fontId="40" fillId="0" borderId="0"/>
    <xf numFmtId="0" fontId="13" fillId="0" borderId="0"/>
    <xf numFmtId="0" fontId="40" fillId="0" borderId="0"/>
    <xf numFmtId="0" fontId="13" fillId="0" borderId="0"/>
    <xf numFmtId="0" fontId="31" fillId="0" borderId="0"/>
    <xf numFmtId="0" fontId="40" fillId="0" borderId="0">
      <alignment horizontal="left"/>
    </xf>
    <xf numFmtId="49" fontId="41" fillId="0" borderId="0">
      <alignment horizontal="center"/>
    </xf>
    <xf numFmtId="49" fontId="42" fillId="0" borderId="12"/>
    <xf numFmtId="49" fontId="41" fillId="0" borderId="13">
      <alignment horizontal="center" wrapText="1"/>
    </xf>
    <xf numFmtId="4" fontId="42" fillId="0" borderId="14">
      <alignment horizontal="right"/>
    </xf>
    <xf numFmtId="49" fontId="41" fillId="0" borderId="15">
      <alignment horizontal="center" wrapText="1"/>
    </xf>
    <xf numFmtId="4" fontId="42" fillId="0" borderId="15">
      <alignment horizontal="right"/>
    </xf>
    <xf numFmtId="49" fontId="41" fillId="0" borderId="14">
      <alignment horizontal="center"/>
    </xf>
    <xf numFmtId="49" fontId="42" fillId="0" borderId="0">
      <alignment horizontal="right"/>
    </xf>
    <xf numFmtId="49" fontId="41" fillId="0" borderId="12"/>
    <xf numFmtId="0" fontId="42" fillId="0" borderId="12"/>
    <xf numFmtId="4" fontId="41" fillId="0" borderId="14">
      <alignment horizontal="right"/>
    </xf>
    <xf numFmtId="4" fontId="42" fillId="0" borderId="16">
      <alignment horizontal="right"/>
    </xf>
    <xf numFmtId="4" fontId="41" fillId="0" borderId="13">
      <alignment horizontal="right"/>
    </xf>
    <xf numFmtId="49" fontId="42" fillId="0" borderId="17">
      <alignment horizontal="center"/>
    </xf>
    <xf numFmtId="49" fontId="41" fillId="0" borderId="0">
      <alignment horizontal="right"/>
    </xf>
    <xf numFmtId="4" fontId="42" fillId="0" borderId="18">
      <alignment horizontal="right"/>
    </xf>
    <xf numFmtId="4" fontId="41" fillId="0" borderId="16">
      <alignment horizontal="right"/>
    </xf>
    <xf numFmtId="0" fontId="43" fillId="0" borderId="0">
      <alignment horizontal="center"/>
    </xf>
    <xf numFmtId="49" fontId="41" fillId="0" borderId="17">
      <alignment horizontal="center"/>
    </xf>
    <xf numFmtId="0" fontId="43" fillId="0" borderId="12"/>
    <xf numFmtId="4" fontId="41" fillId="0" borderId="19">
      <alignment horizontal="right"/>
    </xf>
    <xf numFmtId="0" fontId="42" fillId="0" borderId="20">
      <alignment horizontal="left" wrapText="1"/>
    </xf>
    <xf numFmtId="0" fontId="41" fillId="0" borderId="21">
      <alignment horizontal="left" wrapText="1"/>
    </xf>
    <xf numFmtId="0" fontId="42" fillId="0" borderId="22">
      <alignment horizontal="left" wrapText="1" indent="1"/>
    </xf>
    <xf numFmtId="0" fontId="44" fillId="0" borderId="23">
      <alignment horizontal="left" wrapText="1"/>
    </xf>
    <xf numFmtId="0" fontId="42" fillId="0" borderId="20">
      <alignment horizontal="left" wrapText="1" indent="2"/>
    </xf>
    <xf numFmtId="0" fontId="41" fillId="0" borderId="24">
      <alignment horizontal="left" wrapText="1" indent="2"/>
    </xf>
    <xf numFmtId="0" fontId="42" fillId="0" borderId="25">
      <alignment horizontal="left" wrapText="1" indent="2"/>
    </xf>
    <xf numFmtId="0" fontId="40" fillId="0" borderId="26"/>
    <xf numFmtId="0" fontId="32" fillId="0" borderId="12">
      <alignment wrapText="1"/>
    </xf>
    <xf numFmtId="0" fontId="41" fillId="0" borderId="12"/>
    <xf numFmtId="0" fontId="32" fillId="0" borderId="27">
      <alignment wrapText="1"/>
    </xf>
    <xf numFmtId="0" fontId="40" fillId="0" borderId="12"/>
    <xf numFmtId="0" fontId="32" fillId="0" borderId="26">
      <alignment wrapText="1"/>
    </xf>
    <xf numFmtId="0" fontId="44" fillId="0" borderId="0">
      <alignment horizontal="center"/>
    </xf>
    <xf numFmtId="0" fontId="42" fillId="0" borderId="0">
      <alignment horizontal="center" wrapText="1"/>
    </xf>
    <xf numFmtId="0" fontId="44" fillId="0" borderId="12"/>
    <xf numFmtId="49" fontId="42" fillId="0" borderId="12">
      <alignment horizontal="left"/>
    </xf>
    <xf numFmtId="0" fontId="41" fillId="0" borderId="20">
      <alignment horizontal="left" wrapText="1"/>
    </xf>
    <xf numFmtId="49" fontId="42" fillId="0" borderId="28">
      <alignment horizontal="center" wrapText="1"/>
    </xf>
    <xf numFmtId="0" fontId="41" fillId="0" borderId="22">
      <alignment horizontal="left" wrapText="1" indent="1"/>
    </xf>
    <xf numFmtId="49" fontId="42" fillId="0" borderId="28">
      <alignment horizontal="left" wrapText="1"/>
    </xf>
    <xf numFmtId="0" fontId="41" fillId="0" borderId="20">
      <alignment horizontal="left" wrapText="1" indent="2"/>
    </xf>
    <xf numFmtId="49" fontId="42" fillId="0" borderId="28">
      <alignment horizontal="center" shrinkToFit="1"/>
    </xf>
    <xf numFmtId="0" fontId="40" fillId="3" borderId="29"/>
    <xf numFmtId="49" fontId="42" fillId="0" borderId="12">
      <alignment horizontal="center"/>
    </xf>
    <xf numFmtId="0" fontId="41" fillId="0" borderId="25">
      <alignment horizontal="left" wrapText="1" indent="2"/>
    </xf>
    <xf numFmtId="0" fontId="42" fillId="0" borderId="26">
      <alignment horizontal="center"/>
    </xf>
    <xf numFmtId="0" fontId="41" fillId="0" borderId="0">
      <alignment horizontal="center" wrapText="1"/>
    </xf>
    <xf numFmtId="0" fontId="42" fillId="0" borderId="0">
      <alignment horizontal="center"/>
    </xf>
    <xf numFmtId="49" fontId="41" fillId="0" borderId="12">
      <alignment horizontal="left"/>
    </xf>
    <xf numFmtId="49" fontId="42" fillId="0" borderId="12"/>
    <xf numFmtId="49" fontId="41" fillId="0" borderId="28">
      <alignment horizontal="center" wrapText="1"/>
    </xf>
    <xf numFmtId="49" fontId="42" fillId="0" borderId="14">
      <alignment horizontal="center" shrinkToFit="1"/>
    </xf>
    <xf numFmtId="49" fontId="41" fillId="0" borderId="28">
      <alignment horizontal="center" shrinkToFit="1"/>
    </xf>
    <xf numFmtId="0" fontId="42" fillId="0" borderId="26"/>
    <xf numFmtId="49" fontId="41" fillId="0" borderId="14">
      <alignment horizontal="center" shrinkToFit="1"/>
    </xf>
    <xf numFmtId="0" fontId="42" fillId="0" borderId="12">
      <alignment horizontal="center"/>
    </xf>
    <xf numFmtId="0" fontId="41" fillId="0" borderId="30">
      <alignment horizontal="left" wrapText="1"/>
    </xf>
    <xf numFmtId="49" fontId="42" fillId="0" borderId="26">
      <alignment horizontal="center"/>
    </xf>
    <xf numFmtId="0" fontId="41" fillId="0" borderId="21">
      <alignment horizontal="left" wrapText="1" indent="1"/>
    </xf>
    <xf numFmtId="49" fontId="42" fillId="0" borderId="0">
      <alignment horizontal="left"/>
    </xf>
    <xf numFmtId="0" fontId="41" fillId="0" borderId="30">
      <alignment horizontal="left" wrapText="1" indent="2"/>
    </xf>
    <xf numFmtId="0" fontId="13" fillId="0" borderId="12"/>
    <xf numFmtId="0" fontId="41" fillId="0" borderId="21">
      <alignment horizontal="left" wrapText="1" indent="2"/>
    </xf>
    <xf numFmtId="0" fontId="13" fillId="0" borderId="26"/>
    <xf numFmtId="0" fontId="40" fillId="0" borderId="31"/>
    <xf numFmtId="49" fontId="42" fillId="0" borderId="16">
      <alignment horizontal="center"/>
    </xf>
    <xf numFmtId="0" fontId="40" fillId="0" borderId="32"/>
    <xf numFmtId="0" fontId="43" fillId="0" borderId="33">
      <alignment horizontal="center" vertical="center" textRotation="90" wrapText="1"/>
    </xf>
    <xf numFmtId="0" fontId="44" fillId="0" borderId="33">
      <alignment horizontal="center" vertical="center" textRotation="90" wrapText="1"/>
    </xf>
    <xf numFmtId="0" fontId="43" fillId="0" borderId="26">
      <alignment horizontal="center" vertical="center" textRotation="90" wrapText="1"/>
    </xf>
    <xf numFmtId="0" fontId="44" fillId="0" borderId="26">
      <alignment horizontal="center" vertical="center" textRotation="90" wrapText="1"/>
    </xf>
    <xf numFmtId="0" fontId="42" fillId="0" borderId="0">
      <alignment vertical="center"/>
    </xf>
    <xf numFmtId="0" fontId="41" fillId="0" borderId="0">
      <alignment vertical="center"/>
    </xf>
    <xf numFmtId="0" fontId="43" fillId="0" borderId="33">
      <alignment horizontal="center" vertical="center" textRotation="90"/>
    </xf>
    <xf numFmtId="0" fontId="44" fillId="0" borderId="12">
      <alignment horizontal="center" vertical="center" textRotation="90" wrapText="1"/>
    </xf>
    <xf numFmtId="49" fontId="42" fillId="0" borderId="27">
      <alignment horizontal="center" vertical="center" wrapText="1"/>
    </xf>
    <xf numFmtId="0" fontId="44" fillId="0" borderId="26">
      <alignment horizontal="center" vertical="center" textRotation="90"/>
    </xf>
    <xf numFmtId="0" fontId="43" fillId="0" borderId="34"/>
    <xf numFmtId="0" fontId="44" fillId="0" borderId="12">
      <alignment horizontal="center" vertical="center" textRotation="90"/>
    </xf>
    <xf numFmtId="49" fontId="45" fillId="0" borderId="35">
      <alignment horizontal="left" vertical="center" wrapText="1"/>
    </xf>
    <xf numFmtId="0" fontId="44" fillId="0" borderId="33">
      <alignment horizontal="center" vertical="center" textRotation="90"/>
    </xf>
    <xf numFmtId="49" fontId="42" fillId="0" borderId="36">
      <alignment horizontal="left" vertical="center" wrapText="1" indent="2"/>
    </xf>
    <xf numFmtId="0" fontId="44" fillId="0" borderId="27">
      <alignment horizontal="center" vertical="center" textRotation="90"/>
    </xf>
    <xf numFmtId="49" fontId="42" fillId="0" borderId="25">
      <alignment horizontal="left" vertical="center" wrapText="1" indent="3"/>
    </xf>
    <xf numFmtId="0" fontId="46" fillId="0" borderId="12">
      <alignment wrapText="1"/>
    </xf>
    <xf numFmtId="49" fontId="42" fillId="0" borderId="35">
      <alignment horizontal="left" vertical="center" wrapText="1" indent="3"/>
    </xf>
    <xf numFmtId="0" fontId="46" fillId="0" borderId="27">
      <alignment wrapText="1"/>
    </xf>
    <xf numFmtId="49" fontId="42" fillId="0" borderId="37">
      <alignment horizontal="left" vertical="center" wrapText="1" indent="3"/>
    </xf>
    <xf numFmtId="0" fontId="46" fillId="0" borderId="26">
      <alignment wrapText="1"/>
    </xf>
    <xf numFmtId="0" fontId="45" fillId="0" borderId="34">
      <alignment horizontal="left" vertical="center" wrapText="1"/>
    </xf>
    <xf numFmtId="0" fontId="41" fillId="0" borderId="27">
      <alignment horizontal="center" vertical="top" wrapText="1"/>
    </xf>
    <xf numFmtId="49" fontId="42" fillId="0" borderId="26">
      <alignment horizontal="left" vertical="center" wrapText="1" indent="3"/>
    </xf>
    <xf numFmtId="0" fontId="44" fillId="0" borderId="34"/>
    <xf numFmtId="49" fontId="42" fillId="0" borderId="0">
      <alignment horizontal="left" vertical="center" wrapText="1" indent="3"/>
    </xf>
    <xf numFmtId="49" fontId="47" fillId="0" borderId="35">
      <alignment horizontal="left" vertical="center" wrapText="1"/>
    </xf>
    <xf numFmtId="49" fontId="42" fillId="0" borderId="12">
      <alignment horizontal="left" vertical="center" wrapText="1" indent="3"/>
    </xf>
    <xf numFmtId="49" fontId="41" fillId="0" borderId="36">
      <alignment horizontal="left" vertical="center" wrapText="1" indent="2"/>
    </xf>
    <xf numFmtId="49" fontId="45" fillId="0" borderId="34">
      <alignment horizontal="left" vertical="center" wrapText="1"/>
    </xf>
    <xf numFmtId="49" fontId="41" fillId="0" borderId="25">
      <alignment horizontal="left" vertical="center" wrapText="1" indent="3"/>
    </xf>
    <xf numFmtId="49" fontId="42" fillId="0" borderId="38">
      <alignment horizontal="center" vertical="center" wrapText="1"/>
    </xf>
    <xf numFmtId="49" fontId="41" fillId="0" borderId="35">
      <alignment horizontal="left" vertical="center" wrapText="1" indent="3"/>
    </xf>
    <xf numFmtId="49" fontId="43" fillId="0" borderId="39">
      <alignment horizontal="center"/>
    </xf>
    <xf numFmtId="49" fontId="41" fillId="0" borderId="37">
      <alignment horizontal="left" vertical="center" wrapText="1" indent="3"/>
    </xf>
    <xf numFmtId="49" fontId="43" fillId="0" borderId="40">
      <alignment horizontal="center" vertical="center" wrapText="1"/>
    </xf>
    <xf numFmtId="0" fontId="47" fillId="0" borderId="34">
      <alignment horizontal="left" vertical="center" wrapText="1"/>
    </xf>
    <xf numFmtId="49" fontId="42" fillId="0" borderId="41">
      <alignment horizontal="center" vertical="center" wrapText="1"/>
    </xf>
    <xf numFmtId="49" fontId="41" fillId="0" borderId="26">
      <alignment horizontal="left" vertical="center" wrapText="1" indent="3"/>
    </xf>
    <xf numFmtId="49" fontId="42" fillId="0" borderId="28">
      <alignment horizontal="center" vertical="center" wrapText="1"/>
    </xf>
    <xf numFmtId="49" fontId="41" fillId="0" borderId="0">
      <alignment horizontal="left" vertical="center" wrapText="1" indent="3"/>
    </xf>
    <xf numFmtId="49" fontId="42" fillId="0" borderId="40">
      <alignment horizontal="center" vertical="center" wrapText="1"/>
    </xf>
    <xf numFmtId="49" fontId="41" fillId="0" borderId="12">
      <alignment horizontal="left" vertical="center" wrapText="1" indent="3"/>
    </xf>
    <xf numFmtId="49" fontId="42" fillId="0" borderId="42">
      <alignment horizontal="center" vertical="center" wrapText="1"/>
    </xf>
    <xf numFmtId="49" fontId="47" fillId="0" borderId="34">
      <alignment horizontal="left" vertical="center" wrapText="1"/>
    </xf>
    <xf numFmtId="49" fontId="42" fillId="0" borderId="43">
      <alignment horizontal="center" vertical="center" wrapText="1"/>
    </xf>
    <xf numFmtId="0" fontId="41" fillId="0" borderId="35">
      <alignment horizontal="left" vertical="center" wrapText="1"/>
    </xf>
    <xf numFmtId="49" fontId="42" fillId="0" borderId="0">
      <alignment horizontal="center" vertical="center" wrapText="1"/>
    </xf>
    <xf numFmtId="0" fontId="41" fillId="0" borderId="37">
      <alignment horizontal="left" vertical="center" wrapText="1"/>
    </xf>
    <xf numFmtId="49" fontId="42" fillId="0" borderId="12">
      <alignment horizontal="center" vertical="center" wrapText="1"/>
    </xf>
    <xf numFmtId="49" fontId="41" fillId="0" borderId="35">
      <alignment horizontal="left" vertical="center" wrapText="1"/>
    </xf>
    <xf numFmtId="49" fontId="43" fillId="0" borderId="39">
      <alignment horizontal="center" vertical="center" wrapText="1"/>
    </xf>
    <xf numFmtId="49" fontId="41" fillId="0" borderId="37">
      <alignment horizontal="left" vertical="center" wrapText="1"/>
    </xf>
    <xf numFmtId="0" fontId="42" fillId="0" borderId="27">
      <alignment horizontal="center" vertical="top"/>
    </xf>
    <xf numFmtId="49" fontId="44" fillId="0" borderId="39">
      <alignment horizontal="center"/>
    </xf>
    <xf numFmtId="49" fontId="42" fillId="0" borderId="27">
      <alignment horizontal="center" vertical="top" wrapText="1"/>
    </xf>
    <xf numFmtId="49" fontId="44" fillId="0" borderId="40">
      <alignment horizontal="center" vertical="center" wrapText="1"/>
    </xf>
    <xf numFmtId="4" fontId="42" fillId="0" borderId="13">
      <alignment horizontal="right"/>
    </xf>
    <xf numFmtId="49" fontId="41" fillId="0" borderId="41">
      <alignment horizontal="center" vertical="center" wrapText="1"/>
    </xf>
    <xf numFmtId="0" fontId="42" fillId="0" borderId="31"/>
    <xf numFmtId="49" fontId="41" fillId="0" borderId="28">
      <alignment horizontal="center" vertical="center" wrapText="1"/>
    </xf>
    <xf numFmtId="4" fontId="42" fillId="0" borderId="38">
      <alignment horizontal="right"/>
    </xf>
    <xf numFmtId="49" fontId="41" fillId="0" borderId="40">
      <alignment horizontal="center" vertical="center" wrapText="1"/>
    </xf>
    <xf numFmtId="4" fontId="42" fillId="0" borderId="43">
      <alignment horizontal="right" shrinkToFit="1"/>
    </xf>
    <xf numFmtId="49" fontId="41" fillId="0" borderId="42">
      <alignment horizontal="center" vertical="center" wrapText="1"/>
    </xf>
    <xf numFmtId="4" fontId="42" fillId="0" borderId="0">
      <alignment horizontal="right" shrinkToFit="1"/>
    </xf>
    <xf numFmtId="49" fontId="41" fillId="0" borderId="43">
      <alignment horizontal="center" vertical="center" wrapText="1"/>
    </xf>
    <xf numFmtId="0" fontId="43" fillId="0" borderId="27">
      <alignment horizontal="center" vertical="top"/>
    </xf>
    <xf numFmtId="49" fontId="41" fillId="0" borderId="0">
      <alignment horizontal="center" vertical="center" wrapText="1"/>
    </xf>
    <xf numFmtId="0" fontId="42" fillId="0" borderId="27">
      <alignment horizontal="center" vertical="top" wrapText="1"/>
    </xf>
    <xf numFmtId="49" fontId="41" fillId="0" borderId="12">
      <alignment horizontal="center" vertical="center" wrapText="1"/>
    </xf>
    <xf numFmtId="0" fontId="42" fillId="0" borderId="27">
      <alignment horizontal="center" vertical="top"/>
    </xf>
    <xf numFmtId="49" fontId="44" fillId="0" borderId="39">
      <alignment horizontal="center" vertical="center" wrapText="1"/>
    </xf>
    <xf numFmtId="4" fontId="42" fillId="0" borderId="19">
      <alignment horizontal="right"/>
    </xf>
    <xf numFmtId="0" fontId="44" fillId="0" borderId="39">
      <alignment horizontal="center" vertical="center"/>
    </xf>
    <xf numFmtId="0" fontId="42" fillId="0" borderId="32"/>
    <xf numFmtId="0" fontId="41" fillId="0" borderId="41">
      <alignment horizontal="center" vertical="center"/>
    </xf>
    <xf numFmtId="4" fontId="42" fillId="0" borderId="44">
      <alignment horizontal="right"/>
    </xf>
    <xf numFmtId="0" fontId="41" fillId="0" borderId="28">
      <alignment horizontal="center" vertical="center"/>
    </xf>
    <xf numFmtId="0" fontId="42" fillId="0" borderId="12">
      <alignment horizontal="right"/>
    </xf>
    <xf numFmtId="0" fontId="41" fillId="0" borderId="40">
      <alignment horizontal="center" vertical="center"/>
    </xf>
    <xf numFmtId="0" fontId="43" fillId="0" borderId="27">
      <alignment horizontal="center" vertical="top"/>
    </xf>
    <xf numFmtId="0" fontId="44" fillId="0" borderId="40">
      <alignment horizontal="center" vertical="center"/>
    </xf>
    <xf numFmtId="0" fontId="41" fillId="0" borderId="42">
      <alignment horizontal="center" vertical="center"/>
    </xf>
    <xf numFmtId="49" fontId="44" fillId="0" borderId="39">
      <alignment horizontal="center" vertical="center"/>
    </xf>
    <xf numFmtId="49" fontId="41" fillId="0" borderId="41">
      <alignment horizontal="center" vertical="center"/>
    </xf>
    <xf numFmtId="49" fontId="41" fillId="0" borderId="28">
      <alignment horizontal="center" vertical="center"/>
    </xf>
    <xf numFmtId="49" fontId="41" fillId="0" borderId="40">
      <alignment horizontal="center" vertical="center"/>
    </xf>
    <xf numFmtId="49" fontId="41" fillId="0" borderId="42">
      <alignment horizontal="center" vertical="center"/>
    </xf>
    <xf numFmtId="49" fontId="41" fillId="0" borderId="12">
      <alignment horizontal="center"/>
    </xf>
    <xf numFmtId="0" fontId="41" fillId="0" borderId="26">
      <alignment horizontal="center"/>
    </xf>
    <xf numFmtId="0" fontId="41" fillId="0" borderId="0">
      <alignment horizontal="center"/>
    </xf>
    <xf numFmtId="49" fontId="41" fillId="0" borderId="12"/>
    <xf numFmtId="0" fontId="41" fillId="0" borderId="27">
      <alignment horizontal="center" vertical="top"/>
    </xf>
    <xf numFmtId="49" fontId="41" fillId="0" borderId="27">
      <alignment horizontal="center" vertical="top" wrapText="1"/>
    </xf>
    <xf numFmtId="0" fontId="41" fillId="0" borderId="31"/>
    <xf numFmtId="4" fontId="41" fillId="0" borderId="38">
      <alignment horizontal="right"/>
    </xf>
    <xf numFmtId="4" fontId="41" fillId="0" borderId="43">
      <alignment horizontal="right"/>
    </xf>
    <xf numFmtId="4" fontId="41" fillId="0" borderId="0">
      <alignment horizontal="right" shrinkToFit="1"/>
    </xf>
    <xf numFmtId="4" fontId="41" fillId="0" borderId="12">
      <alignment horizontal="right"/>
    </xf>
    <xf numFmtId="0" fontId="41" fillId="0" borderId="26"/>
    <xf numFmtId="0" fontId="41" fillId="0" borderId="27">
      <alignment horizontal="center" vertical="top" wrapText="1"/>
    </xf>
    <xf numFmtId="0" fontId="41" fillId="0" borderId="12">
      <alignment horizontal="center"/>
    </xf>
    <xf numFmtId="49" fontId="41" fillId="0" borderId="26">
      <alignment horizontal="center"/>
    </xf>
    <xf numFmtId="49" fontId="41" fillId="0" borderId="0">
      <alignment horizontal="left"/>
    </xf>
    <xf numFmtId="4" fontId="41" fillId="0" borderId="31">
      <alignment horizontal="right"/>
    </xf>
    <xf numFmtId="0" fontId="41" fillId="0" borderId="27">
      <alignment horizontal="center" vertical="top"/>
    </xf>
    <xf numFmtId="4" fontId="41" fillId="0" borderId="32">
      <alignment horizontal="right"/>
    </xf>
    <xf numFmtId="4" fontId="41" fillId="0" borderId="44">
      <alignment horizontal="right"/>
    </xf>
    <xf numFmtId="0" fontId="41" fillId="0" borderId="32"/>
    <xf numFmtId="0" fontId="48" fillId="0" borderId="45"/>
    <xf numFmtId="0" fontId="40" fillId="3" borderId="0"/>
    <xf numFmtId="0" fontId="13" fillId="4" borderId="0"/>
    <xf numFmtId="0" fontId="44" fillId="0" borderId="0"/>
    <xf numFmtId="0" fontId="43" fillId="0" borderId="0"/>
    <xf numFmtId="0" fontId="49" fillId="0" borderId="0"/>
    <xf numFmtId="0" fontId="50" fillId="0" borderId="0"/>
    <xf numFmtId="0" fontId="41" fillId="0" borderId="0">
      <alignment horizontal="left"/>
    </xf>
    <xf numFmtId="0" fontId="42" fillId="0" borderId="0">
      <alignment horizontal="left"/>
    </xf>
    <xf numFmtId="0" fontId="41" fillId="0" borderId="0"/>
    <xf numFmtId="0" fontId="42" fillId="0" borderId="0"/>
    <xf numFmtId="0" fontId="48" fillId="0" borderId="0"/>
    <xf numFmtId="0" fontId="51" fillId="0" borderId="0"/>
    <xf numFmtId="0" fontId="40" fillId="0" borderId="0"/>
    <xf numFmtId="0" fontId="13" fillId="4" borderId="12"/>
    <xf numFmtId="49" fontId="52" fillId="5" borderId="27">
      <alignment horizontal="left" wrapText="1"/>
    </xf>
    <xf numFmtId="0" fontId="42" fillId="0" borderId="33">
      <alignment horizontal="center" vertical="top" wrapText="1"/>
    </xf>
    <xf numFmtId="49" fontId="41" fillId="0" borderId="27">
      <alignment horizontal="center" vertical="center" wrapText="1"/>
    </xf>
    <xf numFmtId="0" fontId="42" fillId="0" borderId="33">
      <alignment horizontal="center" vertical="center"/>
    </xf>
    <xf numFmtId="49" fontId="41" fillId="0" borderId="27">
      <alignment horizontal="center" vertical="center" wrapText="1"/>
    </xf>
    <xf numFmtId="0" fontId="13" fillId="4" borderId="46"/>
    <xf numFmtId="0" fontId="40" fillId="3" borderId="46"/>
    <xf numFmtId="0" fontId="42" fillId="0" borderId="47">
      <alignment horizontal="left" wrapText="1"/>
    </xf>
    <xf numFmtId="0" fontId="41" fillId="0" borderId="47">
      <alignment horizontal="left" wrapText="1"/>
    </xf>
    <xf numFmtId="0" fontId="42" fillId="0" borderId="20">
      <alignment horizontal="left" wrapText="1" indent="1"/>
    </xf>
    <xf numFmtId="0" fontId="41" fillId="0" borderId="20">
      <alignment horizontal="left" wrapText="1" indent="1"/>
    </xf>
    <xf numFmtId="0" fontId="42" fillId="0" borderId="34">
      <alignment horizontal="left" wrapText="1" indent="2"/>
    </xf>
    <xf numFmtId="0" fontId="41" fillId="0" borderId="17">
      <alignment horizontal="left" wrapText="1" indent="2"/>
    </xf>
    <xf numFmtId="0" fontId="13" fillId="4" borderId="29"/>
    <xf numFmtId="0" fontId="40" fillId="3" borderId="26"/>
    <xf numFmtId="0" fontId="53" fillId="0" borderId="0">
      <alignment horizontal="center" wrapText="1"/>
    </xf>
    <xf numFmtId="0" fontId="54" fillId="0" borderId="0">
      <alignment horizontal="center" wrapText="1"/>
    </xf>
    <xf numFmtId="0" fontId="55" fillId="0" borderId="0">
      <alignment horizontal="center" vertical="top"/>
    </xf>
    <xf numFmtId="0" fontId="56" fillId="0" borderId="0">
      <alignment horizontal="center" vertical="top"/>
    </xf>
    <xf numFmtId="0" fontId="42" fillId="0" borderId="12">
      <alignment wrapText="1"/>
    </xf>
    <xf numFmtId="0" fontId="41" fillId="0" borderId="12">
      <alignment wrapText="1"/>
    </xf>
    <xf numFmtId="0" fontId="42" fillId="0" borderId="46">
      <alignment wrapText="1"/>
    </xf>
    <xf numFmtId="0" fontId="41" fillId="0" borderId="46">
      <alignment wrapText="1"/>
    </xf>
    <xf numFmtId="0" fontId="42" fillId="0" borderId="26">
      <alignment horizontal="left"/>
    </xf>
    <xf numFmtId="0" fontId="41" fillId="0" borderId="26">
      <alignment horizontal="left"/>
    </xf>
    <xf numFmtId="0" fontId="42" fillId="0" borderId="27">
      <alignment horizontal="center" vertical="top" wrapText="1"/>
    </xf>
    <xf numFmtId="0" fontId="40" fillId="3" borderId="48"/>
    <xf numFmtId="0" fontId="42" fillId="0" borderId="38">
      <alignment horizontal="center" vertical="center"/>
    </xf>
    <xf numFmtId="49" fontId="41" fillId="0" borderId="39">
      <alignment horizontal="center" wrapText="1"/>
    </xf>
    <xf numFmtId="0" fontId="13" fillId="4" borderId="49"/>
    <xf numFmtId="49" fontId="41" fillId="0" borderId="41">
      <alignment horizontal="center" wrapText="1"/>
    </xf>
    <xf numFmtId="49" fontId="42" fillId="0" borderId="39">
      <alignment horizontal="center" wrapText="1"/>
    </xf>
    <xf numFmtId="49" fontId="41" fillId="0" borderId="40">
      <alignment horizontal="center"/>
    </xf>
    <xf numFmtId="49" fontId="42" fillId="0" borderId="41">
      <alignment horizontal="center" wrapText="1"/>
    </xf>
    <xf numFmtId="0" fontId="40" fillId="3" borderId="50"/>
    <xf numFmtId="49" fontId="42" fillId="0" borderId="40">
      <alignment horizontal="center"/>
    </xf>
    <xf numFmtId="0" fontId="41" fillId="0" borderId="43"/>
    <xf numFmtId="0" fontId="13" fillId="4" borderId="26"/>
    <xf numFmtId="0" fontId="41" fillId="0" borderId="0">
      <alignment horizontal="center"/>
    </xf>
    <xf numFmtId="0" fontId="13" fillId="4" borderId="50"/>
    <xf numFmtId="49" fontId="41" fillId="0" borderId="26"/>
    <xf numFmtId="0" fontId="42" fillId="0" borderId="43"/>
    <xf numFmtId="49" fontId="41" fillId="0" borderId="0"/>
    <xf numFmtId="0" fontId="42" fillId="0" borderId="0">
      <alignment horizontal="center"/>
    </xf>
    <xf numFmtId="49" fontId="41" fillId="0" borderId="13">
      <alignment horizontal="center"/>
    </xf>
    <xf numFmtId="49" fontId="42" fillId="0" borderId="26"/>
    <xf numFmtId="49" fontId="41" fillId="0" borderId="31">
      <alignment horizontal="center"/>
    </xf>
    <xf numFmtId="49" fontId="42" fillId="0" borderId="0"/>
    <xf numFmtId="49" fontId="41" fillId="0" borderId="27">
      <alignment horizontal="center"/>
    </xf>
    <xf numFmtId="0" fontId="42" fillId="0" borderId="27">
      <alignment horizontal="center" vertical="center"/>
    </xf>
    <xf numFmtId="49" fontId="41" fillId="0" borderId="27">
      <alignment horizontal="center" vertical="center" wrapText="1"/>
    </xf>
    <xf numFmtId="0" fontId="13" fillId="4" borderId="48"/>
    <xf numFmtId="49" fontId="41" fillId="0" borderId="38">
      <alignment horizontal="center" vertical="center" wrapText="1"/>
    </xf>
    <xf numFmtId="49" fontId="42" fillId="0" borderId="13">
      <alignment horizontal="center"/>
    </xf>
    <xf numFmtId="0" fontId="40" fillId="3" borderId="51"/>
    <xf numFmtId="49" fontId="42" fillId="0" borderId="31">
      <alignment horizontal="center"/>
    </xf>
    <xf numFmtId="4" fontId="41" fillId="0" borderId="27">
      <alignment horizontal="right"/>
    </xf>
    <xf numFmtId="49" fontId="42" fillId="0" borderId="27">
      <alignment horizontal="center"/>
    </xf>
    <xf numFmtId="0" fontId="41" fillId="5" borderId="43"/>
    <xf numFmtId="49" fontId="42" fillId="0" borderId="27">
      <alignment horizontal="center" vertical="top" wrapText="1"/>
    </xf>
    <xf numFmtId="0" fontId="41" fillId="5" borderId="0"/>
    <xf numFmtId="49" fontId="42" fillId="0" borderId="27">
      <alignment horizontal="center" vertical="top" wrapText="1"/>
    </xf>
    <xf numFmtId="0" fontId="54" fillId="0" borderId="0">
      <alignment horizontal="center" wrapText="1"/>
    </xf>
    <xf numFmtId="0" fontId="13" fillId="4" borderId="51"/>
    <xf numFmtId="0" fontId="57" fillId="0" borderId="52"/>
    <xf numFmtId="4" fontId="42" fillId="0" borderId="27">
      <alignment horizontal="right"/>
    </xf>
    <xf numFmtId="49" fontId="58" fillId="0" borderId="53">
      <alignment horizontal="right"/>
    </xf>
    <xf numFmtId="0" fontId="42" fillId="6" borderId="43"/>
    <xf numFmtId="0" fontId="41" fillId="0" borderId="53">
      <alignment horizontal="right"/>
    </xf>
    <xf numFmtId="49" fontId="42" fillId="0" borderId="54">
      <alignment horizontal="center" vertical="top"/>
    </xf>
    <xf numFmtId="0" fontId="57" fillId="0" borderId="12"/>
    <xf numFmtId="49" fontId="13" fillId="0" borderId="0"/>
    <xf numFmtId="0" fontId="41" fillId="0" borderId="38">
      <alignment horizontal="center"/>
    </xf>
    <xf numFmtId="0" fontId="42" fillId="0" borderId="0">
      <alignment horizontal="right"/>
    </xf>
    <xf numFmtId="49" fontId="40" fillId="0" borderId="55">
      <alignment horizontal="center"/>
    </xf>
    <xf numFmtId="49" fontId="42" fillId="0" borderId="0">
      <alignment horizontal="right"/>
    </xf>
    <xf numFmtId="172" fontId="41" fillId="0" borderId="23">
      <alignment horizontal="center"/>
    </xf>
    <xf numFmtId="0" fontId="59" fillId="0" borderId="0"/>
    <xf numFmtId="0" fontId="41" fillId="0" borderId="56">
      <alignment horizontal="center"/>
    </xf>
    <xf numFmtId="0" fontId="59" fillId="0" borderId="52"/>
    <xf numFmtId="49" fontId="41" fillId="0" borderId="24">
      <alignment horizontal="center"/>
    </xf>
    <xf numFmtId="49" fontId="60" fillId="0" borderId="53">
      <alignment horizontal="right"/>
    </xf>
    <xf numFmtId="49" fontId="41" fillId="0" borderId="23">
      <alignment horizontal="center"/>
    </xf>
    <xf numFmtId="0" fontId="42" fillId="0" borderId="53">
      <alignment horizontal="right"/>
    </xf>
    <xf numFmtId="0" fontId="41" fillId="0" borderId="23">
      <alignment horizontal="center"/>
    </xf>
    <xf numFmtId="0" fontId="59" fillId="0" borderId="12"/>
    <xf numFmtId="49" fontId="41" fillId="0" borderId="57">
      <alignment horizontal="center"/>
    </xf>
    <xf numFmtId="0" fontId="42" fillId="0" borderId="38">
      <alignment horizontal="center"/>
    </xf>
    <xf numFmtId="0" fontId="48" fillId="0" borderId="43"/>
    <xf numFmtId="49" fontId="13" fillId="0" borderId="55">
      <alignment horizontal="center"/>
    </xf>
    <xf numFmtId="0" fontId="57" fillId="0" borderId="0"/>
    <xf numFmtId="14" fontId="42" fillId="0" borderId="23">
      <alignment horizontal="center"/>
    </xf>
    <xf numFmtId="0" fontId="40" fillId="0" borderId="58"/>
    <xf numFmtId="0" fontId="42" fillId="0" borderId="56">
      <alignment horizontal="center"/>
    </xf>
    <xf numFmtId="0" fontId="40" fillId="0" borderId="45"/>
    <xf numFmtId="49" fontId="42" fillId="0" borderId="24">
      <alignment horizontal="center"/>
    </xf>
    <xf numFmtId="4" fontId="41" fillId="0" borderId="17">
      <alignment horizontal="right"/>
    </xf>
    <xf numFmtId="49" fontId="42" fillId="0" borderId="23">
      <alignment horizontal="center"/>
    </xf>
    <xf numFmtId="49" fontId="41" fillId="0" borderId="32">
      <alignment horizontal="center"/>
    </xf>
    <xf numFmtId="0" fontId="42" fillId="0" borderId="23">
      <alignment horizontal="center"/>
    </xf>
    <xf numFmtId="0" fontId="41" fillId="0" borderId="59">
      <alignment horizontal="left" wrapText="1"/>
    </xf>
    <xf numFmtId="49" fontId="42" fillId="0" borderId="57">
      <alignment horizontal="center"/>
    </xf>
    <xf numFmtId="0" fontId="41" fillId="0" borderId="30">
      <alignment horizontal="left" wrapText="1" indent="1"/>
    </xf>
    <xf numFmtId="0" fontId="51" fillId="0" borderId="43"/>
    <xf numFmtId="0" fontId="41" fillId="0" borderId="23">
      <alignment horizontal="left" wrapText="1" indent="2"/>
    </xf>
    <xf numFmtId="49" fontId="42" fillId="0" borderId="54">
      <alignment horizontal="center" vertical="top" wrapText="1"/>
    </xf>
    <xf numFmtId="0" fontId="40" fillId="3" borderId="60"/>
    <xf numFmtId="0" fontId="42" fillId="0" borderId="61">
      <alignment horizontal="center" vertical="center"/>
    </xf>
    <xf numFmtId="0" fontId="41" fillId="5" borderId="29"/>
    <xf numFmtId="4" fontId="42" fillId="0" borderId="17">
      <alignment horizontal="right"/>
    </xf>
    <xf numFmtId="0" fontId="54" fillId="0" borderId="0">
      <alignment horizontal="left" wrapText="1"/>
    </xf>
    <xf numFmtId="49" fontId="42" fillId="0" borderId="32">
      <alignment horizontal="center"/>
    </xf>
    <xf numFmtId="49" fontId="40" fillId="0" borderId="0"/>
    <xf numFmtId="0" fontId="42" fillId="0" borderId="0">
      <alignment horizontal="left" wrapText="1"/>
    </xf>
    <xf numFmtId="0" fontId="41" fillId="0" borderId="0">
      <alignment horizontal="right"/>
    </xf>
    <xf numFmtId="0" fontId="42" fillId="0" borderId="12">
      <alignment horizontal="left"/>
    </xf>
    <xf numFmtId="49" fontId="41" fillId="0" borderId="0">
      <alignment horizontal="right"/>
    </xf>
    <xf numFmtId="0" fontId="42" fillId="0" borderId="22">
      <alignment horizontal="left" wrapText="1"/>
    </xf>
    <xf numFmtId="0" fontId="41" fillId="0" borderId="0">
      <alignment horizontal="left" wrapText="1"/>
    </xf>
    <xf numFmtId="0" fontId="42" fillId="0" borderId="46"/>
    <xf numFmtId="0" fontId="41" fillId="0" borderId="12">
      <alignment horizontal="left"/>
    </xf>
    <xf numFmtId="0" fontId="43" fillId="0" borderId="62">
      <alignment horizontal="left" wrapText="1"/>
    </xf>
    <xf numFmtId="0" fontId="41" fillId="0" borderId="22">
      <alignment horizontal="left" wrapText="1"/>
    </xf>
    <xf numFmtId="0" fontId="42" fillId="0" borderId="16">
      <alignment horizontal="left" wrapText="1" indent="2"/>
    </xf>
    <xf numFmtId="0" fontId="41" fillId="0" borderId="46"/>
    <xf numFmtId="49" fontId="42" fillId="0" borderId="0">
      <alignment horizontal="center" wrapText="1"/>
    </xf>
    <xf numFmtId="0" fontId="44" fillId="0" borderId="62">
      <alignment horizontal="left" wrapText="1"/>
    </xf>
    <xf numFmtId="49" fontId="42" fillId="0" borderId="40">
      <alignment horizontal="center" wrapText="1"/>
    </xf>
    <xf numFmtId="0" fontId="41" fillId="0" borderId="16">
      <alignment horizontal="left" wrapText="1" indent="2"/>
    </xf>
    <xf numFmtId="0" fontId="42" fillId="0" borderId="49"/>
    <xf numFmtId="49" fontId="41" fillId="0" borderId="0">
      <alignment horizontal="center" wrapText="1"/>
    </xf>
    <xf numFmtId="0" fontId="42" fillId="0" borderId="63">
      <alignment horizontal="center" wrapText="1"/>
    </xf>
    <xf numFmtId="49" fontId="41" fillId="0" borderId="40">
      <alignment horizontal="center" wrapText="1"/>
    </xf>
    <xf numFmtId="0" fontId="13" fillId="4" borderId="43"/>
    <xf numFmtId="0" fontId="41" fillId="0" borderId="49"/>
    <xf numFmtId="49" fontId="42" fillId="0" borderId="28">
      <alignment horizontal="center"/>
    </xf>
    <xf numFmtId="0" fontId="41" fillId="0" borderId="63">
      <alignment horizontal="center" wrapText="1"/>
    </xf>
    <xf numFmtId="49" fontId="42" fillId="0" borderId="0">
      <alignment horizontal="center"/>
    </xf>
    <xf numFmtId="0" fontId="40" fillId="3" borderId="43"/>
    <xf numFmtId="49" fontId="42" fillId="0" borderId="14">
      <alignment horizontal="center" wrapText="1"/>
    </xf>
    <xf numFmtId="49" fontId="41" fillId="0" borderId="28">
      <alignment horizontal="center"/>
    </xf>
    <xf numFmtId="49" fontId="42" fillId="0" borderId="15">
      <alignment horizontal="center" wrapText="1"/>
    </xf>
    <xf numFmtId="0" fontId="40" fillId="0" borderId="43"/>
    <xf numFmtId="49" fontId="42" fillId="0" borderId="14">
      <alignment horizontal="center"/>
    </xf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2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26" fillId="0" borderId="0">
      <alignment vertical="top"/>
    </xf>
    <xf numFmtId="0" fontId="5" fillId="0" borderId="0"/>
    <xf numFmtId="0" fontId="62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165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2" fillId="0" borderId="0"/>
    <xf numFmtId="0" fontId="64" fillId="6" borderId="0">
      <alignment horizontal="left" vertical="center"/>
    </xf>
    <xf numFmtId="0" fontId="64" fillId="6" borderId="0">
      <alignment horizontal="center" vertical="center"/>
    </xf>
    <xf numFmtId="0" fontId="64" fillId="6" borderId="0">
      <alignment horizontal="center" vertical="center"/>
    </xf>
    <xf numFmtId="0" fontId="64" fillId="6" borderId="0">
      <alignment horizontal="right" vertical="center"/>
    </xf>
    <xf numFmtId="0" fontId="88" fillId="6" borderId="0">
      <alignment horizontal="left"/>
    </xf>
    <xf numFmtId="0" fontId="89" fillId="6" borderId="0">
      <alignment horizontal="center"/>
    </xf>
    <xf numFmtId="0" fontId="90" fillId="6" borderId="0">
      <alignment horizontal="center" vertical="center"/>
    </xf>
    <xf numFmtId="0" fontId="88" fillId="6" borderId="0">
      <alignment horizontal="center" vertical="center"/>
    </xf>
    <xf numFmtId="0" fontId="88" fillId="6" borderId="0">
      <alignment horizontal="center" vertical="center"/>
    </xf>
    <xf numFmtId="0" fontId="64" fillId="6" borderId="0">
      <alignment horizontal="right" vertical="center"/>
    </xf>
    <xf numFmtId="0" fontId="64" fillId="6" borderId="0">
      <alignment horizontal="left" vertical="center"/>
    </xf>
    <xf numFmtId="0" fontId="64" fillId="6" borderId="0">
      <alignment horizontal="center" vertical="center"/>
    </xf>
    <xf numFmtId="0" fontId="88" fillId="6" borderId="0">
      <alignment horizontal="center" vertical="center"/>
    </xf>
    <xf numFmtId="0" fontId="64" fillId="6" borderId="0">
      <alignment horizontal="right" vertical="center"/>
    </xf>
    <xf numFmtId="0" fontId="64" fillId="6" borderId="0">
      <alignment horizontal="right" vertical="center"/>
    </xf>
    <xf numFmtId="0" fontId="91" fillId="6" borderId="0">
      <alignment horizontal="left" vertical="top"/>
    </xf>
    <xf numFmtId="0" fontId="88" fillId="6" borderId="0">
      <alignment horizontal="left" vertical="center"/>
    </xf>
    <xf numFmtId="0" fontId="64" fillId="6" borderId="0">
      <alignment horizontal="left" vertical="center"/>
    </xf>
    <xf numFmtId="0" fontId="64" fillId="6" borderId="0">
      <alignment horizontal="right" vertical="center"/>
    </xf>
    <xf numFmtId="0" fontId="64" fillId="6" borderId="0">
      <alignment horizontal="right" vertical="center"/>
    </xf>
    <xf numFmtId="0" fontId="64" fillId="6" borderId="0">
      <alignment horizontal="center" vertical="center"/>
    </xf>
    <xf numFmtId="0" fontId="64" fillId="6" borderId="0">
      <alignment horizontal="center" vertical="center"/>
    </xf>
    <xf numFmtId="0" fontId="64" fillId="6" borderId="0">
      <alignment horizontal="center" vertical="center"/>
    </xf>
    <xf numFmtId="0" fontId="64" fillId="6" borderId="0">
      <alignment horizontal="center" vertical="center"/>
    </xf>
    <xf numFmtId="0" fontId="64" fillId="6" borderId="0">
      <alignment horizontal="right" vertical="center"/>
    </xf>
    <xf numFmtId="0" fontId="89" fillId="6" borderId="0">
      <alignment horizontal="left" vertical="center"/>
    </xf>
    <xf numFmtId="0" fontId="64" fillId="6" borderId="0">
      <alignment horizontal="center" vertical="center"/>
    </xf>
    <xf numFmtId="49" fontId="52" fillId="5" borderId="27">
      <alignment horizontal="left" wrapText="1"/>
    </xf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14" fillId="0" borderId="1" xfId="1" applyFont="1" applyFill="1" applyBorder="1" applyAlignment="1">
      <alignment horizontal="left" wrapText="1"/>
    </xf>
    <xf numFmtId="49" fontId="14" fillId="0" borderId="1" xfId="1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wrapText="1"/>
    </xf>
    <xf numFmtId="49" fontId="16" fillId="0" borderId="1" xfId="1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vertical="top" wrapText="1"/>
    </xf>
    <xf numFmtId="0" fontId="14" fillId="0" borderId="0" xfId="1" applyFont="1" applyFill="1"/>
    <xf numFmtId="0" fontId="17" fillId="0" borderId="0" xfId="1" applyFont="1" applyFill="1"/>
    <xf numFmtId="2" fontId="14" fillId="0" borderId="0" xfId="1" applyNumberFormat="1" applyFont="1" applyFill="1" applyAlignment="1"/>
    <xf numFmtId="0" fontId="14" fillId="0" borderId="0" xfId="1" applyFont="1" applyFill="1" applyBorder="1"/>
    <xf numFmtId="0" fontId="27" fillId="0" borderId="1" xfId="1" applyFont="1" applyFill="1" applyBorder="1" applyAlignment="1">
      <alignment horizontal="left"/>
    </xf>
    <xf numFmtId="0" fontId="16" fillId="0" borderId="0" xfId="1" applyFont="1" applyFill="1"/>
    <xf numFmtId="0" fontId="21" fillId="0" borderId="0" xfId="1" applyFont="1" applyFill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/>
    </xf>
    <xf numFmtId="167" fontId="14" fillId="0" borderId="0" xfId="1" applyNumberFormat="1" applyFont="1" applyFill="1" applyAlignment="1">
      <alignment wrapText="1"/>
    </xf>
    <xf numFmtId="167" fontId="14" fillId="0" borderId="0" xfId="1" applyNumberFormat="1" applyFont="1" applyFill="1" applyAlignment="1">
      <alignment horizontal="left" vertical="top"/>
    </xf>
    <xf numFmtId="0" fontId="17" fillId="0" borderId="0" xfId="1" applyFont="1" applyFill="1" applyAlignment="1">
      <alignment horizontal="left"/>
    </xf>
    <xf numFmtId="0" fontId="27" fillId="0" borderId="1" xfId="1" applyFont="1" applyFill="1" applyBorder="1" applyAlignment="1">
      <alignment horizontal="left" wrapText="1"/>
    </xf>
    <xf numFmtId="166" fontId="16" fillId="0" borderId="1" xfId="1" applyNumberFormat="1" applyFont="1" applyFill="1" applyBorder="1" applyAlignment="1">
      <alignment horizontal="right"/>
    </xf>
    <xf numFmtId="0" fontId="27" fillId="0" borderId="0" xfId="1" applyFont="1" applyFill="1"/>
    <xf numFmtId="49" fontId="14" fillId="0" borderId="1" xfId="1" applyNumberFormat="1" applyFont="1" applyFill="1" applyBorder="1"/>
    <xf numFmtId="0" fontId="14" fillId="0" borderId="1" xfId="1" applyFont="1" applyFill="1" applyBorder="1"/>
    <xf numFmtId="49" fontId="16" fillId="0" borderId="1" xfId="1" applyNumberFormat="1" applyFont="1" applyFill="1" applyBorder="1"/>
    <xf numFmtId="0" fontId="16" fillId="0" borderId="1" xfId="1" applyFont="1" applyFill="1" applyBorder="1"/>
    <xf numFmtId="0" fontId="17" fillId="0" borderId="1" xfId="1" applyFont="1" applyFill="1" applyBorder="1" applyAlignment="1">
      <alignment horizontal="left" vertical="center" wrapText="1"/>
    </xf>
    <xf numFmtId="2" fontId="16" fillId="0" borderId="0" xfId="1" applyNumberFormat="1" applyFont="1" applyFill="1" applyAlignment="1"/>
    <xf numFmtId="49" fontId="17" fillId="0" borderId="1" xfId="1" applyNumberFormat="1" applyFont="1" applyFill="1" applyBorder="1" applyAlignment="1">
      <alignment horizontal="left" wrapText="1"/>
    </xf>
    <xf numFmtId="0" fontId="18" fillId="0" borderId="0" xfId="0" applyFont="1" applyFill="1" applyAlignment="1">
      <alignment horizontal="righ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1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/>
    </xf>
    <xf numFmtId="49" fontId="30" fillId="0" borderId="1" xfId="0" applyNumberFormat="1" applyFont="1" applyFill="1" applyBorder="1" applyAlignment="1">
      <alignment vertical="center"/>
    </xf>
    <xf numFmtId="0" fontId="31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31" fillId="0" borderId="0" xfId="0" applyFont="1" applyFill="1" applyAlignment="1">
      <alignment horizontal="justify" vertical="center"/>
    </xf>
    <xf numFmtId="169" fontId="31" fillId="0" borderId="0" xfId="0" applyNumberFormat="1" applyFont="1" applyFill="1"/>
    <xf numFmtId="166" fontId="14" fillId="0" borderId="1" xfId="1" applyNumberFormat="1" applyFont="1" applyFill="1" applyBorder="1" applyAlignment="1">
      <alignment horizontal="right"/>
    </xf>
    <xf numFmtId="166" fontId="14" fillId="0" borderId="1" xfId="147" applyNumberFormat="1" applyFont="1" applyFill="1" applyBorder="1" applyAlignment="1">
      <alignment horizontal="right"/>
    </xf>
    <xf numFmtId="166" fontId="14" fillId="0" borderId="0" xfId="1" applyNumberFormat="1" applyFont="1" applyFill="1"/>
    <xf numFmtId="166" fontId="14" fillId="0" borderId="0" xfId="1" applyNumberFormat="1" applyFont="1" applyFill="1" applyAlignment="1">
      <alignment horizontal="right"/>
    </xf>
    <xf numFmtId="49" fontId="35" fillId="0" borderId="1" xfId="1" applyNumberFormat="1" applyFont="1" applyFill="1" applyBorder="1" applyAlignment="1">
      <alignment horizontal="left"/>
    </xf>
    <xf numFmtId="166" fontId="36" fillId="0" borderId="1" xfId="1" applyNumberFormat="1" applyFont="1" applyFill="1" applyBorder="1" applyAlignment="1">
      <alignment horizontal="right"/>
    </xf>
    <xf numFmtId="166" fontId="14" fillId="0" borderId="0" xfId="1" applyNumberFormat="1" applyFont="1" applyFill="1" applyAlignment="1"/>
    <xf numFmtId="166" fontId="32" fillId="0" borderId="1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168" fontId="16" fillId="0" borderId="1" xfId="1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>
      <alignment horizontal="right"/>
    </xf>
    <xf numFmtId="168" fontId="14" fillId="0" borderId="0" xfId="1" applyNumberFormat="1" applyFont="1" applyFill="1" applyAlignment="1">
      <alignment horizontal="right"/>
    </xf>
    <xf numFmtId="168" fontId="14" fillId="0" borderId="0" xfId="1" applyNumberFormat="1" applyFont="1" applyFill="1"/>
    <xf numFmtId="168" fontId="14" fillId="0" borderId="0" xfId="0" applyNumberFormat="1" applyFont="1" applyFill="1" applyAlignment="1">
      <alignment horizontal="right" vertical="center"/>
    </xf>
    <xf numFmtId="170" fontId="18" fillId="0" borderId="1" xfId="10" applyNumberFormat="1" applyFont="1" applyFill="1" applyBorder="1" applyAlignment="1">
      <alignment horizontal="center" vertical="center" wrapText="1"/>
    </xf>
    <xf numFmtId="170" fontId="34" fillId="0" borderId="1" xfId="0" applyNumberFormat="1" applyFont="1" applyFill="1" applyBorder="1" applyAlignment="1">
      <alignment horizontal="center" vertical="center"/>
    </xf>
    <xf numFmtId="170" fontId="28" fillId="0" borderId="1" xfId="10" applyNumberFormat="1" applyFont="1" applyFill="1" applyBorder="1" applyAlignment="1">
      <alignment horizontal="center" vertical="center" wrapText="1"/>
    </xf>
    <xf numFmtId="166" fontId="0" fillId="0" borderId="3" xfId="148" applyNumberFormat="1" applyFont="1" applyFill="1" applyBorder="1" applyAlignment="1"/>
    <xf numFmtId="168" fontId="21" fillId="0" borderId="1" xfId="1" applyNumberFormat="1" applyFont="1" applyFill="1" applyBorder="1" applyAlignment="1">
      <alignment horizontal="right"/>
    </xf>
    <xf numFmtId="168" fontId="14" fillId="0" borderId="1" xfId="4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>
      <alignment horizontal="right" wrapText="1"/>
    </xf>
    <xf numFmtId="168" fontId="14" fillId="0" borderId="1" xfId="146" applyNumberFormat="1" applyFont="1" applyFill="1" applyBorder="1" applyAlignment="1">
      <alignment horizontal="right" wrapText="1"/>
    </xf>
    <xf numFmtId="168" fontId="14" fillId="0" borderId="1" xfId="5" applyNumberFormat="1" applyFont="1" applyFill="1" applyBorder="1" applyAlignment="1">
      <alignment horizontal="right" wrapText="1"/>
    </xf>
    <xf numFmtId="168" fontId="14" fillId="0" borderId="1" xfId="2" applyNumberFormat="1" applyFont="1" applyFill="1" applyBorder="1" applyAlignment="1">
      <alignment horizontal="right" wrapText="1"/>
    </xf>
    <xf numFmtId="168" fontId="14" fillId="0" borderId="1" xfId="7" applyNumberFormat="1" applyFont="1" applyFill="1" applyBorder="1" applyAlignment="1">
      <alignment horizontal="right" wrapText="1"/>
    </xf>
    <xf numFmtId="168" fontId="14" fillId="0" borderId="1" xfId="0" applyNumberFormat="1" applyFont="1" applyFill="1" applyBorder="1" applyAlignment="1">
      <alignment horizontal="right" wrapText="1" shrinkToFit="1"/>
    </xf>
    <xf numFmtId="168" fontId="32" fillId="0" borderId="1" xfId="2" applyNumberFormat="1" applyFont="1" applyFill="1" applyBorder="1" applyAlignment="1">
      <alignment horizontal="right" wrapText="1"/>
    </xf>
    <xf numFmtId="168" fontId="32" fillId="0" borderId="1" xfId="1" applyNumberFormat="1" applyFont="1" applyFill="1" applyBorder="1" applyAlignment="1">
      <alignment horizontal="right"/>
    </xf>
    <xf numFmtId="168" fontId="32" fillId="0" borderId="1" xfId="145" applyNumberFormat="1" applyFont="1" applyFill="1" applyBorder="1" applyAlignment="1">
      <alignment horizontal="right" wrapText="1"/>
    </xf>
    <xf numFmtId="168" fontId="32" fillId="0" borderId="1" xfId="146" applyNumberFormat="1" applyFont="1" applyFill="1" applyBorder="1" applyAlignment="1">
      <alignment horizontal="right" wrapText="1"/>
    </xf>
    <xf numFmtId="168" fontId="32" fillId="0" borderId="1" xfId="0" applyNumberFormat="1" applyFont="1" applyFill="1" applyBorder="1" applyAlignment="1">
      <alignment horizontal="right" wrapText="1" shrinkToFit="1"/>
    </xf>
    <xf numFmtId="168" fontId="32" fillId="0" borderId="1" xfId="1" applyNumberFormat="1" applyFont="1" applyFill="1" applyBorder="1" applyAlignment="1">
      <alignment horizontal="right" wrapText="1"/>
    </xf>
    <xf numFmtId="168" fontId="14" fillId="0" borderId="1" xfId="147" applyNumberFormat="1" applyFont="1" applyFill="1" applyBorder="1" applyAlignment="1">
      <alignment horizontal="right"/>
    </xf>
    <xf numFmtId="166" fontId="14" fillId="0" borderId="1" xfId="5" applyNumberFormat="1" applyFont="1" applyFill="1" applyBorder="1" applyAlignment="1">
      <alignment horizontal="right" wrapText="1"/>
    </xf>
    <xf numFmtId="166" fontId="14" fillId="0" borderId="1" xfId="146" applyNumberFormat="1" applyFont="1" applyFill="1" applyBorder="1" applyAlignment="1">
      <alignment horizontal="right" wrapText="1"/>
    </xf>
    <xf numFmtId="166" fontId="14" fillId="0" borderId="1" xfId="7" applyNumberFormat="1" applyFont="1" applyFill="1" applyBorder="1" applyAlignment="1">
      <alignment horizontal="right" wrapText="1"/>
    </xf>
    <xf numFmtId="166" fontId="14" fillId="0" borderId="1" xfId="2" applyNumberFormat="1" applyFont="1" applyFill="1" applyBorder="1" applyAlignment="1">
      <alignment horizontal="right" wrapText="1"/>
    </xf>
    <xf numFmtId="166" fontId="14" fillId="0" borderId="1" xfId="1" applyNumberFormat="1" applyFont="1" applyFill="1" applyBorder="1" applyAlignment="1">
      <alignment horizontal="right" wrapText="1"/>
    </xf>
    <xf numFmtId="166" fontId="32" fillId="0" borderId="1" xfId="2" applyNumberFormat="1" applyFont="1" applyFill="1" applyBorder="1" applyAlignment="1">
      <alignment horizontal="right" wrapText="1"/>
    </xf>
    <xf numFmtId="166" fontId="32" fillId="0" borderId="1" xfId="1" applyNumberFormat="1" applyFont="1" applyFill="1" applyBorder="1" applyAlignment="1">
      <alignment horizontal="right" wrapText="1"/>
    </xf>
    <xf numFmtId="166" fontId="32" fillId="0" borderId="1" xfId="146" applyNumberFormat="1" applyFont="1" applyFill="1" applyBorder="1" applyAlignment="1">
      <alignment horizontal="right" wrapText="1"/>
    </xf>
    <xf numFmtId="166" fontId="14" fillId="0" borderId="1" xfId="4" applyNumberFormat="1" applyFont="1" applyFill="1" applyBorder="1" applyAlignment="1">
      <alignment horizontal="right"/>
    </xf>
    <xf numFmtId="166" fontId="32" fillId="0" borderId="1" xfId="4" applyNumberFormat="1" applyFont="1" applyFill="1" applyBorder="1" applyAlignment="1">
      <alignment horizontal="right"/>
    </xf>
    <xf numFmtId="166" fontId="14" fillId="0" borderId="1" xfId="0" applyNumberFormat="1" applyFont="1" applyFill="1" applyBorder="1" applyAlignment="1">
      <alignment horizontal="right" wrapText="1" shrinkToFit="1"/>
    </xf>
    <xf numFmtId="166" fontId="32" fillId="0" borderId="1" xfId="0" applyNumberFormat="1" applyFont="1" applyFill="1" applyBorder="1" applyAlignment="1">
      <alignment horizontal="right" wrapText="1" shrinkToFi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right"/>
    </xf>
    <xf numFmtId="166" fontId="14" fillId="2" borderId="1" xfId="2" applyNumberFormat="1" applyFont="1" applyFill="1" applyBorder="1" applyAlignment="1">
      <alignment horizontal="right" wrapText="1"/>
    </xf>
    <xf numFmtId="166" fontId="14" fillId="2" borderId="1" xfId="146" applyNumberFormat="1" applyFont="1" applyFill="1" applyBorder="1" applyAlignment="1">
      <alignment horizontal="right" wrapText="1"/>
    </xf>
    <xf numFmtId="166" fontId="14" fillId="2" borderId="1" xfId="147" applyNumberFormat="1" applyFont="1" applyFill="1" applyBorder="1" applyAlignment="1">
      <alignment horizontal="right"/>
    </xf>
    <xf numFmtId="168" fontId="39" fillId="0" borderId="1" xfId="1" applyNumberFormat="1" applyFont="1" applyFill="1" applyBorder="1" applyAlignment="1">
      <alignment horizontal="right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5" applyFont="1" applyAlignment="1">
      <alignment wrapText="1"/>
    </xf>
    <xf numFmtId="0" fontId="32" fillId="0" borderId="0" xfId="5" applyFont="1" applyAlignment="1">
      <alignment wrapText="1"/>
    </xf>
    <xf numFmtId="0" fontId="0" fillId="0" borderId="0" xfId="0" applyBorder="1"/>
    <xf numFmtId="0" fontId="34" fillId="0" borderId="0" xfId="0" applyFont="1" applyBorder="1" applyAlignment="1">
      <alignment vertical="center"/>
    </xf>
    <xf numFmtId="0" fontId="34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wrapText="1"/>
    </xf>
    <xf numFmtId="0" fontId="66" fillId="0" borderId="0" xfId="0" applyFont="1"/>
    <xf numFmtId="177" fontId="30" fillId="0" borderId="1" xfId="0" applyNumberFormat="1" applyFont="1" applyFill="1" applyBorder="1" applyAlignment="1">
      <alignment horizontal="center" wrapText="1"/>
    </xf>
    <xf numFmtId="176" fontId="30" fillId="0" borderId="1" xfId="0" applyNumberFormat="1" applyFont="1" applyFill="1" applyBorder="1" applyAlignment="1">
      <alignment horizont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18" fillId="0" borderId="0" xfId="0" applyNumberFormat="1" applyFont="1" applyAlignment="1">
      <alignment horizontal="right"/>
    </xf>
    <xf numFmtId="0" fontId="18" fillId="0" borderId="0" xfId="0" applyFont="1"/>
    <xf numFmtId="49" fontId="20" fillId="0" borderId="0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167" fontId="0" fillId="0" borderId="0" xfId="0" applyNumberFormat="1"/>
    <xf numFmtId="0" fontId="14" fillId="0" borderId="0" xfId="0" applyFont="1" applyAlignment="1">
      <alignment horizontal="center" vertical="top" wrapText="1"/>
    </xf>
    <xf numFmtId="166" fontId="0" fillId="0" borderId="0" xfId="0" applyNumberFormat="1"/>
    <xf numFmtId="168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68" fillId="0" borderId="0" xfId="0" applyFont="1"/>
    <xf numFmtId="168" fontId="14" fillId="0" borderId="1" xfId="0" applyNumberFormat="1" applyFont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left" wrapText="1"/>
    </xf>
    <xf numFmtId="168" fontId="16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167" fontId="16" fillId="0" borderId="1" xfId="0" applyNumberFormat="1" applyFont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 wrapText="1"/>
    </xf>
    <xf numFmtId="167" fontId="14" fillId="0" borderId="1" xfId="0" applyNumberFormat="1" applyFont="1" applyBorder="1" applyAlignment="1">
      <alignment wrapText="1"/>
    </xf>
    <xf numFmtId="167" fontId="37" fillId="0" borderId="1" xfId="0" applyNumberFormat="1" applyFont="1" applyBorder="1" applyAlignment="1">
      <alignment horizontal="right" wrapText="1"/>
    </xf>
    <xf numFmtId="0" fontId="72" fillId="0" borderId="1" xfId="0" applyFont="1" applyFill="1" applyBorder="1"/>
    <xf numFmtId="2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2" fontId="37" fillId="0" borderId="1" xfId="0" applyNumberFormat="1" applyFont="1" applyFill="1" applyBorder="1" applyAlignment="1">
      <alignment horizontal="right" wrapText="1"/>
    </xf>
    <xf numFmtId="0" fontId="37" fillId="0" borderId="1" xfId="543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 wrapText="1"/>
    </xf>
    <xf numFmtId="167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0" fontId="71" fillId="0" borderId="3" xfId="509" applyFont="1" applyFill="1" applyBorder="1" applyAlignment="1">
      <alignment horizontal="left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8" fontId="18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wrapText="1"/>
    </xf>
    <xf numFmtId="0" fontId="14" fillId="0" borderId="0" xfId="541" applyFill="1"/>
    <xf numFmtId="0" fontId="14" fillId="0" borderId="0" xfId="541" applyFill="1" applyBorder="1"/>
    <xf numFmtId="0" fontId="14" fillId="0" borderId="0" xfId="541" applyFont="1" applyFill="1"/>
    <xf numFmtId="167" fontId="21" fillId="0" borderId="65" xfId="541" applyNumberFormat="1" applyFont="1" applyFill="1" applyBorder="1"/>
    <xf numFmtId="0" fontId="21" fillId="0" borderId="65" xfId="541" applyFont="1" applyFill="1" applyBorder="1"/>
    <xf numFmtId="0" fontId="14" fillId="0" borderId="65" xfId="541" applyFont="1" applyFill="1" applyBorder="1" applyAlignment="1">
      <alignment horizontal="center" vertical="center"/>
    </xf>
    <xf numFmtId="165" fontId="14" fillId="0" borderId="0" xfId="541" applyNumberFormat="1" applyFont="1" applyFill="1"/>
    <xf numFmtId="0" fontId="33" fillId="0" borderId="1" xfId="541" applyFont="1" applyFill="1" applyBorder="1"/>
    <xf numFmtId="0" fontId="14" fillId="0" borderId="0" xfId="541" applyFont="1" applyFill="1" applyBorder="1"/>
    <xf numFmtId="176" fontId="32" fillId="0" borderId="0" xfId="541" applyNumberFormat="1" applyFont="1" applyFill="1" applyBorder="1"/>
    <xf numFmtId="176" fontId="18" fillId="0" borderId="1" xfId="133" applyNumberFormat="1" applyFont="1" applyFill="1" applyBorder="1" applyAlignment="1" applyProtection="1">
      <alignment horizontal="center" vertical="center" wrapText="1"/>
      <protection locked="0"/>
    </xf>
    <xf numFmtId="167" fontId="14" fillId="0" borderId="1" xfId="541" applyNumberFormat="1" applyFont="1" applyFill="1" applyBorder="1" applyAlignment="1">
      <alignment horizontal="justify" wrapText="1"/>
    </xf>
    <xf numFmtId="1" fontId="16" fillId="0" borderId="1" xfId="541" applyNumberFormat="1" applyFont="1" applyFill="1" applyBorder="1" applyAlignment="1" applyProtection="1">
      <alignment horizontal="justify" vertical="center" wrapText="1"/>
      <protection locked="0"/>
    </xf>
    <xf numFmtId="49" fontId="16" fillId="0" borderId="1" xfId="541" applyNumberFormat="1" applyFont="1" applyFill="1" applyBorder="1" applyAlignment="1">
      <alignment horizontal="center" vertical="center"/>
    </xf>
    <xf numFmtId="49" fontId="14" fillId="0" borderId="1" xfId="541" applyNumberFormat="1" applyFont="1" applyFill="1" applyBorder="1" applyAlignment="1">
      <alignment horizontal="center" vertical="center"/>
    </xf>
    <xf numFmtId="1" fontId="14" fillId="0" borderId="1" xfId="541" applyNumberFormat="1" applyFont="1" applyFill="1" applyBorder="1" applyAlignment="1" applyProtection="1">
      <alignment horizontal="justify" vertical="center" wrapText="1"/>
      <protection locked="0"/>
    </xf>
    <xf numFmtId="0" fontId="16" fillId="0" borderId="0" xfId="541" applyFont="1" applyFill="1" applyBorder="1"/>
    <xf numFmtId="176" fontId="33" fillId="0" borderId="0" xfId="541" applyNumberFormat="1" applyFont="1" applyFill="1" applyBorder="1"/>
    <xf numFmtId="178" fontId="16" fillId="0" borderId="0" xfId="541" applyNumberFormat="1" applyFont="1" applyFill="1" applyBorder="1"/>
    <xf numFmtId="176" fontId="16" fillId="0" borderId="0" xfId="133" applyNumberFormat="1" applyFont="1" applyFill="1" applyBorder="1"/>
    <xf numFmtId="176" fontId="28" fillId="0" borderId="1" xfId="133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541" applyNumberFormat="1" applyFont="1" applyFill="1" applyBorder="1" applyAlignment="1">
      <alignment horizontal="justify" wrapText="1"/>
    </xf>
    <xf numFmtId="0" fontId="16" fillId="0" borderId="7" xfId="541" applyFont="1" applyFill="1" applyBorder="1"/>
    <xf numFmtId="0" fontId="16" fillId="0" borderId="66" xfId="541" applyFont="1" applyFill="1" applyBorder="1"/>
    <xf numFmtId="0" fontId="16" fillId="0" borderId="67" xfId="541" applyFont="1" applyFill="1" applyBorder="1"/>
    <xf numFmtId="0" fontId="14" fillId="0" borderId="7" xfId="541" applyFont="1" applyFill="1" applyBorder="1"/>
    <xf numFmtId="176" fontId="14" fillId="0" borderId="7" xfId="133" applyNumberFormat="1" applyFont="1" applyFill="1" applyBorder="1"/>
    <xf numFmtId="176" fontId="14" fillId="0" borderId="68" xfId="133" applyNumberFormat="1" applyFont="1" applyFill="1" applyBorder="1"/>
    <xf numFmtId="176" fontId="18" fillId="0" borderId="1" xfId="540" applyNumberFormat="1" applyFont="1" applyFill="1" applyBorder="1" applyAlignment="1">
      <alignment horizontal="center" vertical="center" wrapText="1"/>
    </xf>
    <xf numFmtId="0" fontId="14" fillId="0" borderId="66" xfId="541" applyFont="1" applyFill="1" applyBorder="1"/>
    <xf numFmtId="0" fontId="14" fillId="0" borderId="67" xfId="541" applyFont="1" applyFill="1" applyBorder="1"/>
    <xf numFmtId="179" fontId="32" fillId="0" borderId="0" xfId="541" applyNumberFormat="1" applyFont="1" applyFill="1" applyBorder="1"/>
    <xf numFmtId="179" fontId="14" fillId="0" borderId="0" xfId="541" applyNumberFormat="1" applyFont="1" applyFill="1" applyBorder="1"/>
    <xf numFmtId="179" fontId="14" fillId="0" borderId="6" xfId="133" applyNumberFormat="1" applyFont="1" applyFill="1" applyBorder="1" applyAlignment="1">
      <alignment horizontal="center"/>
    </xf>
    <xf numFmtId="179" fontId="14" fillId="0" borderId="8" xfId="133" applyNumberFormat="1" applyFont="1" applyFill="1" applyBorder="1" applyAlignment="1">
      <alignment horizontal="center"/>
    </xf>
    <xf numFmtId="176" fontId="18" fillId="0" borderId="1" xfId="133" applyNumberFormat="1" applyFont="1" applyFill="1" applyBorder="1" applyAlignment="1">
      <alignment horizontal="center" vertical="center"/>
    </xf>
    <xf numFmtId="0" fontId="14" fillId="0" borderId="1" xfId="541" applyFont="1" applyFill="1" applyBorder="1" applyAlignment="1">
      <alignment horizontal="left" vertical="center" wrapText="1"/>
    </xf>
    <xf numFmtId="176" fontId="16" fillId="0" borderId="7" xfId="133" applyNumberFormat="1" applyFont="1" applyFill="1" applyBorder="1"/>
    <xf numFmtId="176" fontId="16" fillId="0" borderId="67" xfId="133" applyNumberFormat="1" applyFont="1" applyFill="1" applyBorder="1"/>
    <xf numFmtId="0" fontId="16" fillId="0" borderId="1" xfId="541" applyFont="1" applyFill="1" applyBorder="1" applyAlignment="1">
      <alignment horizontal="justify" vertical="center" wrapText="1"/>
    </xf>
    <xf numFmtId="49" fontId="33" fillId="0" borderId="1" xfId="541" applyNumberFormat="1" applyFont="1" applyFill="1" applyBorder="1" applyAlignment="1">
      <alignment horizontal="center" vertical="center"/>
    </xf>
    <xf numFmtId="165" fontId="28" fillId="0" borderId="1" xfId="133" applyNumberFormat="1" applyFont="1" applyFill="1" applyBorder="1" applyAlignment="1" applyProtection="1">
      <alignment horizontal="center" vertical="center" wrapText="1"/>
      <protection locked="0"/>
    </xf>
    <xf numFmtId="165" fontId="28" fillId="0" borderId="2" xfId="133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541" applyNumberFormat="1" applyFont="1" applyFill="1" applyBorder="1" applyAlignment="1">
      <alignment horizontal="center" vertical="center"/>
    </xf>
    <xf numFmtId="0" fontId="20" fillId="0" borderId="7" xfId="541" applyFont="1" applyFill="1" applyBorder="1"/>
    <xf numFmtId="0" fontId="20" fillId="0" borderId="0" xfId="541" applyFont="1" applyFill="1" applyBorder="1"/>
    <xf numFmtId="176" fontId="20" fillId="0" borderId="0" xfId="541" applyNumberFormat="1" applyFont="1" applyFill="1" applyBorder="1"/>
    <xf numFmtId="0" fontId="20" fillId="0" borderId="66" xfId="541" applyFont="1" applyFill="1" applyBorder="1"/>
    <xf numFmtId="0" fontId="20" fillId="0" borderId="67" xfId="541" applyFont="1" applyFill="1" applyBorder="1"/>
    <xf numFmtId="0" fontId="18" fillId="0" borderId="69" xfId="541" applyFont="1" applyFill="1" applyBorder="1"/>
    <xf numFmtId="0" fontId="18" fillId="0" borderId="0" xfId="541" applyFont="1" applyFill="1" applyBorder="1"/>
    <xf numFmtId="0" fontId="18" fillId="0" borderId="70" xfId="541" applyFont="1" applyFill="1" applyBorder="1"/>
    <xf numFmtId="0" fontId="18" fillId="0" borderId="71" xfId="541" applyFont="1" applyFill="1" applyBorder="1"/>
    <xf numFmtId="0" fontId="18" fillId="0" borderId="72" xfId="541" applyFont="1" applyFill="1" applyBorder="1"/>
    <xf numFmtId="0" fontId="18" fillId="0" borderId="73" xfId="541" applyFont="1" applyFill="1" applyBorder="1"/>
    <xf numFmtId="0" fontId="20" fillId="0" borderId="74" xfId="541" applyFont="1" applyFill="1" applyBorder="1"/>
    <xf numFmtId="0" fontId="20" fillId="0" borderId="75" xfId="541" applyFont="1" applyFill="1" applyBorder="1"/>
    <xf numFmtId="0" fontId="20" fillId="0" borderId="76" xfId="541" applyFont="1" applyFill="1" applyBorder="1"/>
    <xf numFmtId="0" fontId="20" fillId="0" borderId="72" xfId="541" applyFont="1" applyFill="1" applyBorder="1"/>
    <xf numFmtId="0" fontId="20" fillId="0" borderId="77" xfId="541" applyFont="1" applyFill="1" applyBorder="1"/>
    <xf numFmtId="1" fontId="76" fillId="0" borderId="0" xfId="541" applyNumberFormat="1" applyFont="1" applyFill="1" applyBorder="1" applyAlignment="1">
      <alignment horizontal="right"/>
    </xf>
    <xf numFmtId="1" fontId="76" fillId="0" borderId="0" xfId="541" applyNumberFormat="1" applyFont="1" applyFill="1" applyBorder="1"/>
    <xf numFmtId="1" fontId="18" fillId="0" borderId="0" xfId="541" applyNumberFormat="1" applyFont="1" applyFill="1" applyBorder="1" applyAlignment="1">
      <alignment horizontal="center"/>
    </xf>
    <xf numFmtId="1" fontId="21" fillId="0" borderId="0" xfId="541" applyNumberFormat="1" applyFont="1" applyFill="1" applyBorder="1" applyAlignment="1">
      <alignment horizontal="center"/>
    </xf>
    <xf numFmtId="167" fontId="21" fillId="0" borderId="0" xfId="541" applyNumberFormat="1" applyFont="1" applyFill="1" applyBorder="1" applyAlignment="1">
      <alignment horizontal="center"/>
    </xf>
    <xf numFmtId="0" fontId="21" fillId="0" borderId="0" xfId="541" applyFont="1" applyFill="1" applyBorder="1" applyAlignment="1">
      <alignment horizontal="center"/>
    </xf>
    <xf numFmtId="49" fontId="39" fillId="0" borderId="0" xfId="541" applyNumberFormat="1" applyFont="1" applyFill="1" applyBorder="1" applyAlignment="1">
      <alignment horizontal="left" vertical="center"/>
    </xf>
    <xf numFmtId="0" fontId="14" fillId="0" borderId="0" xfId="541" applyFont="1" applyFill="1" applyBorder="1" applyAlignment="1">
      <alignment wrapText="1"/>
    </xf>
    <xf numFmtId="0" fontId="76" fillId="0" borderId="0" xfId="541" applyFont="1" applyFill="1" applyBorder="1"/>
    <xf numFmtId="0" fontId="14" fillId="0" borderId="0" xfId="85" applyFont="1" applyAlignment="1">
      <alignment vertical="top" wrapText="1"/>
    </xf>
    <xf numFmtId="0" fontId="16" fillId="0" borderId="0" xfId="85" applyFont="1" applyAlignment="1">
      <alignment vertical="top" wrapText="1"/>
    </xf>
    <xf numFmtId="0" fontId="14" fillId="0" borderId="0" xfId="85" applyNumberFormat="1" applyFont="1" applyFill="1" applyBorder="1" applyAlignment="1" applyProtection="1">
      <alignment horizontal="justify" vertical="center" wrapText="1"/>
    </xf>
    <xf numFmtId="0" fontId="18" fillId="0" borderId="0" xfId="85" applyNumberFormat="1" applyFont="1" applyFill="1" applyBorder="1" applyAlignment="1" applyProtection="1">
      <alignment horizontal="justify" vertical="center" wrapText="1"/>
    </xf>
    <xf numFmtId="166" fontId="16" fillId="0" borderId="0" xfId="85" applyNumberFormat="1" applyFont="1" applyAlignment="1">
      <alignment vertical="top" wrapText="1"/>
    </xf>
    <xf numFmtId="0" fontId="16" fillId="0" borderId="0" xfId="85" applyFont="1" applyFill="1" applyAlignment="1">
      <alignment vertical="top" wrapText="1"/>
    </xf>
    <xf numFmtId="0" fontId="28" fillId="0" borderId="1" xfId="85" applyNumberFormat="1" applyFont="1" applyFill="1" applyBorder="1" applyAlignment="1" applyProtection="1">
      <alignment horizontal="left" vertical="center" wrapText="1"/>
    </xf>
    <xf numFmtId="0" fontId="16" fillId="0" borderId="1" xfId="85" applyFont="1" applyFill="1" applyBorder="1" applyAlignment="1">
      <alignment vertical="top" wrapText="1"/>
    </xf>
    <xf numFmtId="0" fontId="14" fillId="0" borderId="0" xfId="85" applyFont="1" applyFill="1" applyAlignment="1">
      <alignment vertical="top" wrapText="1"/>
    </xf>
    <xf numFmtId="168" fontId="37" fillId="0" borderId="1" xfId="85" applyNumberFormat="1" applyFont="1" applyFill="1" applyBorder="1" applyAlignment="1">
      <alignment horizontal="center" vertical="center" wrapText="1"/>
    </xf>
    <xf numFmtId="168" fontId="14" fillId="0" borderId="1" xfId="85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justify" vertical="center" wrapText="1"/>
    </xf>
    <xf numFmtId="0" fontId="79" fillId="0" borderId="1" xfId="0" applyFont="1" applyFill="1" applyBorder="1" applyAlignment="1">
      <alignment horizontal="center" vertical="center" wrapText="1"/>
    </xf>
    <xf numFmtId="166" fontId="37" fillId="0" borderId="1" xfId="85" applyNumberFormat="1" applyFont="1" applyFill="1" applyBorder="1" applyAlignment="1">
      <alignment horizontal="center" vertical="center" wrapText="1"/>
    </xf>
    <xf numFmtId="166" fontId="16" fillId="0" borderId="1" xfId="85" applyNumberFormat="1" applyFont="1" applyFill="1" applyBorder="1" applyAlignment="1">
      <alignment horizontal="center" vertical="center" wrapText="1"/>
    </xf>
    <xf numFmtId="168" fontId="16" fillId="0" borderId="1" xfId="85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justify" vertical="center" wrapText="1"/>
    </xf>
    <xf numFmtId="2" fontId="14" fillId="0" borderId="1" xfId="85" applyNumberFormat="1" applyFont="1" applyFill="1" applyBorder="1" applyAlignment="1">
      <alignment horizontal="center" vertical="center" wrapText="1"/>
    </xf>
    <xf numFmtId="167" fontId="14" fillId="0" borderId="1" xfId="85" applyNumberFormat="1" applyFont="1" applyFill="1" applyBorder="1" applyAlignment="1">
      <alignment horizontal="center" vertical="center" wrapText="1"/>
    </xf>
    <xf numFmtId="168" fontId="14" fillId="0" borderId="1" xfId="85" applyNumberFormat="1" applyFont="1" applyBorder="1" applyAlignment="1">
      <alignment horizontal="center" vertical="center" wrapText="1"/>
    </xf>
    <xf numFmtId="168" fontId="16" fillId="0" borderId="1" xfId="85" applyNumberFormat="1" applyFont="1" applyBorder="1" applyAlignment="1">
      <alignment horizontal="right" vertical="center" wrapText="1"/>
    </xf>
    <xf numFmtId="0" fontId="79" fillId="0" borderId="1" xfId="0" applyFont="1" applyBorder="1" applyAlignment="1">
      <alignment horizontal="center" vertical="center" wrapText="1"/>
    </xf>
    <xf numFmtId="168" fontId="16" fillId="0" borderId="1" xfId="85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right" vertical="center" wrapText="1"/>
    </xf>
    <xf numFmtId="0" fontId="80" fillId="0" borderId="1" xfId="0" applyFont="1" applyBorder="1" applyAlignment="1">
      <alignment horizontal="center" vertical="center" wrapText="1"/>
    </xf>
    <xf numFmtId="0" fontId="28" fillId="0" borderId="0" xfId="85" applyFont="1" applyAlignment="1">
      <alignment vertical="top" wrapText="1"/>
    </xf>
    <xf numFmtId="168" fontId="28" fillId="0" borderId="1" xfId="85" applyNumberFormat="1" applyFont="1" applyBorder="1" applyAlignment="1">
      <alignment horizontal="center" vertical="center" wrapText="1"/>
    </xf>
    <xf numFmtId="168" fontId="28" fillId="0" borderId="1" xfId="85" applyNumberFormat="1" applyFont="1" applyBorder="1" applyAlignment="1">
      <alignment horizontal="right" vertical="center" wrapText="1"/>
    </xf>
    <xf numFmtId="0" fontId="81" fillId="0" borderId="1" xfId="0" applyFont="1" applyBorder="1" applyAlignment="1">
      <alignment horizontal="center" vertical="center" wrapText="1"/>
    </xf>
    <xf numFmtId="0" fontId="28" fillId="0" borderId="1" xfId="85" applyFont="1" applyBorder="1" applyAlignment="1">
      <alignment horizontal="center" vertical="center" wrapText="1"/>
    </xf>
    <xf numFmtId="0" fontId="14" fillId="0" borderId="1" xfId="85" applyFont="1" applyBorder="1" applyAlignment="1">
      <alignment horizontal="center" vertical="center" wrapText="1"/>
    </xf>
    <xf numFmtId="0" fontId="16" fillId="0" borderId="1" xfId="85" applyFont="1" applyFill="1" applyBorder="1" applyAlignment="1">
      <alignment horizontal="center" vertical="center" wrapText="1"/>
    </xf>
    <xf numFmtId="0" fontId="28" fillId="0" borderId="0" xfId="85" applyFont="1" applyBorder="1" applyAlignment="1">
      <alignment horizontal="justify" vertical="center" wrapText="1"/>
    </xf>
    <xf numFmtId="168" fontId="31" fillId="0" borderId="1" xfId="0" applyNumberFormat="1" applyFont="1" applyFill="1" applyBorder="1"/>
    <xf numFmtId="168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7" fontId="32" fillId="0" borderId="1" xfId="541" applyNumberFormat="1" applyFont="1" applyFill="1" applyBorder="1" applyAlignment="1">
      <alignment horizontal="center" vertical="center" wrapText="1"/>
    </xf>
    <xf numFmtId="0" fontId="16" fillId="0" borderId="64" xfId="541" applyFont="1" applyFill="1" applyBorder="1" applyAlignment="1">
      <alignment horizontal="justify" vertical="center" wrapText="1"/>
    </xf>
    <xf numFmtId="167" fontId="33" fillId="0" borderId="4" xfId="541" applyNumberFormat="1" applyFont="1" applyFill="1" applyBorder="1" applyAlignment="1">
      <alignment horizontal="center" vertical="center" wrapText="1"/>
    </xf>
    <xf numFmtId="176" fontId="28" fillId="0" borderId="1" xfId="540" applyNumberFormat="1" applyFont="1" applyFill="1" applyBorder="1" applyAlignment="1">
      <alignment horizontal="right" vertical="center"/>
    </xf>
    <xf numFmtId="165" fontId="16" fillId="0" borderId="4" xfId="540" applyNumberFormat="1" applyFont="1" applyBorder="1" applyAlignment="1">
      <alignment horizontal="center" vertical="center"/>
    </xf>
    <xf numFmtId="176" fontId="28" fillId="0" borderId="1" xfId="133" applyNumberFormat="1" applyFont="1" applyFill="1" applyBorder="1" applyAlignment="1" applyProtection="1">
      <alignment vertical="center" wrapText="1"/>
      <protection locked="0"/>
    </xf>
    <xf numFmtId="0" fontId="16" fillId="0" borderId="6" xfId="540" applyFont="1" applyFill="1" applyBorder="1" applyAlignment="1">
      <alignment horizontal="justify" wrapText="1"/>
    </xf>
    <xf numFmtId="1" fontId="14" fillId="0" borderId="6" xfId="541" applyNumberFormat="1" applyFont="1" applyFill="1" applyBorder="1" applyAlignment="1" applyProtection="1">
      <alignment horizontal="left" vertical="center" wrapText="1"/>
      <protection locked="0"/>
    </xf>
    <xf numFmtId="176" fontId="18" fillId="0" borderId="1" xfId="540" applyNumberFormat="1" applyFont="1" applyFill="1" applyBorder="1" applyAlignment="1">
      <alignment horizontal="right" vertical="center"/>
    </xf>
    <xf numFmtId="176" fontId="18" fillId="0" borderId="1" xfId="133" applyNumberFormat="1" applyFont="1" applyFill="1" applyBorder="1" applyAlignment="1" applyProtection="1">
      <alignment vertical="center" wrapText="1"/>
      <protection locked="0"/>
    </xf>
    <xf numFmtId="176" fontId="74" fillId="0" borderId="1" xfId="133" applyNumberFormat="1" applyFont="1" applyFill="1" applyBorder="1" applyAlignment="1">
      <alignment vertical="center"/>
    </xf>
    <xf numFmtId="0" fontId="17" fillId="0" borderId="6" xfId="1" applyFont="1" applyFill="1" applyBorder="1" applyAlignment="1">
      <alignment horizontal="left" wrapText="1"/>
    </xf>
    <xf numFmtId="176" fontId="18" fillId="0" borderId="1" xfId="540" applyNumberFormat="1" applyFont="1" applyBorder="1" applyAlignment="1">
      <alignment horizontal="right" vertical="center"/>
    </xf>
    <xf numFmtId="176" fontId="34" fillId="0" borderId="1" xfId="133" applyNumberFormat="1" applyFont="1" applyFill="1" applyBorder="1" applyAlignment="1">
      <alignment vertical="center"/>
    </xf>
    <xf numFmtId="176" fontId="28" fillId="0" borderId="1" xfId="540" applyNumberFormat="1" applyFont="1" applyBorder="1" applyAlignment="1">
      <alignment horizontal="right" vertical="center"/>
    </xf>
    <xf numFmtId="176" fontId="14" fillId="0" borderId="1" xfId="133" applyNumberFormat="1" applyFont="1" applyFill="1" applyBorder="1" applyAlignment="1" applyProtection="1">
      <alignment vertical="center" wrapText="1"/>
      <protection locked="0"/>
    </xf>
    <xf numFmtId="176" fontId="75" fillId="0" borderId="1" xfId="133" applyNumberFormat="1" applyFont="1" applyFill="1" applyBorder="1" applyAlignment="1">
      <alignment vertical="center"/>
    </xf>
    <xf numFmtId="176" fontId="33" fillId="0" borderId="1" xfId="541" applyNumberFormat="1" applyFont="1" applyFill="1" applyBorder="1" applyAlignment="1">
      <alignment horizontal="right"/>
    </xf>
    <xf numFmtId="176" fontId="33" fillId="0" borderId="1" xfId="541" applyNumberFormat="1" applyFont="1" applyFill="1" applyBorder="1" applyAlignment="1"/>
    <xf numFmtId="168" fontId="14" fillId="0" borderId="1" xfId="0" applyNumberFormat="1" applyFont="1" applyBorder="1" applyAlignment="1">
      <alignment horizontal="center" vertical="center"/>
    </xf>
    <xf numFmtId="168" fontId="32" fillId="0" borderId="1" xfId="146" applyNumberFormat="1" applyFont="1" applyFill="1" applyBorder="1" applyAlignment="1">
      <alignment horizontal="center" vertical="center" wrapText="1"/>
    </xf>
    <xf numFmtId="0" fontId="85" fillId="2" borderId="0" xfId="541" applyFont="1" applyFill="1" applyBorder="1"/>
    <xf numFmtId="49" fontId="37" fillId="2" borderId="1" xfId="541" applyNumberFormat="1" applyFont="1" applyFill="1" applyBorder="1" applyAlignment="1">
      <alignment horizontal="center" vertical="center"/>
    </xf>
    <xf numFmtId="0" fontId="70" fillId="2" borderId="6" xfId="1" applyFont="1" applyFill="1" applyBorder="1" applyAlignment="1">
      <alignment horizontal="left" wrapText="1"/>
    </xf>
    <xf numFmtId="167" fontId="37" fillId="2" borderId="1" xfId="541" applyNumberFormat="1" applyFont="1" applyFill="1" applyBorder="1" applyAlignment="1">
      <alignment horizontal="justify" wrapText="1"/>
    </xf>
    <xf numFmtId="176" fontId="83" fillId="2" borderId="1" xfId="540" applyNumberFormat="1" applyFont="1" applyFill="1" applyBorder="1" applyAlignment="1">
      <alignment horizontal="right" vertical="center"/>
    </xf>
    <xf numFmtId="176" fontId="83" fillId="2" borderId="1" xfId="133" applyNumberFormat="1" applyFont="1" applyFill="1" applyBorder="1" applyAlignment="1" applyProtection="1">
      <alignment vertical="center" wrapText="1"/>
      <protection locked="0"/>
    </xf>
    <xf numFmtId="176" fontId="86" fillId="2" borderId="0" xfId="541" applyNumberFormat="1" applyFont="1" applyFill="1" applyBorder="1"/>
    <xf numFmtId="177" fontId="18" fillId="0" borderId="1" xfId="540" applyNumberFormat="1" applyFont="1" applyBorder="1" applyAlignment="1">
      <alignment horizontal="right" vertical="center"/>
    </xf>
    <xf numFmtId="179" fontId="18" fillId="0" borderId="1" xfId="133" applyNumberFormat="1" applyFont="1" applyFill="1" applyBorder="1" applyAlignment="1" applyProtection="1">
      <alignment vertical="center" wrapText="1"/>
      <protection locked="0"/>
    </xf>
    <xf numFmtId="180" fontId="84" fillId="7" borderId="78" xfId="0" applyNumberFormat="1" applyFont="1" applyFill="1" applyBorder="1" applyAlignment="1">
      <alignment horizontal="right" vertical="top" wrapText="1"/>
    </xf>
    <xf numFmtId="168" fontId="14" fillId="0" borderId="0" xfId="85" applyNumberFormat="1" applyFont="1" applyFill="1" applyBorder="1" applyAlignment="1">
      <alignment horizontal="center" vertical="center" wrapText="1"/>
    </xf>
    <xf numFmtId="166" fontId="16" fillId="0" borderId="0" xfId="85" applyNumberFormat="1" applyFont="1" applyFill="1" applyAlignment="1">
      <alignment vertical="top" wrapText="1"/>
    </xf>
    <xf numFmtId="0" fontId="82" fillId="0" borderId="1" xfId="0" applyFont="1" applyBorder="1" applyAlignment="1">
      <alignment wrapText="1"/>
    </xf>
    <xf numFmtId="0" fontId="82" fillId="0" borderId="1" xfId="0" applyFont="1" applyBorder="1" applyAlignment="1">
      <alignment horizontal="justify" vertical="center"/>
    </xf>
    <xf numFmtId="168" fontId="0" fillId="8" borderId="6" xfId="549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/>
    </xf>
    <xf numFmtId="168" fontId="28" fillId="0" borderId="1" xfId="85" applyNumberFormat="1" applyFont="1" applyFill="1" applyBorder="1" applyAlignment="1" applyProtection="1">
      <alignment horizontal="center" vertical="center" wrapText="1"/>
    </xf>
    <xf numFmtId="49" fontId="20" fillId="0" borderId="6" xfId="541" applyNumberFormat="1" applyFont="1" applyFill="1" applyBorder="1" applyAlignment="1">
      <alignment horizontal="center" vertical="center"/>
    </xf>
    <xf numFmtId="0" fontId="18" fillId="0" borderId="6" xfId="541" applyFont="1" applyFill="1" applyBorder="1" applyAlignment="1">
      <alignment horizontal="center"/>
    </xf>
    <xf numFmtId="167" fontId="20" fillId="0" borderId="6" xfId="541" applyNumberFormat="1" applyFont="1" applyFill="1" applyBorder="1" applyAlignment="1">
      <alignment horizontal="center" vertical="center" wrapText="1"/>
    </xf>
    <xf numFmtId="49" fontId="20" fillId="0" borderId="83" xfId="541" applyNumberFormat="1" applyFont="1" applyFill="1" applyBorder="1" applyAlignment="1">
      <alignment horizontal="center" vertical="center" wrapText="1"/>
    </xf>
    <xf numFmtId="49" fontId="18" fillId="0" borderId="86" xfId="541" applyNumberFormat="1" applyFont="1" applyFill="1" applyBorder="1" applyAlignment="1">
      <alignment horizontal="center" vertical="center"/>
    </xf>
    <xf numFmtId="0" fontId="28" fillId="0" borderId="74" xfId="540" applyFont="1" applyBorder="1" applyAlignment="1">
      <alignment horizontal="center" vertical="center" wrapText="1"/>
    </xf>
    <xf numFmtId="0" fontId="28" fillId="0" borderId="76" xfId="540" applyFont="1" applyBorder="1" applyAlignment="1">
      <alignment horizontal="center" vertical="center" wrapText="1"/>
    </xf>
    <xf numFmtId="0" fontId="28" fillId="0" borderId="75" xfId="540" applyFont="1" applyBorder="1" applyAlignment="1">
      <alignment horizontal="center" vertical="center" wrapText="1"/>
    </xf>
    <xf numFmtId="0" fontId="28" fillId="0" borderId="87" xfId="540" applyFont="1" applyBorder="1" applyAlignment="1">
      <alignment horizontal="center" vertical="center" wrapText="1"/>
    </xf>
    <xf numFmtId="0" fontId="28" fillId="0" borderId="88" xfId="540" applyFont="1" applyBorder="1" applyAlignment="1">
      <alignment horizontal="center" vertical="center" wrapText="1"/>
    </xf>
    <xf numFmtId="0" fontId="31" fillId="0" borderId="0" xfId="0" applyFont="1" applyFill="1" applyAlignment="1">
      <alignment horizontal="righ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167" fontId="16" fillId="0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0" fillId="0" borderId="0" xfId="541" applyFont="1" applyFill="1" applyBorder="1" applyAlignment="1">
      <alignment horizontal="center" vertical="center"/>
    </xf>
    <xf numFmtId="0" fontId="20" fillId="0" borderId="84" xfId="54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167" fontId="32" fillId="0" borderId="85" xfId="541" applyNumberFormat="1" applyFont="1" applyFill="1" applyBorder="1" applyAlignment="1">
      <alignment horizontal="center" vertical="center" wrapText="1"/>
    </xf>
    <xf numFmtId="167" fontId="32" fillId="0" borderId="87" xfId="541" applyNumberFormat="1" applyFont="1" applyFill="1" applyBorder="1" applyAlignment="1">
      <alignment horizontal="center" vertical="center" wrapText="1"/>
    </xf>
    <xf numFmtId="0" fontId="28" fillId="0" borderId="79" xfId="540" applyFont="1" applyBorder="1" applyAlignment="1">
      <alignment horizontal="center" vertical="center" wrapText="1"/>
    </xf>
    <xf numFmtId="0" fontId="18" fillId="0" borderId="77" xfId="542" applyFont="1" applyBorder="1" applyAlignment="1">
      <alignment horizontal="center" vertical="center" wrapText="1"/>
    </xf>
    <xf numFmtId="1" fontId="28" fillId="0" borderId="80" xfId="540" applyNumberFormat="1" applyFont="1" applyBorder="1" applyAlignment="1">
      <alignment horizontal="center" vertical="center"/>
    </xf>
    <xf numFmtId="1" fontId="28" fillId="0" borderId="81" xfId="540" applyNumberFormat="1" applyFont="1" applyBorder="1" applyAlignment="1">
      <alignment horizontal="center" vertical="center"/>
    </xf>
    <xf numFmtId="1" fontId="28" fillId="0" borderId="82" xfId="54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73" fillId="0" borderId="0" xfId="0" applyFont="1" applyAlignment="1">
      <alignment wrapText="1"/>
    </xf>
    <xf numFmtId="0" fontId="34" fillId="0" borderId="0" xfId="0" applyFont="1" applyAlignment="1">
      <alignment horizontal="center" vertical="top" wrapText="1"/>
    </xf>
    <xf numFmtId="167" fontId="17" fillId="0" borderId="64" xfId="1" applyNumberFormat="1" applyFont="1" applyFill="1" applyBorder="1" applyAlignment="1">
      <alignment horizontal="right" wrapText="1"/>
    </xf>
    <xf numFmtId="167" fontId="0" fillId="0" borderId="8" xfId="0" applyNumberFormat="1" applyBorder="1" applyAlignment="1">
      <alignment horizontal="right" wrapText="1"/>
    </xf>
    <xf numFmtId="0" fontId="28" fillId="0" borderId="1" xfId="0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167" fontId="66" fillId="0" borderId="5" xfId="0" applyNumberFormat="1" applyFont="1" applyBorder="1" applyAlignment="1">
      <alignment horizontal="center" vertical="center" wrapText="1"/>
    </xf>
    <xf numFmtId="167" fontId="66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30" fillId="0" borderId="0" xfId="85" applyFont="1" applyBorder="1" applyAlignment="1">
      <alignment horizontal="center" vertical="center" wrapText="1"/>
    </xf>
    <xf numFmtId="0" fontId="16" fillId="0" borderId="1" xfId="85" applyFont="1" applyBorder="1" applyAlignment="1">
      <alignment horizontal="center" vertical="center" wrapText="1"/>
    </xf>
    <xf numFmtId="0" fontId="16" fillId="0" borderId="4" xfId="85" applyFont="1" applyBorder="1" applyAlignment="1">
      <alignment horizontal="center" vertical="center" wrapText="1"/>
    </xf>
    <xf numFmtId="0" fontId="16" fillId="0" borderId="3" xfId="85" applyFont="1" applyBorder="1" applyAlignment="1">
      <alignment horizontal="center" vertical="center" wrapText="1"/>
    </xf>
    <xf numFmtId="0" fontId="33" fillId="0" borderId="0" xfId="5" applyFont="1" applyBorder="1" applyAlignment="1">
      <alignment horizontal="center" wrapText="1"/>
    </xf>
    <xf numFmtId="0" fontId="32" fillId="0" borderId="0" xfId="5" applyFont="1" applyAlignment="1">
      <alignment wrapText="1"/>
    </xf>
    <xf numFmtId="0" fontId="30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2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top" wrapText="1"/>
    </xf>
    <xf numFmtId="0" fontId="65" fillId="0" borderId="1" xfId="0" applyFont="1" applyBorder="1" applyAlignment="1">
      <alignment wrapText="1"/>
    </xf>
    <xf numFmtId="0" fontId="69" fillId="0" borderId="0" xfId="0" applyFont="1" applyAlignment="1">
      <alignment horizontal="center" wrapText="1"/>
    </xf>
    <xf numFmtId="0" fontId="30" fillId="0" borderId="4" xfId="0" applyFont="1" applyBorder="1" applyAlignment="1">
      <alignment horizontal="justify" vertical="center"/>
    </xf>
    <xf numFmtId="0" fontId="65" fillId="0" borderId="7" xfId="0" applyFont="1" applyBorder="1"/>
    <xf numFmtId="0" fontId="65" fillId="0" borderId="6" xfId="0" applyFont="1" applyBorder="1"/>
    <xf numFmtId="0" fontId="30" fillId="0" borderId="7" xfId="0" applyFont="1" applyBorder="1" applyAlignment="1">
      <alignment horizontal="justify" vertical="center"/>
    </xf>
    <xf numFmtId="0" fontId="30" fillId="0" borderId="6" xfId="0" applyFont="1" applyBorder="1" applyAlignment="1">
      <alignment horizontal="justify" vertical="center"/>
    </xf>
    <xf numFmtId="0" fontId="68" fillId="0" borderId="7" xfId="0" applyFont="1" applyBorder="1"/>
    <xf numFmtId="0" fontId="68" fillId="0" borderId="6" xfId="0" applyFont="1" applyBorder="1"/>
    <xf numFmtId="0" fontId="30" fillId="0" borderId="3" xfId="0" applyFont="1" applyFill="1" applyBorder="1" applyAlignment="1">
      <alignment horizontal="center" wrapText="1"/>
    </xf>
    <xf numFmtId="0" fontId="67" fillId="0" borderId="5" xfId="0" applyFont="1" applyFill="1" applyBorder="1" applyAlignment="1">
      <alignment horizontal="center"/>
    </xf>
    <xf numFmtId="0" fontId="67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8" fillId="0" borderId="6" xfId="0" applyFont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0" xfId="0" applyAlignment="1">
      <alignment horizontal="right" wrapText="1"/>
    </xf>
    <xf numFmtId="0" fontId="16" fillId="0" borderId="4" xfId="0" applyFont="1" applyFill="1" applyBorder="1" applyAlignment="1">
      <alignment horizontal="center" vertical="center" wrapText="1"/>
    </xf>
    <xf numFmtId="165" fontId="16" fillId="0" borderId="4" xfId="549" applyFont="1" applyFill="1" applyBorder="1" applyAlignment="1">
      <alignment horizontal="center" vertical="center" wrapText="1"/>
    </xf>
    <xf numFmtId="165" fontId="38" fillId="0" borderId="6" xfId="549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6" fontId="1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28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166" fontId="33" fillId="0" borderId="1" xfId="1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right" wrapText="1"/>
    </xf>
    <xf numFmtId="0" fontId="14" fillId="0" borderId="0" xfId="638" applyFont="1"/>
    <xf numFmtId="0" fontId="14" fillId="0" borderId="0" xfId="638" applyFont="1" applyFill="1"/>
    <xf numFmtId="0" fontId="14" fillId="0" borderId="0" xfId="638" applyFont="1" applyAlignment="1">
      <alignment horizontal="right"/>
    </xf>
    <xf numFmtId="49" fontId="14" fillId="0" borderId="0" xfId="638" applyNumberFormat="1" applyFont="1" applyAlignment="1">
      <alignment horizontal="right"/>
    </xf>
    <xf numFmtId="0" fontId="14" fillId="0" borderId="0" xfId="638" applyFont="1" applyAlignment="1">
      <alignment vertical="center"/>
    </xf>
    <xf numFmtId="0" fontId="14" fillId="0" borderId="1" xfId="638" applyFont="1" applyBorder="1" applyAlignment="1">
      <alignment vertical="center"/>
    </xf>
    <xf numFmtId="0" fontId="14" fillId="0" borderId="1" xfId="638" applyFont="1" applyBorder="1" applyAlignment="1">
      <alignment horizontal="center" vertical="center"/>
    </xf>
    <xf numFmtId="165" fontId="14" fillId="0" borderId="1" xfId="544" applyFont="1" applyBorder="1" applyAlignment="1">
      <alignment horizontal="center" vertical="center"/>
    </xf>
    <xf numFmtId="165" fontId="14" fillId="0" borderId="1" xfId="544" applyFont="1" applyFill="1" applyBorder="1" applyAlignment="1">
      <alignment horizontal="center" vertical="center"/>
    </xf>
    <xf numFmtId="0" fontId="14" fillId="0" borderId="1" xfId="516" applyFont="1" applyBorder="1" applyAlignment="1">
      <alignment horizontal="center" vertical="top" wrapText="1"/>
    </xf>
    <xf numFmtId="165" fontId="14" fillId="0" borderId="0" xfId="638" applyNumberFormat="1" applyFont="1" applyAlignment="1">
      <alignment vertical="center"/>
    </xf>
    <xf numFmtId="43" fontId="14" fillId="0" borderId="0" xfId="638" applyNumberFormat="1" applyFont="1" applyAlignment="1">
      <alignment vertical="center"/>
    </xf>
    <xf numFmtId="0" fontId="14" fillId="0" borderId="1" xfId="638" applyFont="1" applyFill="1" applyBorder="1" applyAlignment="1">
      <alignment horizontal="left" vertical="center" wrapText="1"/>
    </xf>
    <xf numFmtId="165" fontId="14" fillId="0" borderId="1" xfId="544" applyFont="1" applyFill="1" applyBorder="1" applyAlignment="1">
      <alignment horizontal="center" vertical="center" wrapText="1"/>
    </xf>
    <xf numFmtId="0" fontId="14" fillId="8" borderId="1" xfId="638" applyFont="1" applyFill="1" applyBorder="1" applyAlignment="1">
      <alignment horizontal="center" vertical="center" wrapText="1"/>
    </xf>
    <xf numFmtId="0" fontId="14" fillId="0" borderId="1" xfId="638" applyFont="1" applyFill="1" applyBorder="1" applyAlignment="1">
      <alignment horizontal="center" vertical="center" wrapText="1"/>
    </xf>
    <xf numFmtId="0" fontId="14" fillId="0" borderId="1" xfId="639" applyFont="1" applyFill="1" applyBorder="1" applyAlignment="1">
      <alignment horizontal="left" vertical="center" wrapText="1"/>
    </xf>
    <xf numFmtId="0" fontId="14" fillId="0" borderId="1" xfId="640" applyFont="1" applyFill="1" applyBorder="1" applyAlignment="1">
      <alignment horizontal="left" vertical="center" wrapText="1"/>
    </xf>
    <xf numFmtId="0" fontId="14" fillId="8" borderId="4" xfId="638" applyFont="1" applyFill="1" applyBorder="1" applyAlignment="1">
      <alignment vertical="center" wrapText="1"/>
    </xf>
    <xf numFmtId="0" fontId="14" fillId="0" borderId="6" xfId="638" applyFont="1" applyFill="1" applyBorder="1" applyAlignment="1">
      <alignment horizontal="center" vertical="center" wrapText="1"/>
    </xf>
    <xf numFmtId="0" fontId="14" fillId="0" borderId="7" xfId="638" applyFont="1" applyFill="1" applyBorder="1" applyAlignment="1">
      <alignment horizontal="center" vertical="center" wrapText="1"/>
    </xf>
    <xf numFmtId="0" fontId="14" fillId="0" borderId="1" xfId="641" applyFont="1" applyFill="1" applyBorder="1" applyAlignment="1">
      <alignment horizontal="left" vertical="center" wrapText="1"/>
    </xf>
    <xf numFmtId="0" fontId="14" fillId="0" borderId="4" xfId="638" applyFont="1" applyFill="1" applyBorder="1" applyAlignment="1">
      <alignment horizontal="center" vertical="center" wrapText="1"/>
    </xf>
    <xf numFmtId="0" fontId="14" fillId="0" borderId="1" xfId="642" applyFont="1" applyFill="1" applyBorder="1" applyAlignment="1">
      <alignment horizontal="left" vertical="center" wrapText="1"/>
    </xf>
    <xf numFmtId="0" fontId="14" fillId="0" borderId="1" xfId="639" applyFont="1" applyFill="1" applyBorder="1" applyAlignment="1">
      <alignment horizontal="left" vertical="top" wrapText="1"/>
    </xf>
    <xf numFmtId="0" fontId="14" fillId="0" borderId="1" xfId="643" applyFont="1" applyFill="1" applyBorder="1" applyAlignment="1">
      <alignment horizontal="left" vertical="center" wrapText="1"/>
    </xf>
    <xf numFmtId="0" fontId="14" fillId="0" borderId="1" xfId="644" applyFont="1" applyFill="1" applyBorder="1" applyAlignment="1">
      <alignment horizontal="left" vertical="center" wrapText="1"/>
    </xf>
    <xf numFmtId="0" fontId="14" fillId="0" borderId="6" xfId="638" applyFont="1" applyBorder="1" applyAlignment="1">
      <alignment horizontal="center" vertical="center" wrapText="1"/>
    </xf>
    <xf numFmtId="0" fontId="14" fillId="0" borderId="1" xfId="638" applyFont="1" applyBorder="1" applyAlignment="1">
      <alignment horizontal="center"/>
    </xf>
    <xf numFmtId="0" fontId="14" fillId="0" borderId="1" xfId="638" applyFont="1" applyFill="1" applyBorder="1" applyAlignment="1">
      <alignment horizontal="center"/>
    </xf>
    <xf numFmtId="0" fontId="14" fillId="0" borderId="1" xfId="638" applyFont="1" applyBorder="1" applyAlignment="1">
      <alignment horizontal="center" vertical="center" wrapText="1"/>
    </xf>
    <xf numFmtId="0" fontId="14" fillId="0" borderId="1" xfId="638" applyFont="1" applyFill="1" applyBorder="1" applyAlignment="1">
      <alignment horizontal="center" vertical="center"/>
    </xf>
    <xf numFmtId="0" fontId="14" fillId="0" borderId="4" xfId="638" applyFont="1" applyBorder="1" applyAlignment="1">
      <alignment horizontal="center" vertical="center" wrapText="1"/>
    </xf>
    <xf numFmtId="0" fontId="14" fillId="0" borderId="2" xfId="638" applyFont="1" applyBorder="1" applyAlignment="1">
      <alignment horizontal="center" vertical="center" wrapText="1"/>
    </xf>
    <xf numFmtId="0" fontId="14" fillId="0" borderId="3" xfId="638" applyFont="1" applyBorder="1" applyAlignment="1">
      <alignment horizontal="center" vertical="center" wrapText="1"/>
    </xf>
    <xf numFmtId="0" fontId="16" fillId="0" borderId="0" xfId="638" applyFont="1" applyAlignment="1">
      <alignment horizontal="center" wrapText="1"/>
    </xf>
    <xf numFmtId="0" fontId="14" fillId="0" borderId="0" xfId="541" applyFont="1" applyFill="1" applyBorder="1" applyAlignment="1"/>
    <xf numFmtId="167" fontId="14" fillId="0" borderId="0" xfId="541" applyNumberFormat="1" applyFont="1" applyFill="1" applyBorder="1"/>
    <xf numFmtId="0" fontId="14" fillId="0" borderId="0" xfId="541" applyFont="1" applyFill="1" applyBorder="1" applyAlignment="1">
      <alignment horizontal="right" wrapText="1"/>
    </xf>
    <xf numFmtId="0" fontId="14" fillId="0" borderId="0" xfId="541" applyFont="1" applyFill="1" applyBorder="1" applyAlignment="1">
      <alignment horizontal="center" vertical="center"/>
    </xf>
    <xf numFmtId="0" fontId="21" fillId="0" borderId="0" xfId="541" applyFont="1" applyFill="1" applyBorder="1"/>
    <xf numFmtId="167" fontId="21" fillId="0" borderId="0" xfId="541" applyNumberFormat="1" applyFont="1" applyFill="1" applyBorder="1"/>
    <xf numFmtId="0" fontId="14" fillId="0" borderId="0" xfId="541" applyFont="1" applyFill="1" applyBorder="1" applyAlignment="1">
      <alignment horizontal="right" wrapText="1"/>
    </xf>
    <xf numFmtId="0" fontId="16" fillId="0" borderId="64" xfId="638" applyFont="1" applyBorder="1" applyAlignment="1">
      <alignment horizontal="center" vertical="center" wrapText="1"/>
    </xf>
  </cellXfs>
  <cellStyles count="646">
    <cellStyle name="br" xfId="149"/>
    <cellStyle name="br 2" xfId="150"/>
    <cellStyle name="col" xfId="151"/>
    <cellStyle name="col 2" xfId="152"/>
    <cellStyle name="Excel Built-in Normal" xfId="11"/>
    <cellStyle name="S0" xfId="558"/>
    <cellStyle name="S1" xfId="559"/>
    <cellStyle name="S10" xfId="560"/>
    <cellStyle name="S11" xfId="561"/>
    <cellStyle name="S12" xfId="562"/>
    <cellStyle name="S13" xfId="563"/>
    <cellStyle name="S14" xfId="564"/>
    <cellStyle name="S15" xfId="565"/>
    <cellStyle name="S16" xfId="566"/>
    <cellStyle name="S17" xfId="567"/>
    <cellStyle name="S18" xfId="568"/>
    <cellStyle name="S19" xfId="569"/>
    <cellStyle name="S2" xfId="570"/>
    <cellStyle name="S20" xfId="571"/>
    <cellStyle name="S21" xfId="572"/>
    <cellStyle name="S22" xfId="573"/>
    <cellStyle name="S23" xfId="574"/>
    <cellStyle name="S24" xfId="575"/>
    <cellStyle name="S25" xfId="576"/>
    <cellStyle name="S26" xfId="577"/>
    <cellStyle name="S3" xfId="578"/>
    <cellStyle name="S4" xfId="579"/>
    <cellStyle name="S5" xfId="580"/>
    <cellStyle name="S6" xfId="581"/>
    <cellStyle name="S7" xfId="582"/>
    <cellStyle name="S8" xfId="583"/>
    <cellStyle name="S9" xfId="584"/>
    <cellStyle name="style0" xfId="153"/>
    <cellStyle name="style0 2" xfId="154"/>
    <cellStyle name="td" xfId="155"/>
    <cellStyle name="td 2" xfId="156"/>
    <cellStyle name="tr" xfId="157"/>
    <cellStyle name="tr 2" xfId="158"/>
    <cellStyle name="xl100" xfId="159"/>
    <cellStyle name="xl100 2" xfId="160"/>
    <cellStyle name="xl101" xfId="161"/>
    <cellStyle name="xl101 2" xfId="162"/>
    <cellStyle name="xl102" xfId="163"/>
    <cellStyle name="xl102 2" xfId="164"/>
    <cellStyle name="xl103" xfId="165"/>
    <cellStyle name="xl103 2" xfId="166"/>
    <cellStyle name="xl104" xfId="167"/>
    <cellStyle name="xl104 2" xfId="168"/>
    <cellStyle name="xl105" xfId="169"/>
    <cellStyle name="xl105 2" xfId="170"/>
    <cellStyle name="xl106" xfId="171"/>
    <cellStyle name="xl106 2" xfId="172"/>
    <cellStyle name="xl107" xfId="173"/>
    <cellStyle name="xl107 2" xfId="174"/>
    <cellStyle name="xl108" xfId="175"/>
    <cellStyle name="xl108 2" xfId="176"/>
    <cellStyle name="xl109" xfId="177"/>
    <cellStyle name="xl109 2" xfId="178"/>
    <cellStyle name="xl110" xfId="179"/>
    <cellStyle name="xl110 2" xfId="180"/>
    <cellStyle name="xl111" xfId="181"/>
    <cellStyle name="xl111 2" xfId="182"/>
    <cellStyle name="xl112" xfId="183"/>
    <cellStyle name="xl112 2" xfId="184"/>
    <cellStyle name="xl113" xfId="185"/>
    <cellStyle name="xl113 2" xfId="186"/>
    <cellStyle name="xl114" xfId="187"/>
    <cellStyle name="xl114 2" xfId="188"/>
    <cellStyle name="xl115" xfId="189"/>
    <cellStyle name="xl115 2" xfId="190"/>
    <cellStyle name="xl116" xfId="191"/>
    <cellStyle name="xl116 2" xfId="192"/>
    <cellStyle name="xl117" xfId="193"/>
    <cellStyle name="xl117 2" xfId="194"/>
    <cellStyle name="xl118" xfId="195"/>
    <cellStyle name="xl118 2" xfId="196"/>
    <cellStyle name="xl119" xfId="197"/>
    <cellStyle name="xl119 2" xfId="198"/>
    <cellStyle name="xl120" xfId="199"/>
    <cellStyle name="xl120 2" xfId="200"/>
    <cellStyle name="xl121" xfId="201"/>
    <cellStyle name="xl121 2" xfId="202"/>
    <cellStyle name="xl122" xfId="203"/>
    <cellStyle name="xl122 2" xfId="204"/>
    <cellStyle name="xl123" xfId="205"/>
    <cellStyle name="xl123 2" xfId="206"/>
    <cellStyle name="xl124" xfId="207"/>
    <cellStyle name="xl124 2" xfId="208"/>
    <cellStyle name="xl125" xfId="209"/>
    <cellStyle name="xl125 2" xfId="210"/>
    <cellStyle name="xl126" xfId="211"/>
    <cellStyle name="xl126 2" xfId="212"/>
    <cellStyle name="xl127" xfId="213"/>
    <cellStyle name="xl127 2" xfId="214"/>
    <cellStyle name="xl128" xfId="215"/>
    <cellStyle name="xl128 2" xfId="216"/>
    <cellStyle name="xl129" xfId="217"/>
    <cellStyle name="xl129 2" xfId="218"/>
    <cellStyle name="xl130" xfId="219"/>
    <cellStyle name="xl130 2" xfId="220"/>
    <cellStyle name="xl131" xfId="221"/>
    <cellStyle name="xl131 2" xfId="222"/>
    <cellStyle name="xl132" xfId="223"/>
    <cellStyle name="xl132 2" xfId="224"/>
    <cellStyle name="xl133" xfId="225"/>
    <cellStyle name="xl133 2" xfId="226"/>
    <cellStyle name="xl134" xfId="227"/>
    <cellStyle name="xl134 2" xfId="228"/>
    <cellStyle name="xl135" xfId="229"/>
    <cellStyle name="xl135 2" xfId="230"/>
    <cellStyle name="xl136" xfId="231"/>
    <cellStyle name="xl136 2" xfId="232"/>
    <cellStyle name="xl137" xfId="233"/>
    <cellStyle name="xl137 2" xfId="234"/>
    <cellStyle name="xl138" xfId="235"/>
    <cellStyle name="xl138 2" xfId="236"/>
    <cellStyle name="xl139" xfId="237"/>
    <cellStyle name="xl139 2" xfId="238"/>
    <cellStyle name="xl140" xfId="239"/>
    <cellStyle name="xl140 2" xfId="240"/>
    <cellStyle name="xl141" xfId="241"/>
    <cellStyle name="xl141 2" xfId="242"/>
    <cellStyle name="xl142" xfId="243"/>
    <cellStyle name="xl142 2" xfId="244"/>
    <cellStyle name="xl143" xfId="245"/>
    <cellStyle name="xl143 2" xfId="246"/>
    <cellStyle name="xl144" xfId="247"/>
    <cellStyle name="xl144 2" xfId="248"/>
    <cellStyle name="xl145" xfId="249"/>
    <cellStyle name="xl145 2" xfId="250"/>
    <cellStyle name="xl146" xfId="251"/>
    <cellStyle name="xl146 2" xfId="252"/>
    <cellStyle name="xl147" xfId="253"/>
    <cellStyle name="xl147 2" xfId="254"/>
    <cellStyle name="xl148" xfId="255"/>
    <cellStyle name="xl148 2" xfId="256"/>
    <cellStyle name="xl149" xfId="257"/>
    <cellStyle name="xl149 2" xfId="258"/>
    <cellStyle name="xl150" xfId="259"/>
    <cellStyle name="xl150 2" xfId="260"/>
    <cellStyle name="xl151" xfId="261"/>
    <cellStyle name="xl151 2" xfId="262"/>
    <cellStyle name="xl152" xfId="263"/>
    <cellStyle name="xl152 2" xfId="264"/>
    <cellStyle name="xl153" xfId="265"/>
    <cellStyle name="xl153 2" xfId="266"/>
    <cellStyle name="xl154" xfId="267"/>
    <cellStyle name="xl154 2" xfId="268"/>
    <cellStyle name="xl155" xfId="269"/>
    <cellStyle name="xl155 2" xfId="270"/>
    <cellStyle name="xl156" xfId="271"/>
    <cellStyle name="xl156 2" xfId="272"/>
    <cellStyle name="xl157" xfId="273"/>
    <cellStyle name="xl157 2" xfId="274"/>
    <cellStyle name="xl158" xfId="275"/>
    <cellStyle name="xl158 2" xfId="276"/>
    <cellStyle name="xl159" xfId="277"/>
    <cellStyle name="xl159 2" xfId="278"/>
    <cellStyle name="xl160" xfId="279"/>
    <cellStyle name="xl160 2" xfId="280"/>
    <cellStyle name="xl161" xfId="281"/>
    <cellStyle name="xl161 2" xfId="282"/>
    <cellStyle name="xl162" xfId="283"/>
    <cellStyle name="xl162 2" xfId="284"/>
    <cellStyle name="xl163" xfId="285"/>
    <cellStyle name="xl163 2" xfId="286"/>
    <cellStyle name="xl164" xfId="287"/>
    <cellStyle name="xl164 2" xfId="288"/>
    <cellStyle name="xl165" xfId="289"/>
    <cellStyle name="xl165 2" xfId="290"/>
    <cellStyle name="xl166" xfId="291"/>
    <cellStyle name="xl166 2" xfId="292"/>
    <cellStyle name="xl167" xfId="293"/>
    <cellStyle name="xl167 2" xfId="294"/>
    <cellStyle name="xl168" xfId="295"/>
    <cellStyle name="xl168 2" xfId="296"/>
    <cellStyle name="xl169" xfId="297"/>
    <cellStyle name="xl169 2" xfId="298"/>
    <cellStyle name="xl170" xfId="299"/>
    <cellStyle name="xl170 2" xfId="300"/>
    <cellStyle name="xl171" xfId="301"/>
    <cellStyle name="xl171 2" xfId="302"/>
    <cellStyle name="xl172" xfId="303"/>
    <cellStyle name="xl172 2" xfId="304"/>
    <cellStyle name="xl173" xfId="305"/>
    <cellStyle name="xl173 2" xfId="306"/>
    <cellStyle name="xl174" xfId="307"/>
    <cellStyle name="xl174 2" xfId="308"/>
    <cellStyle name="xl175" xfId="309"/>
    <cellStyle name="xl175 2" xfId="310"/>
    <cellStyle name="xl176" xfId="311"/>
    <cellStyle name="xl177" xfId="312"/>
    <cellStyle name="xl178" xfId="313"/>
    <cellStyle name="xl179" xfId="314"/>
    <cellStyle name="xl180" xfId="315"/>
    <cellStyle name="xl181" xfId="316"/>
    <cellStyle name="xl182" xfId="317"/>
    <cellStyle name="xl183" xfId="318"/>
    <cellStyle name="xl184" xfId="319"/>
    <cellStyle name="xl185" xfId="320"/>
    <cellStyle name="xl186" xfId="321"/>
    <cellStyle name="xl187" xfId="322"/>
    <cellStyle name="xl188" xfId="323"/>
    <cellStyle name="xl189" xfId="324"/>
    <cellStyle name="xl190" xfId="325"/>
    <cellStyle name="xl191" xfId="326"/>
    <cellStyle name="xl192" xfId="327"/>
    <cellStyle name="xl193" xfId="328"/>
    <cellStyle name="xl194" xfId="329"/>
    <cellStyle name="xl195" xfId="330"/>
    <cellStyle name="xl196" xfId="331"/>
    <cellStyle name="xl197" xfId="332"/>
    <cellStyle name="xl198" xfId="333"/>
    <cellStyle name="xl199" xfId="334"/>
    <cellStyle name="xl200" xfId="335"/>
    <cellStyle name="xl201" xfId="336"/>
    <cellStyle name="xl202" xfId="337"/>
    <cellStyle name="xl203" xfId="338"/>
    <cellStyle name="xl204" xfId="339"/>
    <cellStyle name="xl21" xfId="340"/>
    <cellStyle name="xl21 2" xfId="341"/>
    <cellStyle name="xl22" xfId="342"/>
    <cellStyle name="xl22 2" xfId="343"/>
    <cellStyle name="xl23" xfId="344"/>
    <cellStyle name="xl23 2" xfId="345"/>
    <cellStyle name="xl24" xfId="346"/>
    <cellStyle name="xl24 2" xfId="347"/>
    <cellStyle name="xl25" xfId="348"/>
    <cellStyle name="xl25 2" xfId="349"/>
    <cellStyle name="xl26" xfId="350"/>
    <cellStyle name="xl26 2" xfId="351"/>
    <cellStyle name="xl27" xfId="352"/>
    <cellStyle name="xl27 2" xfId="353"/>
    <cellStyle name="xl28" xfId="354"/>
    <cellStyle name="xl28 2" xfId="355"/>
    <cellStyle name="xl28 2 2" xfId="585"/>
    <cellStyle name="xl29" xfId="356"/>
    <cellStyle name="xl29 2" xfId="357"/>
    <cellStyle name="xl30" xfId="358"/>
    <cellStyle name="xl30 2" xfId="359"/>
    <cellStyle name="xl31" xfId="360"/>
    <cellStyle name="xl31 2" xfId="361"/>
    <cellStyle name="xl32" xfId="362"/>
    <cellStyle name="xl32 2" xfId="363"/>
    <cellStyle name="xl33" xfId="364"/>
    <cellStyle name="xl33 2" xfId="365"/>
    <cellStyle name="xl34" xfId="366"/>
    <cellStyle name="xl34 2" xfId="367"/>
    <cellStyle name="xl35" xfId="368"/>
    <cellStyle name="xl35 2" xfId="369"/>
    <cellStyle name="xl36" xfId="370"/>
    <cellStyle name="xl36 2" xfId="371"/>
    <cellStyle name="xl37" xfId="372"/>
    <cellStyle name="xl37 2" xfId="373"/>
    <cellStyle name="xl38" xfId="374"/>
    <cellStyle name="xl38 2" xfId="375"/>
    <cellStyle name="xl39" xfId="376"/>
    <cellStyle name="xl39 2" xfId="377"/>
    <cellStyle name="xl40" xfId="378"/>
    <cellStyle name="xl40 2" xfId="379"/>
    <cellStyle name="xl41" xfId="380"/>
    <cellStyle name="xl41 2" xfId="381"/>
    <cellStyle name="xl42" xfId="382"/>
    <cellStyle name="xl42 2" xfId="383"/>
    <cellStyle name="xl43" xfId="384"/>
    <cellStyle name="xl43 2" xfId="385"/>
    <cellStyle name="xl44" xfId="386"/>
    <cellStyle name="xl44 2" xfId="387"/>
    <cellStyle name="xl45" xfId="388"/>
    <cellStyle name="xl45 2" xfId="389"/>
    <cellStyle name="xl46" xfId="390"/>
    <cellStyle name="xl46 2" xfId="391"/>
    <cellStyle name="xl47" xfId="392"/>
    <cellStyle name="xl47 2" xfId="393"/>
    <cellStyle name="xl48" xfId="394"/>
    <cellStyle name="xl48 2" xfId="395"/>
    <cellStyle name="xl49" xfId="396"/>
    <cellStyle name="xl49 2" xfId="397"/>
    <cellStyle name="xl50" xfId="398"/>
    <cellStyle name="xl50 2" xfId="399"/>
    <cellStyle name="xl51" xfId="400"/>
    <cellStyle name="xl51 2" xfId="401"/>
    <cellStyle name="xl52" xfId="402"/>
    <cellStyle name="xl52 2" xfId="403"/>
    <cellStyle name="xl53" xfId="404"/>
    <cellStyle name="xl53 2" xfId="405"/>
    <cellStyle name="xl54" xfId="406"/>
    <cellStyle name="xl54 2" xfId="407"/>
    <cellStyle name="xl55" xfId="408"/>
    <cellStyle name="xl55 2" xfId="409"/>
    <cellStyle name="xl56" xfId="410"/>
    <cellStyle name="xl56 2" xfId="411"/>
    <cellStyle name="xl57" xfId="412"/>
    <cellStyle name="xl57 2" xfId="413"/>
    <cellStyle name="xl58" xfId="414"/>
    <cellStyle name="xl58 2" xfId="415"/>
    <cellStyle name="xl59" xfId="416"/>
    <cellStyle name="xl59 2" xfId="417"/>
    <cellStyle name="xl60" xfId="418"/>
    <cellStyle name="xl60 2" xfId="419"/>
    <cellStyle name="xl61" xfId="420"/>
    <cellStyle name="xl61 2" xfId="421"/>
    <cellStyle name="xl62" xfId="422"/>
    <cellStyle name="xl62 2" xfId="423"/>
    <cellStyle name="xl63" xfId="424"/>
    <cellStyle name="xl63 2" xfId="425"/>
    <cellStyle name="xl64" xfId="426"/>
    <cellStyle name="xl64 2" xfId="427"/>
    <cellStyle name="xl65" xfId="428"/>
    <cellStyle name="xl65 2" xfId="429"/>
    <cellStyle name="xl66" xfId="430"/>
    <cellStyle name="xl66 2" xfId="431"/>
    <cellStyle name="xl67" xfId="432"/>
    <cellStyle name="xl67 2" xfId="433"/>
    <cellStyle name="xl68" xfId="434"/>
    <cellStyle name="xl68 2" xfId="435"/>
    <cellStyle name="xl69" xfId="436"/>
    <cellStyle name="xl69 2" xfId="437"/>
    <cellStyle name="xl70" xfId="438"/>
    <cellStyle name="xl70 2" xfId="439"/>
    <cellStyle name="xl71" xfId="440"/>
    <cellStyle name="xl71 2" xfId="441"/>
    <cellStyle name="xl72" xfId="442"/>
    <cellStyle name="xl72 2" xfId="443"/>
    <cellStyle name="xl73" xfId="444"/>
    <cellStyle name="xl73 2" xfId="445"/>
    <cellStyle name="xl74" xfId="446"/>
    <cellStyle name="xl74 2" xfId="447"/>
    <cellStyle name="xl75" xfId="448"/>
    <cellStyle name="xl75 2" xfId="449"/>
    <cellStyle name="xl76" xfId="450"/>
    <cellStyle name="xl76 2" xfId="451"/>
    <cellStyle name="xl77" xfId="452"/>
    <cellStyle name="xl77 2" xfId="453"/>
    <cellStyle name="xl78" xfId="454"/>
    <cellStyle name="xl78 2" xfId="455"/>
    <cellStyle name="xl79" xfId="456"/>
    <cellStyle name="xl79 2" xfId="457"/>
    <cellStyle name="xl80" xfId="458"/>
    <cellStyle name="xl80 2" xfId="459"/>
    <cellStyle name="xl81" xfId="460"/>
    <cellStyle name="xl81 2" xfId="461"/>
    <cellStyle name="xl82" xfId="462"/>
    <cellStyle name="xl82 2" xfId="463"/>
    <cellStyle name="xl83" xfId="464"/>
    <cellStyle name="xl83 2" xfId="465"/>
    <cellStyle name="xl84" xfId="466"/>
    <cellStyle name="xl84 2" xfId="467"/>
    <cellStyle name="xl85" xfId="468"/>
    <cellStyle name="xl85 2" xfId="469"/>
    <cellStyle name="xl86" xfId="470"/>
    <cellStyle name="xl86 2" xfId="471"/>
    <cellStyle name="xl87" xfId="472"/>
    <cellStyle name="xl87 2" xfId="473"/>
    <cellStyle name="xl88" xfId="474"/>
    <cellStyle name="xl88 2" xfId="475"/>
    <cellStyle name="xl89" xfId="476"/>
    <cellStyle name="xl89 2" xfId="477"/>
    <cellStyle name="xl90" xfId="478"/>
    <cellStyle name="xl90 2" xfId="479"/>
    <cellStyle name="xl91" xfId="480"/>
    <cellStyle name="xl91 2" xfId="481"/>
    <cellStyle name="xl92" xfId="482"/>
    <cellStyle name="xl92 2" xfId="483"/>
    <cellStyle name="xl93" xfId="484"/>
    <cellStyle name="xl93 2" xfId="485"/>
    <cellStyle name="xl94" xfId="486"/>
    <cellStyle name="xl94 2" xfId="487"/>
    <cellStyle name="xl95" xfId="488"/>
    <cellStyle name="xl95 2" xfId="489"/>
    <cellStyle name="xl96" xfId="490"/>
    <cellStyle name="xl96 2" xfId="491"/>
    <cellStyle name="xl97" xfId="492"/>
    <cellStyle name="xl97 2" xfId="493"/>
    <cellStyle name="xl98" xfId="494"/>
    <cellStyle name="xl98 2" xfId="495"/>
    <cellStyle name="xl99" xfId="496"/>
    <cellStyle name="xl99 2" xfId="497"/>
    <cellStyle name="Гиперссылка 2" xfId="12"/>
    <cellStyle name="Денежный" xfId="147" builtinId="4"/>
    <cellStyle name="Денежный 2" xfId="498"/>
    <cellStyle name="Денежный 2 2" xfId="598"/>
    <cellStyle name="Денежный 3" xfId="499"/>
    <cellStyle name="Денежный 3 2" xfId="599"/>
    <cellStyle name="Обычный" xfId="0" builtinId="0"/>
    <cellStyle name="Обычный 10" xfId="3"/>
    <cellStyle name="Обычный 11" xfId="13"/>
    <cellStyle name="Обычный 12" xfId="14"/>
    <cellStyle name="Обычный 12 2" xfId="586"/>
    <cellStyle name="Обычный 12 2 2" xfId="587"/>
    <cellStyle name="Обычный 12 2 2 2" xfId="588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2 2 2 2" xfId="600"/>
    <cellStyle name="Обычный 18 2 2 2 3" xfId="601"/>
    <cellStyle name="Обычный 18 2 2 3" xfId="500"/>
    <cellStyle name="Обычный 18 2 2 3 2" xfId="602"/>
    <cellStyle name="Обычный 18 2 2 4" xfId="603"/>
    <cellStyle name="Обычный 18 2 3" xfId="142"/>
    <cellStyle name="Обычный 18 2 3 2" xfId="604"/>
    <cellStyle name="Обычный 18 2 4" xfId="145"/>
    <cellStyle name="Обычный 18 2 4 2" xfId="146"/>
    <cellStyle name="Обычный 18 2 4 2 2" xfId="605"/>
    <cellStyle name="Обычный 18 2 4 3" xfId="606"/>
    <cellStyle name="Обычный 18 2 5" xfId="501"/>
    <cellStyle name="Обычный 18 2 5 2" xfId="607"/>
    <cellStyle name="Обычный 18 2 6" xfId="502"/>
    <cellStyle name="Обычный 18 2 6 2" xfId="608"/>
    <cellStyle name="Обычный 18 2 7" xfId="503"/>
    <cellStyle name="Обычный 18 2 7 2" xfId="609"/>
    <cellStyle name="Обычный 18 2 8" xfId="610"/>
    <cellStyle name="Обычный 18 3" xfId="21"/>
    <cellStyle name="Обычный 18 3 2" xfId="143"/>
    <cellStyle name="Обычный 18 3 2 2" xfId="504"/>
    <cellStyle name="Обычный 18 3 2 2 2" xfId="611"/>
    <cellStyle name="Обычный 18 3 2 3" xfId="505"/>
    <cellStyle name="Обычный 18 3 2 3 2" xfId="506"/>
    <cellStyle name="Обычный 18 3 3" xfId="144"/>
    <cellStyle name="Обычный 18 3 3 2" xfId="507"/>
    <cellStyle name="Обычный 18 3 3 2 2" xfId="612"/>
    <cellStyle name="Обычный 18 3 3 3" xfId="508"/>
    <cellStyle name="Обычный 18 3 3 3 2" xfId="509"/>
    <cellStyle name="Обычный 18 3 4" xfId="613"/>
    <cellStyle name="Обычный 18 4" xfId="22"/>
    <cellStyle name="Обычный 18 4 2" xfId="510"/>
    <cellStyle name="Обычный 18 4 2 2" xfId="614"/>
    <cellStyle name="Обычный 18 4 3" xfId="615"/>
    <cellStyle name="Обычный 18 5" xfId="511"/>
    <cellStyle name="Обычный 18 5 2" xfId="616"/>
    <cellStyle name="Обычный 18 6" xfId="512"/>
    <cellStyle name="Обычный 18 6 2" xfId="617"/>
    <cellStyle name="Обычный 18 7" xfId="513"/>
    <cellStyle name="Обычный 18 7 2" xfId="618"/>
    <cellStyle name="Обычный 18 8" xfId="619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 2 2" xfId="639"/>
    <cellStyle name="Обычный 2 2 2 3" xfId="645"/>
    <cellStyle name="Обычный 2 2 2 4" xfId="640"/>
    <cellStyle name="Обычный 2 2 2 5" xfId="641"/>
    <cellStyle name="Обычный 2 2 3" xfId="514"/>
    <cellStyle name="Обычный 2 2 3 2" xfId="620"/>
    <cellStyle name="Обычный 2 2 3 3" xfId="643"/>
    <cellStyle name="Обычный 2 2 4" xfId="515"/>
    <cellStyle name="Обычный 2 2 4 2" xfId="621"/>
    <cellStyle name="Обычный 2 2 4 3" xfId="644"/>
    <cellStyle name="Обычный 2 2 5" xfId="622"/>
    <cellStyle name="Обычный 2 2 5 2" xfId="642"/>
    <cellStyle name="Обычный 2 2 6" xfId="638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32" xfId="516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0 2" xfId="517"/>
    <cellStyle name="Обычный 21" xfId="55"/>
    <cellStyle name="Обычный 21 2" xfId="623"/>
    <cellStyle name="Обычный 22" xfId="56"/>
    <cellStyle name="Обычный 23" xfId="57"/>
    <cellStyle name="Обычный 24" xfId="58"/>
    <cellStyle name="Обычный 24 2" xfId="624"/>
    <cellStyle name="Обычный 25" xfId="518"/>
    <cellStyle name="Обычный 26" xfId="519"/>
    <cellStyle name="Обычный 26 2" xfId="520"/>
    <cellStyle name="Обычный 26 2 2" xfId="521"/>
    <cellStyle name="Обычный 26 2 2 2" xfId="625"/>
    <cellStyle name="Обычный 26 2 3" xfId="522"/>
    <cellStyle name="Обычный 26 3" xfId="626"/>
    <cellStyle name="Обычный 27" xfId="523"/>
    <cellStyle name="Обычный 28" xfId="524"/>
    <cellStyle name="Обычный 28 2" xfId="525"/>
    <cellStyle name="Обычный 28 2 2" xfId="526"/>
    <cellStyle name="Обычный 28 2 2 2" xfId="554"/>
    <cellStyle name="Обычный 28 2 2 2 2" xfId="597"/>
    <cellStyle name="Обычный 28 2 3" xfId="594"/>
    <cellStyle name="Обычный 28 3" xfId="627"/>
    <cellStyle name="Обычный 29" xfId="527"/>
    <cellStyle name="Обычный 29 2" xfId="589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 3" xfId="528"/>
    <cellStyle name="Обычный 3 2 4" xfId="628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34 2" xfId="557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30" xfId="529"/>
    <cellStyle name="Обычный 30 2" xfId="629"/>
    <cellStyle name="Обычный 31" xfId="530"/>
    <cellStyle name="Обычный 32" xfId="531"/>
    <cellStyle name="Обычный 32 2" xfId="630"/>
    <cellStyle name="Обычный 33" xfId="532"/>
    <cellStyle name="Обычный 33 2" xfId="556"/>
    <cellStyle name="Обычный 33 3" xfId="595"/>
    <cellStyle name="Обычный 34" xfId="533"/>
    <cellStyle name="Обычный 35" xfId="590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31 2" xfId="534"/>
    <cellStyle name="Обычный 4 31 2 2" xfId="631"/>
    <cellStyle name="Обычный 4 31 3" xfId="632"/>
    <cellStyle name="Обычный 4 32" xfId="535"/>
    <cellStyle name="Обычный 4 32 2" xfId="591"/>
    <cellStyle name="Обычный 4 32 2 2" xfId="592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6 2" xfId="536"/>
    <cellStyle name="Обычный 6 3" xfId="633"/>
    <cellStyle name="Обычный 7" xfId="127"/>
    <cellStyle name="Обычный 7 2" xfId="537"/>
    <cellStyle name="Обычный 7 3" xfId="538"/>
    <cellStyle name="Обычный 8" xfId="128"/>
    <cellStyle name="Обычный 8 2" xfId="539"/>
    <cellStyle name="Обычный 9" xfId="129"/>
    <cellStyle name="Обычный_ПР 13 фин.помощь1" xfId="540"/>
    <cellStyle name="Обычный_Прил 22,23,24" xfId="541"/>
    <cellStyle name="Обычный_Прил 5,6,8,18" xfId="542"/>
    <cellStyle name="Обычный_прил 7,9-2009-2010 нов классиф." xfId="7"/>
    <cellStyle name="Обычный_прилож 8,10 -2008г." xfId="5"/>
    <cellStyle name="Обычный_Прилож.№9 кап.стр." xfId="543"/>
    <cellStyle name="Процентный 2" xfId="130"/>
    <cellStyle name="Тысячи [0]_перечис.11" xfId="131"/>
    <cellStyle name="Тысячи_перечис.11" xfId="132"/>
    <cellStyle name="Финансовый" xfId="148" builtinId="3"/>
    <cellStyle name="Финансовый 10" xfId="544"/>
    <cellStyle name="Финансовый 11" xfId="545"/>
    <cellStyle name="Финансовый 11 2" xfId="634"/>
    <cellStyle name="Финансовый 12" xfId="546"/>
    <cellStyle name="Финансовый 12 2" xfId="635"/>
    <cellStyle name="Финансовый 13" xfId="133"/>
    <cellStyle name="Финансовый 14" xfId="547"/>
    <cellStyle name="Финансовый 14 2" xfId="636"/>
    <cellStyle name="Финансовый 2" xfId="134"/>
    <cellStyle name="Финансовый 2 2" xfId="593"/>
    <cellStyle name="Финансовый 3" xfId="135"/>
    <cellStyle name="Финансовый 3 2" xfId="10"/>
    <cellStyle name="Финансовый 3 3" xfId="136"/>
    <cellStyle name="Финансовый 3 4" xfId="548"/>
    <cellStyle name="Финансовый 4" xfId="137"/>
    <cellStyle name="Финансовый 5" xfId="138"/>
    <cellStyle name="Финансовый 6" xfId="549"/>
    <cellStyle name="Финансовый 7" xfId="550"/>
    <cellStyle name="Финансовый 8" xfId="551"/>
    <cellStyle name="Финансовый 8 2" xfId="552"/>
    <cellStyle name="Финансовый 8 2 2" xfId="553"/>
    <cellStyle name="Финансовый 8 2 2 2" xfId="555"/>
    <cellStyle name="Финансовый 8 2 3" xfId="596"/>
    <cellStyle name="Финансовый 8 3" xfId="637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RABOTA%202019/&#1060;&#1054;&#1058;%202019&#1075;/&#1050;%20&#1080;&#1079;&#1084;&#1077;&#1085;%20&#1089;&#1090;&#1088;&#1091;&#1082;&#1090;&#1091;&#1088;&#1099;/&#1053;&#1057;&#1054;&#1058;%20&#1089;%2001.01.2019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nAdmin/Documents/NetSpeakerphone/Received%20Files/&#1059;&#1060;_&#1054;&#1081;&#1085;&#1086;&#1090;&#1082;&#1080;&#1085;&#1086;&#1074;&#1072;%20&#1040;_&#1042;_/&#1056;&#1077;&#1079;&#1077;&#1088;&#1074;&#1085;&#1099;&#1081;%20&#1092;&#1086;&#1085;&#1076;%2020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20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T67"/>
  <sheetViews>
    <sheetView tabSelected="1" view="pageBreakPreview" topLeftCell="A19" zoomScaleNormal="100" zoomScaleSheetLayoutView="100" workbookViewId="0">
      <selection activeCell="H27" sqref="H27"/>
    </sheetView>
  </sheetViews>
  <sheetFormatPr defaultRowHeight="12.75" x14ac:dyDescent="0.2"/>
  <cols>
    <col min="1" max="1" width="5.28515625" style="393" customWidth="1"/>
    <col min="2" max="2" width="25.28515625" style="393" customWidth="1"/>
    <col min="3" max="3" width="35" style="393" customWidth="1"/>
    <col min="4" max="4" width="13.28515625" style="394" customWidth="1"/>
    <col min="5" max="5" width="36.28515625" style="393" customWidth="1"/>
    <col min="6" max="6" width="18.5703125" style="393" customWidth="1"/>
    <col min="7" max="7" width="13.7109375" style="393" customWidth="1"/>
    <col min="8" max="8" width="13.5703125" style="393" customWidth="1"/>
    <col min="9" max="10" width="11.28515625" style="393" bestFit="1" customWidth="1"/>
    <col min="11" max="16384" width="9.140625" style="393"/>
  </cols>
  <sheetData>
    <row r="1" spans="1:254" ht="15" x14ac:dyDescent="0.25">
      <c r="A1" s="163"/>
      <c r="B1" s="430"/>
      <c r="C1" s="163"/>
      <c r="D1" s="163"/>
      <c r="E1" s="163"/>
      <c r="F1" s="431" t="s">
        <v>525</v>
      </c>
      <c r="G1" s="372"/>
      <c r="H1" s="372"/>
      <c r="I1" s="429"/>
      <c r="J1" s="396"/>
      <c r="K1" s="396"/>
      <c r="L1" s="396"/>
      <c r="M1" s="396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</row>
    <row r="2" spans="1:254" x14ac:dyDescent="0.2">
      <c r="A2" s="428" t="s">
        <v>861</v>
      </c>
      <c r="B2" s="428"/>
      <c r="C2" s="428"/>
      <c r="D2" s="428"/>
      <c r="E2" s="428"/>
      <c r="F2" s="428"/>
      <c r="G2" s="428"/>
    </row>
    <row r="3" spans="1:254" x14ac:dyDescent="0.2">
      <c r="A3" s="436" t="s">
        <v>860</v>
      </c>
      <c r="B3" s="436"/>
      <c r="C3" s="436"/>
      <c r="D3" s="436"/>
      <c r="E3" s="436"/>
      <c r="F3" s="436"/>
      <c r="G3" s="436"/>
      <c r="H3" s="395" t="s">
        <v>852</v>
      </c>
    </row>
    <row r="4" spans="1:254" ht="15" customHeight="1" x14ac:dyDescent="0.2">
      <c r="A4" s="425" t="s">
        <v>595</v>
      </c>
      <c r="B4" s="425" t="s">
        <v>851</v>
      </c>
      <c r="C4" s="427" t="s">
        <v>850</v>
      </c>
      <c r="D4" s="426"/>
      <c r="E4" s="427" t="s">
        <v>849</v>
      </c>
      <c r="F4" s="426"/>
      <c r="G4" s="425" t="s">
        <v>848</v>
      </c>
      <c r="H4" s="425" t="s">
        <v>847</v>
      </c>
    </row>
    <row r="5" spans="1:254" ht="61.5" customHeight="1" x14ac:dyDescent="0.2">
      <c r="A5" s="420"/>
      <c r="B5" s="420"/>
      <c r="C5" s="399" t="s">
        <v>846</v>
      </c>
      <c r="D5" s="424" t="s">
        <v>681</v>
      </c>
      <c r="E5" s="423" t="s">
        <v>845</v>
      </c>
      <c r="F5" s="423" t="s">
        <v>844</v>
      </c>
      <c r="G5" s="420"/>
      <c r="H5" s="420"/>
    </row>
    <row r="6" spans="1:254" x14ac:dyDescent="0.2">
      <c r="A6" s="421">
        <v>1</v>
      </c>
      <c r="B6" s="421">
        <v>2</v>
      </c>
      <c r="C6" s="421">
        <v>3</v>
      </c>
      <c r="D6" s="422">
        <v>4</v>
      </c>
      <c r="E6" s="421">
        <v>5</v>
      </c>
      <c r="F6" s="421">
        <v>6</v>
      </c>
      <c r="G6" s="421">
        <v>7</v>
      </c>
      <c r="H6" s="421">
        <v>8</v>
      </c>
    </row>
    <row r="7" spans="1:254" s="397" customFormat="1" ht="38.25" x14ac:dyDescent="0.25">
      <c r="A7" s="408">
        <v>1</v>
      </c>
      <c r="B7" s="408" t="s">
        <v>843</v>
      </c>
      <c r="C7" s="407" t="s">
        <v>842</v>
      </c>
      <c r="D7" s="406">
        <v>20000</v>
      </c>
      <c r="E7" s="405" t="s">
        <v>841</v>
      </c>
      <c r="F7" s="400">
        <v>20000</v>
      </c>
      <c r="G7" s="400">
        <f>D7-F7</f>
        <v>0</v>
      </c>
      <c r="H7" s="399" t="s">
        <v>817</v>
      </c>
      <c r="J7" s="403"/>
    </row>
    <row r="8" spans="1:254" s="397" customFormat="1" ht="38.25" x14ac:dyDescent="0.25">
      <c r="A8" s="408">
        <v>2</v>
      </c>
      <c r="B8" s="408" t="s">
        <v>840</v>
      </c>
      <c r="C8" s="407" t="s">
        <v>839</v>
      </c>
      <c r="D8" s="406">
        <v>15000</v>
      </c>
      <c r="E8" s="405" t="s">
        <v>838</v>
      </c>
      <c r="F8" s="400">
        <v>15000</v>
      </c>
      <c r="G8" s="400">
        <f>D8-F8</f>
        <v>0</v>
      </c>
      <c r="H8" s="399" t="s">
        <v>817</v>
      </c>
      <c r="J8" s="403"/>
    </row>
    <row r="9" spans="1:254" s="397" customFormat="1" ht="51" x14ac:dyDescent="0.25">
      <c r="A9" s="408">
        <v>3</v>
      </c>
      <c r="B9" s="408" t="s">
        <v>837</v>
      </c>
      <c r="C9" s="407" t="s">
        <v>836</v>
      </c>
      <c r="D9" s="406">
        <v>30000</v>
      </c>
      <c r="E9" s="405" t="s">
        <v>835</v>
      </c>
      <c r="F9" s="400">
        <v>30000</v>
      </c>
      <c r="G9" s="400">
        <f>D9-F9</f>
        <v>0</v>
      </c>
      <c r="H9" s="399" t="s">
        <v>817</v>
      </c>
      <c r="I9" s="404"/>
      <c r="J9" s="403"/>
    </row>
    <row r="10" spans="1:254" s="397" customFormat="1" ht="76.5" x14ac:dyDescent="0.25">
      <c r="A10" s="408">
        <v>4</v>
      </c>
      <c r="B10" s="408" t="s">
        <v>834</v>
      </c>
      <c r="C10" s="407" t="s">
        <v>833</v>
      </c>
      <c r="D10" s="406">
        <v>200000</v>
      </c>
      <c r="E10" s="405" t="s">
        <v>859</v>
      </c>
      <c r="F10" s="400">
        <v>200000</v>
      </c>
      <c r="G10" s="400">
        <f>D10-F10</f>
        <v>0</v>
      </c>
      <c r="H10" s="399" t="s">
        <v>817</v>
      </c>
      <c r="I10" s="404"/>
      <c r="J10" s="403"/>
    </row>
    <row r="11" spans="1:254" s="397" customFormat="1" ht="63.75" x14ac:dyDescent="0.25">
      <c r="A11" s="408">
        <v>5</v>
      </c>
      <c r="B11" s="408" t="s">
        <v>832</v>
      </c>
      <c r="C11" s="407" t="s">
        <v>831</v>
      </c>
      <c r="D11" s="406">
        <v>1800</v>
      </c>
      <c r="E11" s="405" t="s">
        <v>830</v>
      </c>
      <c r="F11" s="400">
        <v>1800</v>
      </c>
      <c r="G11" s="400">
        <f>D11-F11</f>
        <v>0</v>
      </c>
      <c r="H11" s="399" t="s">
        <v>817</v>
      </c>
      <c r="I11" s="404"/>
      <c r="J11" s="403"/>
    </row>
    <row r="12" spans="1:254" s="397" customFormat="1" ht="38.25" x14ac:dyDescent="0.25">
      <c r="A12" s="408">
        <v>6</v>
      </c>
      <c r="B12" s="408" t="s">
        <v>829</v>
      </c>
      <c r="C12" s="407" t="s">
        <v>828</v>
      </c>
      <c r="D12" s="406">
        <v>25000</v>
      </c>
      <c r="E12" s="405" t="s">
        <v>827</v>
      </c>
      <c r="F12" s="400">
        <v>25000</v>
      </c>
      <c r="G12" s="400">
        <f>D12-F12</f>
        <v>0</v>
      </c>
      <c r="H12" s="399" t="s">
        <v>817</v>
      </c>
      <c r="I12" s="404"/>
      <c r="J12" s="403"/>
    </row>
    <row r="13" spans="1:254" s="397" customFormat="1" ht="38.25" x14ac:dyDescent="0.25">
      <c r="A13" s="408">
        <v>7</v>
      </c>
      <c r="B13" s="408" t="s">
        <v>826</v>
      </c>
      <c r="C13" s="407" t="s">
        <v>825</v>
      </c>
      <c r="D13" s="406">
        <v>35000</v>
      </c>
      <c r="E13" s="405" t="s">
        <v>824</v>
      </c>
      <c r="F13" s="400">
        <v>35000</v>
      </c>
      <c r="G13" s="400">
        <f>D13-F13</f>
        <v>0</v>
      </c>
      <c r="H13" s="399" t="s">
        <v>817</v>
      </c>
      <c r="I13" s="404"/>
      <c r="J13" s="403"/>
    </row>
    <row r="14" spans="1:254" s="397" customFormat="1" ht="38.25" x14ac:dyDescent="0.25">
      <c r="A14" s="408">
        <v>8</v>
      </c>
      <c r="B14" s="408" t="s">
        <v>823</v>
      </c>
      <c r="C14" s="407" t="s">
        <v>822</v>
      </c>
      <c r="D14" s="406">
        <v>20000</v>
      </c>
      <c r="E14" s="405" t="s">
        <v>821</v>
      </c>
      <c r="F14" s="400">
        <v>20000</v>
      </c>
      <c r="G14" s="400">
        <f>D14-F14</f>
        <v>0</v>
      </c>
      <c r="H14" s="399" t="s">
        <v>817</v>
      </c>
      <c r="I14" s="404"/>
      <c r="J14" s="403"/>
    </row>
    <row r="15" spans="1:254" s="397" customFormat="1" ht="38.25" x14ac:dyDescent="0.25">
      <c r="A15" s="408">
        <v>9</v>
      </c>
      <c r="B15" s="408" t="s">
        <v>820</v>
      </c>
      <c r="C15" s="407" t="s">
        <v>819</v>
      </c>
      <c r="D15" s="406">
        <v>25000</v>
      </c>
      <c r="E15" s="405" t="s">
        <v>818</v>
      </c>
      <c r="F15" s="400">
        <v>25000</v>
      </c>
      <c r="G15" s="400">
        <f>D15-F15</f>
        <v>0</v>
      </c>
      <c r="H15" s="399" t="s">
        <v>817</v>
      </c>
      <c r="I15" s="404"/>
      <c r="J15" s="403"/>
    </row>
    <row r="16" spans="1:254" s="397" customFormat="1" ht="38.25" x14ac:dyDescent="0.25">
      <c r="A16" s="408">
        <v>10</v>
      </c>
      <c r="B16" s="408" t="s">
        <v>816</v>
      </c>
      <c r="C16" s="407" t="s">
        <v>815</v>
      </c>
      <c r="D16" s="406">
        <v>5000</v>
      </c>
      <c r="E16" s="405" t="s">
        <v>814</v>
      </c>
      <c r="F16" s="400">
        <v>5000</v>
      </c>
      <c r="G16" s="400">
        <f>D16-F16</f>
        <v>0</v>
      </c>
      <c r="H16" s="399"/>
      <c r="I16" s="404"/>
      <c r="J16" s="403"/>
    </row>
    <row r="17" spans="1:10" s="397" customFormat="1" ht="114.75" x14ac:dyDescent="0.25">
      <c r="A17" s="408">
        <v>11</v>
      </c>
      <c r="B17" s="408" t="s">
        <v>813</v>
      </c>
      <c r="C17" s="407" t="s">
        <v>812</v>
      </c>
      <c r="D17" s="406">
        <v>104418</v>
      </c>
      <c r="E17" s="419" t="s">
        <v>811</v>
      </c>
      <c r="F17" s="400">
        <v>104418</v>
      </c>
      <c r="G17" s="400">
        <f>D17-F17</f>
        <v>0</v>
      </c>
      <c r="H17" s="399"/>
      <c r="I17" s="404"/>
      <c r="J17" s="403"/>
    </row>
    <row r="18" spans="1:10" s="397" customFormat="1" ht="38.25" x14ac:dyDescent="0.25">
      <c r="A18" s="408">
        <v>12</v>
      </c>
      <c r="B18" s="408" t="s">
        <v>810</v>
      </c>
      <c r="C18" s="407" t="s">
        <v>809</v>
      </c>
      <c r="D18" s="406">
        <v>20000</v>
      </c>
      <c r="E18" s="405" t="s">
        <v>808</v>
      </c>
      <c r="F18" s="400">
        <v>20000</v>
      </c>
      <c r="G18" s="400">
        <f>D18-F18</f>
        <v>0</v>
      </c>
      <c r="H18" s="399"/>
      <c r="I18" s="404"/>
      <c r="J18" s="403"/>
    </row>
    <row r="19" spans="1:10" s="397" customFormat="1" ht="63.75" x14ac:dyDescent="0.25">
      <c r="A19" s="408">
        <v>13</v>
      </c>
      <c r="B19" s="408" t="s">
        <v>807</v>
      </c>
      <c r="C19" s="407" t="s">
        <v>806</v>
      </c>
      <c r="D19" s="406">
        <v>101231</v>
      </c>
      <c r="E19" s="409" t="s">
        <v>805</v>
      </c>
      <c r="F19" s="400">
        <f>101237.08-6.08</f>
        <v>101231</v>
      </c>
      <c r="G19" s="400">
        <f>D19-F19</f>
        <v>0</v>
      </c>
      <c r="H19" s="399"/>
      <c r="I19" s="404"/>
      <c r="J19" s="403"/>
    </row>
    <row r="20" spans="1:10" s="397" customFormat="1" ht="38.25" x14ac:dyDescent="0.25">
      <c r="A20" s="415">
        <v>14</v>
      </c>
      <c r="B20" s="415" t="s">
        <v>804</v>
      </c>
      <c r="C20" s="407" t="s">
        <v>803</v>
      </c>
      <c r="D20" s="406">
        <v>10000</v>
      </c>
      <c r="E20" s="418" t="s">
        <v>802</v>
      </c>
      <c r="F20" s="400">
        <v>10000</v>
      </c>
      <c r="G20" s="400">
        <f>D20-F20</f>
        <v>0</v>
      </c>
      <c r="H20" s="399"/>
      <c r="I20" s="404"/>
      <c r="J20" s="403"/>
    </row>
    <row r="21" spans="1:10" s="397" customFormat="1" ht="38.25" x14ac:dyDescent="0.25">
      <c r="A21" s="413"/>
      <c r="B21" s="413"/>
      <c r="C21" s="407" t="s">
        <v>801</v>
      </c>
      <c r="D21" s="406">
        <v>5000</v>
      </c>
      <c r="E21" s="409" t="s">
        <v>800</v>
      </c>
      <c r="F21" s="400">
        <v>5000</v>
      </c>
      <c r="G21" s="400">
        <f>D21-F21</f>
        <v>0</v>
      </c>
      <c r="H21" s="399"/>
      <c r="I21" s="404"/>
      <c r="J21" s="403"/>
    </row>
    <row r="22" spans="1:10" s="397" customFormat="1" ht="38.25" x14ac:dyDescent="0.25">
      <c r="A22" s="413"/>
      <c r="B22" s="413"/>
      <c r="C22" s="407" t="s">
        <v>799</v>
      </c>
      <c r="D22" s="406">
        <v>3000</v>
      </c>
      <c r="E22" s="409" t="s">
        <v>798</v>
      </c>
      <c r="F22" s="400">
        <v>3000</v>
      </c>
      <c r="G22" s="400">
        <f>D22-F22</f>
        <v>0</v>
      </c>
      <c r="H22" s="399"/>
      <c r="I22" s="404"/>
      <c r="J22" s="403"/>
    </row>
    <row r="23" spans="1:10" s="397" customFormat="1" ht="89.25" x14ac:dyDescent="0.25">
      <c r="A23" s="413"/>
      <c r="B23" s="413"/>
      <c r="C23" s="407" t="s">
        <v>797</v>
      </c>
      <c r="D23" s="406">
        <v>2000</v>
      </c>
      <c r="E23" s="417" t="s">
        <v>796</v>
      </c>
      <c r="F23" s="400">
        <v>2000</v>
      </c>
      <c r="G23" s="400">
        <f>D23-F23</f>
        <v>0</v>
      </c>
      <c r="H23" s="399"/>
      <c r="I23" s="404"/>
      <c r="J23" s="403"/>
    </row>
    <row r="24" spans="1:10" s="397" customFormat="1" ht="38.25" x14ac:dyDescent="0.25">
      <c r="A24" s="413"/>
      <c r="B24" s="413"/>
      <c r="C24" s="407" t="s">
        <v>795</v>
      </c>
      <c r="D24" s="406">
        <v>2000</v>
      </c>
      <c r="E24" s="405" t="s">
        <v>794</v>
      </c>
      <c r="F24" s="400">
        <v>2000</v>
      </c>
      <c r="G24" s="400">
        <f>D24-F24</f>
        <v>0</v>
      </c>
      <c r="H24" s="399"/>
      <c r="I24" s="404"/>
      <c r="J24" s="403"/>
    </row>
    <row r="25" spans="1:10" s="397" customFormat="1" ht="38.25" x14ac:dyDescent="0.25">
      <c r="A25" s="413"/>
      <c r="B25" s="413"/>
      <c r="C25" s="407" t="s">
        <v>793</v>
      </c>
      <c r="D25" s="406">
        <v>2000</v>
      </c>
      <c r="E25" s="405"/>
      <c r="F25" s="400"/>
      <c r="G25" s="400">
        <f>D25-F25</f>
        <v>2000</v>
      </c>
      <c r="H25" s="425" t="s">
        <v>864</v>
      </c>
      <c r="I25" s="404"/>
      <c r="J25" s="403"/>
    </row>
    <row r="26" spans="1:10" s="397" customFormat="1" ht="38.25" x14ac:dyDescent="0.25">
      <c r="A26" s="413"/>
      <c r="B26" s="413"/>
      <c r="C26" s="407" t="s">
        <v>792</v>
      </c>
      <c r="D26" s="406">
        <v>4000</v>
      </c>
      <c r="E26" s="405"/>
      <c r="F26" s="400"/>
      <c r="G26" s="400">
        <f>D26-F26</f>
        <v>4000</v>
      </c>
      <c r="H26" s="312"/>
      <c r="I26" s="404"/>
      <c r="J26" s="403"/>
    </row>
    <row r="27" spans="1:10" s="397" customFormat="1" ht="38.25" x14ac:dyDescent="0.25">
      <c r="A27" s="413"/>
      <c r="B27" s="413"/>
      <c r="C27" s="407" t="s">
        <v>791</v>
      </c>
      <c r="D27" s="406">
        <v>2000</v>
      </c>
      <c r="E27" s="409" t="s">
        <v>790</v>
      </c>
      <c r="F27" s="400">
        <v>2000</v>
      </c>
      <c r="G27" s="400">
        <f>D27-F27</f>
        <v>0</v>
      </c>
      <c r="H27" s="399"/>
      <c r="I27" s="404"/>
      <c r="J27" s="403"/>
    </row>
    <row r="28" spans="1:10" s="397" customFormat="1" ht="38.25" x14ac:dyDescent="0.25">
      <c r="A28" s="412"/>
      <c r="B28" s="412"/>
      <c r="C28" s="407" t="s">
        <v>789</v>
      </c>
      <c r="D28" s="406">
        <v>4000</v>
      </c>
      <c r="E28" s="416" t="s">
        <v>788</v>
      </c>
      <c r="F28" s="400">
        <v>4000</v>
      </c>
      <c r="G28" s="400">
        <f>D28-F28</f>
        <v>0</v>
      </c>
      <c r="H28" s="399"/>
      <c r="I28" s="404"/>
      <c r="J28" s="403"/>
    </row>
    <row r="29" spans="1:10" s="397" customFormat="1" ht="51" x14ac:dyDescent="0.25">
      <c r="A29" s="408">
        <v>15</v>
      </c>
      <c r="B29" s="408" t="s">
        <v>787</v>
      </c>
      <c r="C29" s="407" t="s">
        <v>786</v>
      </c>
      <c r="D29" s="406">
        <v>50000</v>
      </c>
      <c r="E29" s="410" t="s">
        <v>785</v>
      </c>
      <c r="F29" s="400">
        <v>50000</v>
      </c>
      <c r="G29" s="400">
        <f>D29-F29</f>
        <v>0</v>
      </c>
      <c r="H29" s="399"/>
      <c r="I29" s="404"/>
      <c r="J29" s="403"/>
    </row>
    <row r="30" spans="1:10" s="397" customFormat="1" ht="165.75" x14ac:dyDescent="0.25">
      <c r="A30" s="408">
        <v>16</v>
      </c>
      <c r="B30" s="408" t="s">
        <v>784</v>
      </c>
      <c r="C30" s="407" t="s">
        <v>783</v>
      </c>
      <c r="D30" s="406">
        <v>110000</v>
      </c>
      <c r="E30" s="410" t="s">
        <v>782</v>
      </c>
      <c r="F30" s="400">
        <v>110000</v>
      </c>
      <c r="G30" s="400">
        <f>D30-F30</f>
        <v>0</v>
      </c>
      <c r="H30" s="399"/>
      <c r="I30" s="404"/>
      <c r="J30" s="403"/>
    </row>
    <row r="31" spans="1:10" s="397" customFormat="1" ht="51" x14ac:dyDescent="0.25">
      <c r="A31" s="408">
        <v>17</v>
      </c>
      <c r="B31" s="408" t="s">
        <v>781</v>
      </c>
      <c r="C31" s="407" t="s">
        <v>780</v>
      </c>
      <c r="D31" s="406">
        <v>10000</v>
      </c>
      <c r="E31" s="405" t="s">
        <v>779</v>
      </c>
      <c r="F31" s="400">
        <v>10000</v>
      </c>
      <c r="G31" s="400">
        <f>D31-F31</f>
        <v>0</v>
      </c>
      <c r="H31" s="399"/>
      <c r="I31" s="404"/>
      <c r="J31" s="403"/>
    </row>
    <row r="32" spans="1:10" s="397" customFormat="1" ht="51" x14ac:dyDescent="0.25">
      <c r="A32" s="408">
        <v>18</v>
      </c>
      <c r="B32" s="408" t="s">
        <v>778</v>
      </c>
      <c r="C32" s="407" t="s">
        <v>777</v>
      </c>
      <c r="D32" s="406">
        <v>10000</v>
      </c>
      <c r="E32" s="405" t="s">
        <v>776</v>
      </c>
      <c r="F32" s="400">
        <v>10000</v>
      </c>
      <c r="G32" s="400">
        <f>D32-F32</f>
        <v>0</v>
      </c>
      <c r="H32" s="399"/>
      <c r="I32" s="404"/>
      <c r="J32" s="403"/>
    </row>
    <row r="33" spans="1:10" s="397" customFormat="1" ht="38.25" x14ac:dyDescent="0.25">
      <c r="A33" s="408">
        <v>19</v>
      </c>
      <c r="B33" s="408" t="s">
        <v>775</v>
      </c>
      <c r="C33" s="407" t="s">
        <v>774</v>
      </c>
      <c r="D33" s="406">
        <v>87998</v>
      </c>
      <c r="E33" s="405" t="s">
        <v>773</v>
      </c>
      <c r="F33" s="400">
        <v>87798</v>
      </c>
      <c r="G33" s="400">
        <f>D33-F33</f>
        <v>200</v>
      </c>
      <c r="H33" s="399"/>
      <c r="I33" s="404"/>
      <c r="J33" s="403"/>
    </row>
    <row r="34" spans="1:10" s="397" customFormat="1" ht="38.25" x14ac:dyDescent="0.25">
      <c r="A34" s="408">
        <v>20</v>
      </c>
      <c r="B34" s="408" t="s">
        <v>772</v>
      </c>
      <c r="C34" s="407" t="s">
        <v>771</v>
      </c>
      <c r="D34" s="406">
        <v>80000</v>
      </c>
      <c r="E34" s="405" t="s">
        <v>770</v>
      </c>
      <c r="F34" s="400">
        <v>80000</v>
      </c>
      <c r="G34" s="400">
        <f>D34-F34</f>
        <v>0</v>
      </c>
      <c r="H34" s="399"/>
      <c r="I34" s="404"/>
      <c r="J34" s="403"/>
    </row>
    <row r="35" spans="1:10" s="397" customFormat="1" ht="38.25" x14ac:dyDescent="0.25">
      <c r="A35" s="408">
        <v>21</v>
      </c>
      <c r="B35" s="408" t="s">
        <v>769</v>
      </c>
      <c r="C35" s="407" t="s">
        <v>768</v>
      </c>
      <c r="D35" s="406">
        <v>50000</v>
      </c>
      <c r="E35" s="405" t="s">
        <v>767</v>
      </c>
      <c r="F35" s="400">
        <v>50000</v>
      </c>
      <c r="G35" s="400">
        <f>D35-F35</f>
        <v>0</v>
      </c>
      <c r="H35" s="399"/>
      <c r="I35" s="404"/>
      <c r="J35" s="403"/>
    </row>
    <row r="36" spans="1:10" s="397" customFormat="1" ht="38.25" x14ac:dyDescent="0.25">
      <c r="A36" s="408">
        <v>22</v>
      </c>
      <c r="B36" s="408" t="s">
        <v>766</v>
      </c>
      <c r="C36" s="407" t="s">
        <v>765</v>
      </c>
      <c r="D36" s="406">
        <v>15000</v>
      </c>
      <c r="E36" s="405" t="s">
        <v>764</v>
      </c>
      <c r="F36" s="400">
        <v>15000</v>
      </c>
      <c r="G36" s="400">
        <f>D36-F36</f>
        <v>0</v>
      </c>
      <c r="H36" s="399"/>
      <c r="I36" s="404"/>
      <c r="J36" s="403"/>
    </row>
    <row r="37" spans="1:10" s="397" customFormat="1" ht="51" x14ac:dyDescent="0.25">
      <c r="A37" s="408">
        <v>23</v>
      </c>
      <c r="B37" s="408" t="s">
        <v>763</v>
      </c>
      <c r="C37" s="407" t="s">
        <v>762</v>
      </c>
      <c r="D37" s="406">
        <v>40310</v>
      </c>
      <c r="E37" s="409" t="s">
        <v>761</v>
      </c>
      <c r="F37" s="400">
        <v>40310</v>
      </c>
      <c r="G37" s="400">
        <f>D37-F37</f>
        <v>0</v>
      </c>
      <c r="H37" s="399"/>
      <c r="I37" s="404"/>
      <c r="J37" s="403"/>
    </row>
    <row r="38" spans="1:10" s="397" customFormat="1" ht="38.25" x14ac:dyDescent="0.25">
      <c r="A38" s="408">
        <v>24</v>
      </c>
      <c r="B38" s="408" t="s">
        <v>760</v>
      </c>
      <c r="C38" s="407" t="s">
        <v>759</v>
      </c>
      <c r="D38" s="406">
        <v>25000</v>
      </c>
      <c r="E38" s="405" t="s">
        <v>758</v>
      </c>
      <c r="F38" s="400">
        <v>25000</v>
      </c>
      <c r="G38" s="400">
        <f>D38-F38</f>
        <v>0</v>
      </c>
      <c r="H38" s="399"/>
      <c r="I38" s="404"/>
      <c r="J38" s="403"/>
    </row>
    <row r="39" spans="1:10" s="397" customFormat="1" ht="51" x14ac:dyDescent="0.25">
      <c r="A39" s="408">
        <v>25</v>
      </c>
      <c r="B39" s="408" t="s">
        <v>757</v>
      </c>
      <c r="C39" s="407" t="s">
        <v>756</v>
      </c>
      <c r="D39" s="406">
        <v>80621</v>
      </c>
      <c r="E39" s="409" t="s">
        <v>755</v>
      </c>
      <c r="F39" s="400">
        <v>80621</v>
      </c>
      <c r="G39" s="400">
        <f>D39-F39</f>
        <v>0</v>
      </c>
      <c r="H39" s="399"/>
      <c r="I39" s="404"/>
      <c r="J39" s="403"/>
    </row>
    <row r="40" spans="1:10" s="397" customFormat="1" ht="114.75" x14ac:dyDescent="0.25">
      <c r="A40" s="408">
        <v>26</v>
      </c>
      <c r="B40" s="408" t="s">
        <v>754</v>
      </c>
      <c r="C40" s="407" t="s">
        <v>753</v>
      </c>
      <c r="D40" s="406">
        <v>63597</v>
      </c>
      <c r="E40" s="405" t="s">
        <v>752</v>
      </c>
      <c r="F40" s="400">
        <v>63597</v>
      </c>
      <c r="G40" s="400">
        <f>D40-F40</f>
        <v>0</v>
      </c>
      <c r="H40" s="399"/>
      <c r="I40" s="404"/>
      <c r="J40" s="403"/>
    </row>
    <row r="41" spans="1:10" s="397" customFormat="1" ht="63.75" x14ac:dyDescent="0.25">
      <c r="A41" s="408">
        <v>27</v>
      </c>
      <c r="B41" s="408" t="s">
        <v>751</v>
      </c>
      <c r="C41" s="407" t="s">
        <v>750</v>
      </c>
      <c r="D41" s="406">
        <v>31670</v>
      </c>
      <c r="E41" s="409" t="s">
        <v>749</v>
      </c>
      <c r="F41" s="400">
        <v>31670</v>
      </c>
      <c r="G41" s="400">
        <f>D41-F41</f>
        <v>0</v>
      </c>
      <c r="H41" s="399"/>
      <c r="I41" s="404"/>
      <c r="J41" s="403"/>
    </row>
    <row r="42" spans="1:10" s="397" customFormat="1" ht="51" x14ac:dyDescent="0.25">
      <c r="A42" s="408">
        <v>28</v>
      </c>
      <c r="B42" s="408" t="s">
        <v>748</v>
      </c>
      <c r="C42" s="407" t="s">
        <v>747</v>
      </c>
      <c r="D42" s="406">
        <v>50000</v>
      </c>
      <c r="E42" s="410" t="s">
        <v>746</v>
      </c>
      <c r="F42" s="400">
        <v>50000</v>
      </c>
      <c r="G42" s="400">
        <f>D42-F42</f>
        <v>0</v>
      </c>
      <c r="H42" s="399"/>
      <c r="I42" s="404"/>
      <c r="J42" s="403"/>
    </row>
    <row r="43" spans="1:10" s="397" customFormat="1" ht="51" x14ac:dyDescent="0.25">
      <c r="A43" s="408">
        <v>29</v>
      </c>
      <c r="B43" s="408" t="s">
        <v>745</v>
      </c>
      <c r="C43" s="407" t="s">
        <v>744</v>
      </c>
      <c r="D43" s="406">
        <v>70000</v>
      </c>
      <c r="E43" s="409" t="s">
        <v>743</v>
      </c>
      <c r="F43" s="400">
        <v>70000</v>
      </c>
      <c r="G43" s="400">
        <f>D43-F43</f>
        <v>0</v>
      </c>
      <c r="H43" s="399"/>
      <c r="I43" s="404"/>
      <c r="J43" s="403"/>
    </row>
    <row r="44" spans="1:10" s="397" customFormat="1" ht="38.25" x14ac:dyDescent="0.25">
      <c r="A44" s="408">
        <v>30</v>
      </c>
      <c r="B44" s="408" t="s">
        <v>742</v>
      </c>
      <c r="C44" s="407" t="s">
        <v>741</v>
      </c>
      <c r="D44" s="406">
        <v>20000</v>
      </c>
      <c r="E44" s="405" t="s">
        <v>740</v>
      </c>
      <c r="F44" s="400">
        <v>20000</v>
      </c>
      <c r="G44" s="400">
        <f>D44-F44</f>
        <v>0</v>
      </c>
      <c r="H44" s="399"/>
      <c r="I44" s="404"/>
      <c r="J44" s="403"/>
    </row>
    <row r="45" spans="1:10" s="397" customFormat="1" ht="89.25" x14ac:dyDescent="0.25">
      <c r="A45" s="408">
        <v>31</v>
      </c>
      <c r="B45" s="408" t="s">
        <v>739</v>
      </c>
      <c r="C45" s="407" t="s">
        <v>738</v>
      </c>
      <c r="D45" s="406">
        <v>57000</v>
      </c>
      <c r="E45" s="405" t="s">
        <v>737</v>
      </c>
      <c r="F45" s="400">
        <v>57000</v>
      </c>
      <c r="G45" s="400">
        <f>D45-F45</f>
        <v>0</v>
      </c>
      <c r="H45" s="399"/>
      <c r="I45" s="404"/>
      <c r="J45" s="403"/>
    </row>
    <row r="46" spans="1:10" s="397" customFormat="1" ht="51" x14ac:dyDescent="0.25">
      <c r="A46" s="408">
        <v>32</v>
      </c>
      <c r="B46" s="408" t="s">
        <v>736</v>
      </c>
      <c r="C46" s="407" t="s">
        <v>735</v>
      </c>
      <c r="D46" s="406">
        <v>126000</v>
      </c>
      <c r="E46" s="405" t="s">
        <v>734</v>
      </c>
      <c r="F46" s="400">
        <v>126000</v>
      </c>
      <c r="G46" s="400">
        <f>D46-F46</f>
        <v>0</v>
      </c>
      <c r="H46" s="399"/>
      <c r="I46" s="404"/>
      <c r="J46" s="403"/>
    </row>
    <row r="47" spans="1:10" s="397" customFormat="1" ht="51" x14ac:dyDescent="0.25">
      <c r="A47" s="408">
        <v>33</v>
      </c>
      <c r="B47" s="408" t="s">
        <v>733</v>
      </c>
      <c r="C47" s="407" t="s">
        <v>732</v>
      </c>
      <c r="D47" s="406">
        <v>114000</v>
      </c>
      <c r="E47" s="405" t="s">
        <v>731</v>
      </c>
      <c r="F47" s="400">
        <v>114000</v>
      </c>
      <c r="G47" s="400">
        <f>D47-F47</f>
        <v>0</v>
      </c>
      <c r="H47" s="399"/>
      <c r="I47" s="404"/>
      <c r="J47" s="403"/>
    </row>
    <row r="48" spans="1:10" s="397" customFormat="1" ht="153" x14ac:dyDescent="0.25">
      <c r="A48" s="408">
        <v>34</v>
      </c>
      <c r="B48" s="408" t="s">
        <v>730</v>
      </c>
      <c r="C48" s="407" t="s">
        <v>729</v>
      </c>
      <c r="D48" s="406">
        <v>432765.05</v>
      </c>
      <c r="E48" s="405" t="s">
        <v>728</v>
      </c>
      <c r="F48" s="400">
        <v>432100</v>
      </c>
      <c r="G48" s="400">
        <f>D48-F48</f>
        <v>665.04999999998836</v>
      </c>
      <c r="H48" s="399"/>
      <c r="I48" s="404"/>
      <c r="J48" s="403"/>
    </row>
    <row r="49" spans="1:10" s="397" customFormat="1" ht="63.75" x14ac:dyDescent="0.25">
      <c r="A49" s="408">
        <v>35</v>
      </c>
      <c r="B49" s="415" t="s">
        <v>727</v>
      </c>
      <c r="C49" s="411" t="s">
        <v>726</v>
      </c>
      <c r="D49" s="406">
        <f>SUM(D50:D59)</f>
        <v>39849</v>
      </c>
      <c r="E49" s="409"/>
      <c r="F49" s="406">
        <f>SUM(F50:F59)</f>
        <v>39849</v>
      </c>
      <c r="G49" s="400">
        <f>D49-F49</f>
        <v>0</v>
      </c>
      <c r="H49" s="399"/>
      <c r="I49" s="404"/>
      <c r="J49" s="403"/>
    </row>
    <row r="50" spans="1:10" s="397" customFormat="1" ht="25.5" x14ac:dyDescent="0.25">
      <c r="A50" s="408"/>
      <c r="B50" s="413"/>
      <c r="C50" s="411" t="s">
        <v>725</v>
      </c>
      <c r="D50" s="406">
        <v>9840</v>
      </c>
      <c r="E50" s="409" t="s">
        <v>724</v>
      </c>
      <c r="F50" s="400">
        <v>9840</v>
      </c>
      <c r="G50" s="400"/>
      <c r="H50" s="399"/>
      <c r="I50" s="404"/>
      <c r="J50" s="403"/>
    </row>
    <row r="51" spans="1:10" s="397" customFormat="1" ht="25.5" x14ac:dyDescent="0.25">
      <c r="A51" s="408">
        <v>36</v>
      </c>
      <c r="B51" s="413"/>
      <c r="C51" s="411" t="s">
        <v>723</v>
      </c>
      <c r="D51" s="406">
        <v>1779</v>
      </c>
      <c r="E51" s="409" t="s">
        <v>722</v>
      </c>
      <c r="F51" s="400">
        <v>1779</v>
      </c>
      <c r="G51" s="400">
        <f>D51-F51</f>
        <v>0</v>
      </c>
      <c r="H51" s="399"/>
      <c r="I51" s="404"/>
      <c r="J51" s="403"/>
    </row>
    <row r="52" spans="1:10" s="397" customFormat="1" x14ac:dyDescent="0.25">
      <c r="A52" s="408">
        <v>37</v>
      </c>
      <c r="B52" s="413"/>
      <c r="C52" s="411" t="s">
        <v>721</v>
      </c>
      <c r="D52" s="406">
        <v>480</v>
      </c>
      <c r="E52" s="409" t="s">
        <v>720</v>
      </c>
      <c r="F52" s="400">
        <v>480</v>
      </c>
      <c r="G52" s="400">
        <f>D52-F52</f>
        <v>0</v>
      </c>
      <c r="H52" s="399"/>
      <c r="I52" s="404"/>
      <c r="J52" s="403"/>
    </row>
    <row r="53" spans="1:10" s="397" customFormat="1" ht="38.25" x14ac:dyDescent="0.25">
      <c r="A53" s="408">
        <v>38</v>
      </c>
      <c r="B53" s="413"/>
      <c r="C53" s="411" t="s">
        <v>719</v>
      </c>
      <c r="D53" s="406">
        <v>10179</v>
      </c>
      <c r="E53" s="409" t="s">
        <v>718</v>
      </c>
      <c r="F53" s="400">
        <v>10179</v>
      </c>
      <c r="G53" s="400">
        <f>D53-F53</f>
        <v>0</v>
      </c>
      <c r="H53" s="399"/>
      <c r="I53" s="404"/>
      <c r="J53" s="403"/>
    </row>
    <row r="54" spans="1:10" s="397" customFormat="1" ht="63.75" x14ac:dyDescent="0.25">
      <c r="A54" s="408">
        <v>39</v>
      </c>
      <c r="B54" s="413"/>
      <c r="C54" s="411" t="s">
        <v>717</v>
      </c>
      <c r="D54" s="406">
        <v>2544</v>
      </c>
      <c r="E54" s="409" t="s">
        <v>716</v>
      </c>
      <c r="F54" s="400">
        <v>2544</v>
      </c>
      <c r="G54" s="400">
        <f>D54-F54</f>
        <v>0</v>
      </c>
      <c r="H54" s="399"/>
      <c r="I54" s="404"/>
      <c r="J54" s="403"/>
    </row>
    <row r="55" spans="1:10" s="397" customFormat="1" ht="25.5" x14ac:dyDescent="0.25">
      <c r="A55" s="408">
        <v>40</v>
      </c>
      <c r="B55" s="413"/>
      <c r="C55" s="411" t="s">
        <v>715</v>
      </c>
      <c r="D55" s="406">
        <v>1539</v>
      </c>
      <c r="E55" s="414" t="s">
        <v>714</v>
      </c>
      <c r="F55" s="400">
        <v>1539</v>
      </c>
      <c r="G55" s="400">
        <f>D55-F55</f>
        <v>0</v>
      </c>
      <c r="H55" s="399"/>
      <c r="I55" s="404"/>
      <c r="J55" s="403"/>
    </row>
    <row r="56" spans="1:10" s="397" customFormat="1" x14ac:dyDescent="0.25">
      <c r="A56" s="408">
        <v>41</v>
      </c>
      <c r="B56" s="413"/>
      <c r="C56" s="411" t="s">
        <v>713</v>
      </c>
      <c r="D56" s="406">
        <v>8544</v>
      </c>
      <c r="E56" s="409" t="s">
        <v>712</v>
      </c>
      <c r="F56" s="400">
        <v>8544</v>
      </c>
      <c r="G56" s="400">
        <f>D56-F56</f>
        <v>0</v>
      </c>
      <c r="H56" s="399"/>
      <c r="I56" s="404"/>
      <c r="J56" s="403"/>
    </row>
    <row r="57" spans="1:10" s="397" customFormat="1" x14ac:dyDescent="0.25">
      <c r="A57" s="408">
        <v>42</v>
      </c>
      <c r="B57" s="413"/>
      <c r="C57" s="411" t="s">
        <v>711</v>
      </c>
      <c r="D57" s="406">
        <v>480</v>
      </c>
      <c r="E57" s="409" t="s">
        <v>710</v>
      </c>
      <c r="F57" s="400">
        <v>480</v>
      </c>
      <c r="G57" s="400">
        <f>D57-F57</f>
        <v>0</v>
      </c>
      <c r="H57" s="399"/>
      <c r="I57" s="404"/>
      <c r="J57" s="403"/>
    </row>
    <row r="58" spans="1:10" s="397" customFormat="1" ht="25.5" x14ac:dyDescent="0.25">
      <c r="A58" s="408">
        <v>43</v>
      </c>
      <c r="B58" s="413"/>
      <c r="C58" s="411" t="s">
        <v>709</v>
      </c>
      <c r="D58" s="406">
        <v>3744</v>
      </c>
      <c r="E58" s="409" t="s">
        <v>708</v>
      </c>
      <c r="F58" s="400">
        <v>3744</v>
      </c>
      <c r="G58" s="400">
        <f>D58-F58</f>
        <v>0</v>
      </c>
      <c r="H58" s="399"/>
      <c r="I58" s="404"/>
      <c r="J58" s="403"/>
    </row>
    <row r="59" spans="1:10" s="397" customFormat="1" x14ac:dyDescent="0.25">
      <c r="A59" s="408">
        <v>44</v>
      </c>
      <c r="B59" s="412"/>
      <c r="C59" s="411" t="s">
        <v>707</v>
      </c>
      <c r="D59" s="406">
        <v>720</v>
      </c>
      <c r="E59" s="410" t="s">
        <v>706</v>
      </c>
      <c r="F59" s="400">
        <v>720</v>
      </c>
      <c r="G59" s="400">
        <f>D59-F59</f>
        <v>0</v>
      </c>
      <c r="H59" s="399"/>
      <c r="I59" s="404"/>
      <c r="J59" s="403"/>
    </row>
    <row r="60" spans="1:10" s="397" customFormat="1" ht="51" x14ac:dyDescent="0.25">
      <c r="A60" s="408">
        <v>45</v>
      </c>
      <c r="B60" s="408" t="s">
        <v>705</v>
      </c>
      <c r="C60" s="407" t="s">
        <v>704</v>
      </c>
      <c r="D60" s="406">
        <v>15000</v>
      </c>
      <c r="E60" s="405" t="s">
        <v>703</v>
      </c>
      <c r="F60" s="400">
        <v>15000</v>
      </c>
      <c r="G60" s="400">
        <f>D60-F60</f>
        <v>0</v>
      </c>
      <c r="H60" s="399"/>
      <c r="I60" s="404"/>
      <c r="J60" s="403"/>
    </row>
    <row r="61" spans="1:10" s="397" customFormat="1" ht="114.75" x14ac:dyDescent="0.25">
      <c r="A61" s="408">
        <v>46</v>
      </c>
      <c r="B61" s="408" t="s">
        <v>702</v>
      </c>
      <c r="C61" s="407" t="s">
        <v>701</v>
      </c>
      <c r="D61" s="406">
        <v>82800</v>
      </c>
      <c r="E61" s="405" t="s">
        <v>700</v>
      </c>
      <c r="F61" s="400">
        <v>82800</v>
      </c>
      <c r="G61" s="400">
        <f>D61-F61</f>
        <v>0</v>
      </c>
      <c r="H61" s="399"/>
      <c r="I61" s="404"/>
      <c r="J61" s="403"/>
    </row>
    <row r="62" spans="1:10" s="397" customFormat="1" ht="51" x14ac:dyDescent="0.25">
      <c r="A62" s="408">
        <v>47</v>
      </c>
      <c r="B62" s="408" t="s">
        <v>699</v>
      </c>
      <c r="C62" s="407" t="s">
        <v>698</v>
      </c>
      <c r="D62" s="406">
        <v>37000</v>
      </c>
      <c r="E62" s="409" t="s">
        <v>697</v>
      </c>
      <c r="F62" s="400">
        <v>37000</v>
      </c>
      <c r="G62" s="400">
        <f>D62-F62</f>
        <v>0</v>
      </c>
      <c r="H62" s="399"/>
      <c r="I62" s="404"/>
      <c r="J62" s="403"/>
    </row>
    <row r="63" spans="1:10" s="397" customFormat="1" ht="38.25" x14ac:dyDescent="0.25">
      <c r="A63" s="408">
        <v>48</v>
      </c>
      <c r="B63" s="408" t="s">
        <v>696</v>
      </c>
      <c r="C63" s="407" t="s">
        <v>695</v>
      </c>
      <c r="D63" s="406">
        <v>20000</v>
      </c>
      <c r="E63" s="405" t="s">
        <v>694</v>
      </c>
      <c r="F63" s="400">
        <v>20000</v>
      </c>
      <c r="G63" s="400">
        <f>D63-F63</f>
        <v>0</v>
      </c>
      <c r="H63" s="399"/>
      <c r="I63" s="404"/>
      <c r="J63" s="403"/>
    </row>
    <row r="64" spans="1:10" s="397" customFormat="1" ht="38.25" x14ac:dyDescent="0.25">
      <c r="A64" s="408">
        <v>49</v>
      </c>
      <c r="B64" s="408" t="s">
        <v>693</v>
      </c>
      <c r="C64" s="407" t="s">
        <v>692</v>
      </c>
      <c r="D64" s="406">
        <v>20000</v>
      </c>
      <c r="E64" s="405" t="s">
        <v>691</v>
      </c>
      <c r="F64" s="400">
        <v>20000</v>
      </c>
      <c r="G64" s="400">
        <f>D64-F64</f>
        <v>0</v>
      </c>
      <c r="H64" s="399"/>
      <c r="I64" s="404"/>
      <c r="J64" s="403"/>
    </row>
    <row r="65" spans="1:10" s="397" customFormat="1" ht="38.25" x14ac:dyDescent="0.25">
      <c r="A65" s="408">
        <v>50</v>
      </c>
      <c r="B65" s="408" t="s">
        <v>690</v>
      </c>
      <c r="C65" s="407" t="s">
        <v>689</v>
      </c>
      <c r="D65" s="406">
        <v>20000</v>
      </c>
      <c r="E65" s="405" t="s">
        <v>688</v>
      </c>
      <c r="F65" s="400">
        <v>20000</v>
      </c>
      <c r="G65" s="400">
        <f>D65-F65</f>
        <v>0</v>
      </c>
      <c r="H65" s="399"/>
      <c r="I65" s="404"/>
      <c r="J65" s="403"/>
    </row>
    <row r="66" spans="1:10" s="397" customFormat="1" ht="38.25" x14ac:dyDescent="0.25">
      <c r="A66" s="408">
        <v>51</v>
      </c>
      <c r="B66" s="408" t="s">
        <v>687</v>
      </c>
      <c r="C66" s="407" t="s">
        <v>686</v>
      </c>
      <c r="D66" s="406">
        <v>50000</v>
      </c>
      <c r="E66" s="405" t="s">
        <v>685</v>
      </c>
      <c r="F66" s="400">
        <v>50000</v>
      </c>
      <c r="G66" s="400">
        <f>D66-F66</f>
        <v>0</v>
      </c>
      <c r="H66" s="399"/>
      <c r="I66" s="404"/>
      <c r="J66" s="403"/>
    </row>
    <row r="67" spans="1:10" s="397" customFormat="1" x14ac:dyDescent="0.25">
      <c r="A67" s="398"/>
      <c r="B67" s="398" t="s">
        <v>684</v>
      </c>
      <c r="C67" s="402"/>
      <c r="D67" s="401">
        <f>SUM(D7:D66)-D49</f>
        <v>2445059.0499999998</v>
      </c>
      <c r="E67" s="400"/>
      <c r="F67" s="401">
        <f>SUM(F7:F66)-F49</f>
        <v>2438194</v>
      </c>
      <c r="G67" s="400">
        <f>SUM(G7:G66)</f>
        <v>6865.0499999999884</v>
      </c>
      <c r="H67" s="399"/>
    </row>
  </sheetData>
  <mergeCells count="13">
    <mergeCell ref="H4:H5"/>
    <mergeCell ref="A20:A28"/>
    <mergeCell ref="B20:B28"/>
    <mergeCell ref="F1:H1"/>
    <mergeCell ref="H25:H26"/>
    <mergeCell ref="B49:B59"/>
    <mergeCell ref="A2:G2"/>
    <mergeCell ref="A3:G3"/>
    <mergeCell ref="A4:A5"/>
    <mergeCell ref="B4:B5"/>
    <mergeCell ref="C4:D4"/>
    <mergeCell ref="E4:F4"/>
    <mergeCell ref="G4:G5"/>
  </mergeCells>
  <pageMargins left="0.70866141732283472" right="0" top="0.35433070866141736" bottom="0.15748031496062992" header="0" footer="0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V46"/>
  <sheetViews>
    <sheetView view="pageBreakPreview" topLeftCell="C1" zoomScale="85" zoomScaleNormal="100" zoomScaleSheetLayoutView="85" workbookViewId="0">
      <selection activeCell="C2" sqref="C2:N2"/>
    </sheetView>
  </sheetViews>
  <sheetFormatPr defaultColWidth="8" defaultRowHeight="12.75" x14ac:dyDescent="0.2"/>
  <cols>
    <col min="1" max="1" width="19" style="155" hidden="1" customWidth="1"/>
    <col min="2" max="2" width="0.28515625" style="155" hidden="1" customWidth="1"/>
    <col min="3" max="3" width="9" style="160" customWidth="1"/>
    <col min="4" max="4" width="55.42578125" style="159" customWidth="1"/>
    <col min="5" max="5" width="8.28515625" style="158" hidden="1" customWidth="1"/>
    <col min="6" max="6" width="18.7109375" style="157" customWidth="1"/>
    <col min="7" max="7" width="13.7109375" style="157" customWidth="1"/>
    <col min="8" max="8" width="14.28515625" style="157" customWidth="1"/>
    <col min="9" max="9" width="15.140625" style="157" customWidth="1"/>
    <col min="10" max="10" width="15" style="157" customWidth="1"/>
    <col min="11" max="11" width="16.28515625" style="157" customWidth="1"/>
    <col min="12" max="12" width="17.140625" style="157" customWidth="1"/>
    <col min="13" max="13" width="15.85546875" style="157" customWidth="1"/>
    <col min="14" max="14" width="16" style="155" customWidth="1"/>
    <col min="15" max="15" width="16.140625" style="155" customWidth="1"/>
    <col min="16" max="16" width="17" style="155" customWidth="1"/>
    <col min="17" max="17" width="15.5703125" style="155" hidden="1" customWidth="1"/>
    <col min="18" max="18" width="13.7109375" style="155" hidden="1" customWidth="1"/>
    <col min="19" max="19" width="10.28515625" style="155" hidden="1" customWidth="1"/>
    <col min="20" max="20" width="12.140625" style="156" customWidth="1"/>
    <col min="21" max="21" width="15.140625" style="156" customWidth="1"/>
    <col min="22" max="48" width="8" style="156" customWidth="1"/>
    <col min="49" max="256" width="8" style="155"/>
    <col min="257" max="257" width="19" style="155" customWidth="1"/>
    <col min="258" max="258" width="0" style="155" hidden="1" customWidth="1"/>
    <col min="259" max="259" width="6" style="155" customWidth="1"/>
    <col min="260" max="260" width="42.140625" style="155" customWidth="1"/>
    <col min="261" max="261" width="0" style="155" hidden="1" customWidth="1"/>
    <col min="262" max="262" width="12.7109375" style="155" customWidth="1"/>
    <col min="263" max="263" width="13.5703125" style="155" customWidth="1"/>
    <col min="264" max="264" width="14" style="155" customWidth="1"/>
    <col min="265" max="265" width="13.85546875" style="155" customWidth="1"/>
    <col min="266" max="266" width="12.5703125" style="155" customWidth="1"/>
    <col min="267" max="269" width="12.7109375" style="155" customWidth="1"/>
    <col min="270" max="275" width="0" style="155" hidden="1" customWidth="1"/>
    <col min="276" max="276" width="12.140625" style="155" customWidth="1"/>
    <col min="277" max="277" width="15.140625" style="155" customWidth="1"/>
    <col min="278" max="304" width="8" style="155" customWidth="1"/>
    <col min="305" max="512" width="8" style="155"/>
    <col min="513" max="513" width="19" style="155" customWidth="1"/>
    <col min="514" max="514" width="0" style="155" hidden="1" customWidth="1"/>
    <col min="515" max="515" width="6" style="155" customWidth="1"/>
    <col min="516" max="516" width="42.140625" style="155" customWidth="1"/>
    <col min="517" max="517" width="0" style="155" hidden="1" customWidth="1"/>
    <col min="518" max="518" width="12.7109375" style="155" customWidth="1"/>
    <col min="519" max="519" width="13.5703125" style="155" customWidth="1"/>
    <col min="520" max="520" width="14" style="155" customWidth="1"/>
    <col min="521" max="521" width="13.85546875" style="155" customWidth="1"/>
    <col min="522" max="522" width="12.5703125" style="155" customWidth="1"/>
    <col min="523" max="525" width="12.7109375" style="155" customWidth="1"/>
    <col min="526" max="531" width="0" style="155" hidden="1" customWidth="1"/>
    <col min="532" max="532" width="12.140625" style="155" customWidth="1"/>
    <col min="533" max="533" width="15.140625" style="155" customWidth="1"/>
    <col min="534" max="560" width="8" style="155" customWidth="1"/>
    <col min="561" max="768" width="8" style="155"/>
    <col min="769" max="769" width="19" style="155" customWidth="1"/>
    <col min="770" max="770" width="0" style="155" hidden="1" customWidth="1"/>
    <col min="771" max="771" width="6" style="155" customWidth="1"/>
    <col min="772" max="772" width="42.140625" style="155" customWidth="1"/>
    <col min="773" max="773" width="0" style="155" hidden="1" customWidth="1"/>
    <col min="774" max="774" width="12.7109375" style="155" customWidth="1"/>
    <col min="775" max="775" width="13.5703125" style="155" customWidth="1"/>
    <col min="776" max="776" width="14" style="155" customWidth="1"/>
    <col min="777" max="777" width="13.85546875" style="155" customWidth="1"/>
    <col min="778" max="778" width="12.5703125" style="155" customWidth="1"/>
    <col min="779" max="781" width="12.7109375" style="155" customWidth="1"/>
    <col min="782" max="787" width="0" style="155" hidden="1" customWidth="1"/>
    <col min="788" max="788" width="12.140625" style="155" customWidth="1"/>
    <col min="789" max="789" width="15.140625" style="155" customWidth="1"/>
    <col min="790" max="816" width="8" style="155" customWidth="1"/>
    <col min="817" max="1024" width="8" style="155"/>
    <col min="1025" max="1025" width="19" style="155" customWidth="1"/>
    <col min="1026" max="1026" width="0" style="155" hidden="1" customWidth="1"/>
    <col min="1027" max="1027" width="6" style="155" customWidth="1"/>
    <col min="1028" max="1028" width="42.140625" style="155" customWidth="1"/>
    <col min="1029" max="1029" width="0" style="155" hidden="1" customWidth="1"/>
    <col min="1030" max="1030" width="12.7109375" style="155" customWidth="1"/>
    <col min="1031" max="1031" width="13.5703125" style="155" customWidth="1"/>
    <col min="1032" max="1032" width="14" style="155" customWidth="1"/>
    <col min="1033" max="1033" width="13.85546875" style="155" customWidth="1"/>
    <col min="1034" max="1034" width="12.5703125" style="155" customWidth="1"/>
    <col min="1035" max="1037" width="12.7109375" style="155" customWidth="1"/>
    <col min="1038" max="1043" width="0" style="155" hidden="1" customWidth="1"/>
    <col min="1044" max="1044" width="12.140625" style="155" customWidth="1"/>
    <col min="1045" max="1045" width="15.140625" style="155" customWidth="1"/>
    <col min="1046" max="1072" width="8" style="155" customWidth="1"/>
    <col min="1073" max="1280" width="8" style="155"/>
    <col min="1281" max="1281" width="19" style="155" customWidth="1"/>
    <col min="1282" max="1282" width="0" style="155" hidden="1" customWidth="1"/>
    <col min="1283" max="1283" width="6" style="155" customWidth="1"/>
    <col min="1284" max="1284" width="42.140625" style="155" customWidth="1"/>
    <col min="1285" max="1285" width="0" style="155" hidden="1" customWidth="1"/>
    <col min="1286" max="1286" width="12.7109375" style="155" customWidth="1"/>
    <col min="1287" max="1287" width="13.5703125" style="155" customWidth="1"/>
    <col min="1288" max="1288" width="14" style="155" customWidth="1"/>
    <col min="1289" max="1289" width="13.85546875" style="155" customWidth="1"/>
    <col min="1290" max="1290" width="12.5703125" style="155" customWidth="1"/>
    <col min="1291" max="1293" width="12.7109375" style="155" customWidth="1"/>
    <col min="1294" max="1299" width="0" style="155" hidden="1" customWidth="1"/>
    <col min="1300" max="1300" width="12.140625" style="155" customWidth="1"/>
    <col min="1301" max="1301" width="15.140625" style="155" customWidth="1"/>
    <col min="1302" max="1328" width="8" style="155" customWidth="1"/>
    <col min="1329" max="1536" width="8" style="155"/>
    <col min="1537" max="1537" width="19" style="155" customWidth="1"/>
    <col min="1538" max="1538" width="0" style="155" hidden="1" customWidth="1"/>
    <col min="1539" max="1539" width="6" style="155" customWidth="1"/>
    <col min="1540" max="1540" width="42.140625" style="155" customWidth="1"/>
    <col min="1541" max="1541" width="0" style="155" hidden="1" customWidth="1"/>
    <col min="1542" max="1542" width="12.7109375" style="155" customWidth="1"/>
    <col min="1543" max="1543" width="13.5703125" style="155" customWidth="1"/>
    <col min="1544" max="1544" width="14" style="155" customWidth="1"/>
    <col min="1545" max="1545" width="13.85546875" style="155" customWidth="1"/>
    <col min="1546" max="1546" width="12.5703125" style="155" customWidth="1"/>
    <col min="1547" max="1549" width="12.7109375" style="155" customWidth="1"/>
    <col min="1550" max="1555" width="0" style="155" hidden="1" customWidth="1"/>
    <col min="1556" max="1556" width="12.140625" style="155" customWidth="1"/>
    <col min="1557" max="1557" width="15.140625" style="155" customWidth="1"/>
    <col min="1558" max="1584" width="8" style="155" customWidth="1"/>
    <col min="1585" max="1792" width="8" style="155"/>
    <col min="1793" max="1793" width="19" style="155" customWidth="1"/>
    <col min="1794" max="1794" width="0" style="155" hidden="1" customWidth="1"/>
    <col min="1795" max="1795" width="6" style="155" customWidth="1"/>
    <col min="1796" max="1796" width="42.140625" style="155" customWidth="1"/>
    <col min="1797" max="1797" width="0" style="155" hidden="1" customWidth="1"/>
    <col min="1798" max="1798" width="12.7109375" style="155" customWidth="1"/>
    <col min="1799" max="1799" width="13.5703125" style="155" customWidth="1"/>
    <col min="1800" max="1800" width="14" style="155" customWidth="1"/>
    <col min="1801" max="1801" width="13.85546875" style="155" customWidth="1"/>
    <col min="1802" max="1802" width="12.5703125" style="155" customWidth="1"/>
    <col min="1803" max="1805" width="12.7109375" style="155" customWidth="1"/>
    <col min="1806" max="1811" width="0" style="155" hidden="1" customWidth="1"/>
    <col min="1812" max="1812" width="12.140625" style="155" customWidth="1"/>
    <col min="1813" max="1813" width="15.140625" style="155" customWidth="1"/>
    <col min="1814" max="1840" width="8" style="155" customWidth="1"/>
    <col min="1841" max="2048" width="8" style="155"/>
    <col min="2049" max="2049" width="19" style="155" customWidth="1"/>
    <col min="2050" max="2050" width="0" style="155" hidden="1" customWidth="1"/>
    <col min="2051" max="2051" width="6" style="155" customWidth="1"/>
    <col min="2052" max="2052" width="42.140625" style="155" customWidth="1"/>
    <col min="2053" max="2053" width="0" style="155" hidden="1" customWidth="1"/>
    <col min="2054" max="2054" width="12.7109375" style="155" customWidth="1"/>
    <col min="2055" max="2055" width="13.5703125" style="155" customWidth="1"/>
    <col min="2056" max="2056" width="14" style="155" customWidth="1"/>
    <col min="2057" max="2057" width="13.85546875" style="155" customWidth="1"/>
    <col min="2058" max="2058" width="12.5703125" style="155" customWidth="1"/>
    <col min="2059" max="2061" width="12.7109375" style="155" customWidth="1"/>
    <col min="2062" max="2067" width="0" style="155" hidden="1" customWidth="1"/>
    <col min="2068" max="2068" width="12.140625" style="155" customWidth="1"/>
    <col min="2069" max="2069" width="15.140625" style="155" customWidth="1"/>
    <col min="2070" max="2096" width="8" style="155" customWidth="1"/>
    <col min="2097" max="2304" width="8" style="155"/>
    <col min="2305" max="2305" width="19" style="155" customWidth="1"/>
    <col min="2306" max="2306" width="0" style="155" hidden="1" customWidth="1"/>
    <col min="2307" max="2307" width="6" style="155" customWidth="1"/>
    <col min="2308" max="2308" width="42.140625" style="155" customWidth="1"/>
    <col min="2309" max="2309" width="0" style="155" hidden="1" customWidth="1"/>
    <col min="2310" max="2310" width="12.7109375" style="155" customWidth="1"/>
    <col min="2311" max="2311" width="13.5703125" style="155" customWidth="1"/>
    <col min="2312" max="2312" width="14" style="155" customWidth="1"/>
    <col min="2313" max="2313" width="13.85546875" style="155" customWidth="1"/>
    <col min="2314" max="2314" width="12.5703125" style="155" customWidth="1"/>
    <col min="2315" max="2317" width="12.7109375" style="155" customWidth="1"/>
    <col min="2318" max="2323" width="0" style="155" hidden="1" customWidth="1"/>
    <col min="2324" max="2324" width="12.140625" style="155" customWidth="1"/>
    <col min="2325" max="2325" width="15.140625" style="155" customWidth="1"/>
    <col min="2326" max="2352" width="8" style="155" customWidth="1"/>
    <col min="2353" max="2560" width="8" style="155"/>
    <col min="2561" max="2561" width="19" style="155" customWidth="1"/>
    <col min="2562" max="2562" width="0" style="155" hidden="1" customWidth="1"/>
    <col min="2563" max="2563" width="6" style="155" customWidth="1"/>
    <col min="2564" max="2564" width="42.140625" style="155" customWidth="1"/>
    <col min="2565" max="2565" width="0" style="155" hidden="1" customWidth="1"/>
    <col min="2566" max="2566" width="12.7109375" style="155" customWidth="1"/>
    <col min="2567" max="2567" width="13.5703125" style="155" customWidth="1"/>
    <col min="2568" max="2568" width="14" style="155" customWidth="1"/>
    <col min="2569" max="2569" width="13.85546875" style="155" customWidth="1"/>
    <col min="2570" max="2570" width="12.5703125" style="155" customWidth="1"/>
    <col min="2571" max="2573" width="12.7109375" style="155" customWidth="1"/>
    <col min="2574" max="2579" width="0" style="155" hidden="1" customWidth="1"/>
    <col min="2580" max="2580" width="12.140625" style="155" customWidth="1"/>
    <col min="2581" max="2581" width="15.140625" style="155" customWidth="1"/>
    <col min="2582" max="2608" width="8" style="155" customWidth="1"/>
    <col min="2609" max="2816" width="8" style="155"/>
    <col min="2817" max="2817" width="19" style="155" customWidth="1"/>
    <col min="2818" max="2818" width="0" style="155" hidden="1" customWidth="1"/>
    <col min="2819" max="2819" width="6" style="155" customWidth="1"/>
    <col min="2820" max="2820" width="42.140625" style="155" customWidth="1"/>
    <col min="2821" max="2821" width="0" style="155" hidden="1" customWidth="1"/>
    <col min="2822" max="2822" width="12.7109375" style="155" customWidth="1"/>
    <col min="2823" max="2823" width="13.5703125" style="155" customWidth="1"/>
    <col min="2824" max="2824" width="14" style="155" customWidth="1"/>
    <col min="2825" max="2825" width="13.85546875" style="155" customWidth="1"/>
    <col min="2826" max="2826" width="12.5703125" style="155" customWidth="1"/>
    <col min="2827" max="2829" width="12.7109375" style="155" customWidth="1"/>
    <col min="2830" max="2835" width="0" style="155" hidden="1" customWidth="1"/>
    <col min="2836" max="2836" width="12.140625" style="155" customWidth="1"/>
    <col min="2837" max="2837" width="15.140625" style="155" customWidth="1"/>
    <col min="2838" max="2864" width="8" style="155" customWidth="1"/>
    <col min="2865" max="3072" width="8" style="155"/>
    <col min="3073" max="3073" width="19" style="155" customWidth="1"/>
    <col min="3074" max="3074" width="0" style="155" hidden="1" customWidth="1"/>
    <col min="3075" max="3075" width="6" style="155" customWidth="1"/>
    <col min="3076" max="3076" width="42.140625" style="155" customWidth="1"/>
    <col min="3077" max="3077" width="0" style="155" hidden="1" customWidth="1"/>
    <col min="3078" max="3078" width="12.7109375" style="155" customWidth="1"/>
    <col min="3079" max="3079" width="13.5703125" style="155" customWidth="1"/>
    <col min="3080" max="3080" width="14" style="155" customWidth="1"/>
    <col min="3081" max="3081" width="13.85546875" style="155" customWidth="1"/>
    <col min="3082" max="3082" width="12.5703125" style="155" customWidth="1"/>
    <col min="3083" max="3085" width="12.7109375" style="155" customWidth="1"/>
    <col min="3086" max="3091" width="0" style="155" hidden="1" customWidth="1"/>
    <col min="3092" max="3092" width="12.140625" style="155" customWidth="1"/>
    <col min="3093" max="3093" width="15.140625" style="155" customWidth="1"/>
    <col min="3094" max="3120" width="8" style="155" customWidth="1"/>
    <col min="3121" max="3328" width="8" style="155"/>
    <col min="3329" max="3329" width="19" style="155" customWidth="1"/>
    <col min="3330" max="3330" width="0" style="155" hidden="1" customWidth="1"/>
    <col min="3331" max="3331" width="6" style="155" customWidth="1"/>
    <col min="3332" max="3332" width="42.140625" style="155" customWidth="1"/>
    <col min="3333" max="3333" width="0" style="155" hidden="1" customWidth="1"/>
    <col min="3334" max="3334" width="12.7109375" style="155" customWidth="1"/>
    <col min="3335" max="3335" width="13.5703125" style="155" customWidth="1"/>
    <col min="3336" max="3336" width="14" style="155" customWidth="1"/>
    <col min="3337" max="3337" width="13.85546875" style="155" customWidth="1"/>
    <col min="3338" max="3338" width="12.5703125" style="155" customWidth="1"/>
    <col min="3339" max="3341" width="12.7109375" style="155" customWidth="1"/>
    <col min="3342" max="3347" width="0" style="155" hidden="1" customWidth="1"/>
    <col min="3348" max="3348" width="12.140625" style="155" customWidth="1"/>
    <col min="3349" max="3349" width="15.140625" style="155" customWidth="1"/>
    <col min="3350" max="3376" width="8" style="155" customWidth="1"/>
    <col min="3377" max="3584" width="8" style="155"/>
    <col min="3585" max="3585" width="19" style="155" customWidth="1"/>
    <col min="3586" max="3586" width="0" style="155" hidden="1" customWidth="1"/>
    <col min="3587" max="3587" width="6" style="155" customWidth="1"/>
    <col min="3588" max="3588" width="42.140625" style="155" customWidth="1"/>
    <col min="3589" max="3589" width="0" style="155" hidden="1" customWidth="1"/>
    <col min="3590" max="3590" width="12.7109375" style="155" customWidth="1"/>
    <col min="3591" max="3591" width="13.5703125" style="155" customWidth="1"/>
    <col min="3592" max="3592" width="14" style="155" customWidth="1"/>
    <col min="3593" max="3593" width="13.85546875" style="155" customWidth="1"/>
    <col min="3594" max="3594" width="12.5703125" style="155" customWidth="1"/>
    <col min="3595" max="3597" width="12.7109375" style="155" customWidth="1"/>
    <col min="3598" max="3603" width="0" style="155" hidden="1" customWidth="1"/>
    <col min="3604" max="3604" width="12.140625" style="155" customWidth="1"/>
    <col min="3605" max="3605" width="15.140625" style="155" customWidth="1"/>
    <col min="3606" max="3632" width="8" style="155" customWidth="1"/>
    <col min="3633" max="3840" width="8" style="155"/>
    <col min="3841" max="3841" width="19" style="155" customWidth="1"/>
    <col min="3842" max="3842" width="0" style="155" hidden="1" customWidth="1"/>
    <col min="3843" max="3843" width="6" style="155" customWidth="1"/>
    <col min="3844" max="3844" width="42.140625" style="155" customWidth="1"/>
    <col min="3845" max="3845" width="0" style="155" hidden="1" customWidth="1"/>
    <col min="3846" max="3846" width="12.7109375" style="155" customWidth="1"/>
    <col min="3847" max="3847" width="13.5703125" style="155" customWidth="1"/>
    <col min="3848" max="3848" width="14" style="155" customWidth="1"/>
    <col min="3849" max="3849" width="13.85546875" style="155" customWidth="1"/>
    <col min="3850" max="3850" width="12.5703125" style="155" customWidth="1"/>
    <col min="3851" max="3853" width="12.7109375" style="155" customWidth="1"/>
    <col min="3854" max="3859" width="0" style="155" hidden="1" customWidth="1"/>
    <col min="3860" max="3860" width="12.140625" style="155" customWidth="1"/>
    <col min="3861" max="3861" width="15.140625" style="155" customWidth="1"/>
    <col min="3862" max="3888" width="8" style="155" customWidth="1"/>
    <col min="3889" max="4096" width="8" style="155"/>
    <col min="4097" max="4097" width="19" style="155" customWidth="1"/>
    <col min="4098" max="4098" width="0" style="155" hidden="1" customWidth="1"/>
    <col min="4099" max="4099" width="6" style="155" customWidth="1"/>
    <col min="4100" max="4100" width="42.140625" style="155" customWidth="1"/>
    <col min="4101" max="4101" width="0" style="155" hidden="1" customWidth="1"/>
    <col min="4102" max="4102" width="12.7109375" style="155" customWidth="1"/>
    <col min="4103" max="4103" width="13.5703125" style="155" customWidth="1"/>
    <col min="4104" max="4104" width="14" style="155" customWidth="1"/>
    <col min="4105" max="4105" width="13.85546875" style="155" customWidth="1"/>
    <col min="4106" max="4106" width="12.5703125" style="155" customWidth="1"/>
    <col min="4107" max="4109" width="12.7109375" style="155" customWidth="1"/>
    <col min="4110" max="4115" width="0" style="155" hidden="1" customWidth="1"/>
    <col min="4116" max="4116" width="12.140625" style="155" customWidth="1"/>
    <col min="4117" max="4117" width="15.140625" style="155" customWidth="1"/>
    <col min="4118" max="4144" width="8" style="155" customWidth="1"/>
    <col min="4145" max="4352" width="8" style="155"/>
    <col min="4353" max="4353" width="19" style="155" customWidth="1"/>
    <col min="4354" max="4354" width="0" style="155" hidden="1" customWidth="1"/>
    <col min="4355" max="4355" width="6" style="155" customWidth="1"/>
    <col min="4356" max="4356" width="42.140625" style="155" customWidth="1"/>
    <col min="4357" max="4357" width="0" style="155" hidden="1" customWidth="1"/>
    <col min="4358" max="4358" width="12.7109375" style="155" customWidth="1"/>
    <col min="4359" max="4359" width="13.5703125" style="155" customWidth="1"/>
    <col min="4360" max="4360" width="14" style="155" customWidth="1"/>
    <col min="4361" max="4361" width="13.85546875" style="155" customWidth="1"/>
    <col min="4362" max="4362" width="12.5703125" style="155" customWidth="1"/>
    <col min="4363" max="4365" width="12.7109375" style="155" customWidth="1"/>
    <col min="4366" max="4371" width="0" style="155" hidden="1" customWidth="1"/>
    <col min="4372" max="4372" width="12.140625" style="155" customWidth="1"/>
    <col min="4373" max="4373" width="15.140625" style="155" customWidth="1"/>
    <col min="4374" max="4400" width="8" style="155" customWidth="1"/>
    <col min="4401" max="4608" width="8" style="155"/>
    <col min="4609" max="4609" width="19" style="155" customWidth="1"/>
    <col min="4610" max="4610" width="0" style="155" hidden="1" customWidth="1"/>
    <col min="4611" max="4611" width="6" style="155" customWidth="1"/>
    <col min="4612" max="4612" width="42.140625" style="155" customWidth="1"/>
    <col min="4613" max="4613" width="0" style="155" hidden="1" customWidth="1"/>
    <col min="4614" max="4614" width="12.7109375" style="155" customWidth="1"/>
    <col min="4615" max="4615" width="13.5703125" style="155" customWidth="1"/>
    <col min="4616" max="4616" width="14" style="155" customWidth="1"/>
    <col min="4617" max="4617" width="13.85546875" style="155" customWidth="1"/>
    <col min="4618" max="4618" width="12.5703125" style="155" customWidth="1"/>
    <col min="4619" max="4621" width="12.7109375" style="155" customWidth="1"/>
    <col min="4622" max="4627" width="0" style="155" hidden="1" customWidth="1"/>
    <col min="4628" max="4628" width="12.140625" style="155" customWidth="1"/>
    <col min="4629" max="4629" width="15.140625" style="155" customWidth="1"/>
    <col min="4630" max="4656" width="8" style="155" customWidth="1"/>
    <col min="4657" max="4864" width="8" style="155"/>
    <col min="4865" max="4865" width="19" style="155" customWidth="1"/>
    <col min="4866" max="4866" width="0" style="155" hidden="1" customWidth="1"/>
    <col min="4867" max="4867" width="6" style="155" customWidth="1"/>
    <col min="4868" max="4868" width="42.140625" style="155" customWidth="1"/>
    <col min="4869" max="4869" width="0" style="155" hidden="1" customWidth="1"/>
    <col min="4870" max="4870" width="12.7109375" style="155" customWidth="1"/>
    <col min="4871" max="4871" width="13.5703125" style="155" customWidth="1"/>
    <col min="4872" max="4872" width="14" style="155" customWidth="1"/>
    <col min="4873" max="4873" width="13.85546875" style="155" customWidth="1"/>
    <col min="4874" max="4874" width="12.5703125" style="155" customWidth="1"/>
    <col min="4875" max="4877" width="12.7109375" style="155" customWidth="1"/>
    <col min="4878" max="4883" width="0" style="155" hidden="1" customWidth="1"/>
    <col min="4884" max="4884" width="12.140625" style="155" customWidth="1"/>
    <col min="4885" max="4885" width="15.140625" style="155" customWidth="1"/>
    <col min="4886" max="4912" width="8" style="155" customWidth="1"/>
    <col min="4913" max="5120" width="8" style="155"/>
    <col min="5121" max="5121" width="19" style="155" customWidth="1"/>
    <col min="5122" max="5122" width="0" style="155" hidden="1" customWidth="1"/>
    <col min="5123" max="5123" width="6" style="155" customWidth="1"/>
    <col min="5124" max="5124" width="42.140625" style="155" customWidth="1"/>
    <col min="5125" max="5125" width="0" style="155" hidden="1" customWidth="1"/>
    <col min="5126" max="5126" width="12.7109375" style="155" customWidth="1"/>
    <col min="5127" max="5127" width="13.5703125" style="155" customWidth="1"/>
    <col min="5128" max="5128" width="14" style="155" customWidth="1"/>
    <col min="5129" max="5129" width="13.85546875" style="155" customWidth="1"/>
    <col min="5130" max="5130" width="12.5703125" style="155" customWidth="1"/>
    <col min="5131" max="5133" width="12.7109375" style="155" customWidth="1"/>
    <col min="5134" max="5139" width="0" style="155" hidden="1" customWidth="1"/>
    <col min="5140" max="5140" width="12.140625" style="155" customWidth="1"/>
    <col min="5141" max="5141" width="15.140625" style="155" customWidth="1"/>
    <col min="5142" max="5168" width="8" style="155" customWidth="1"/>
    <col min="5169" max="5376" width="8" style="155"/>
    <col min="5377" max="5377" width="19" style="155" customWidth="1"/>
    <col min="5378" max="5378" width="0" style="155" hidden="1" customWidth="1"/>
    <col min="5379" max="5379" width="6" style="155" customWidth="1"/>
    <col min="5380" max="5380" width="42.140625" style="155" customWidth="1"/>
    <col min="5381" max="5381" width="0" style="155" hidden="1" customWidth="1"/>
    <col min="5382" max="5382" width="12.7109375" style="155" customWidth="1"/>
    <col min="5383" max="5383" width="13.5703125" style="155" customWidth="1"/>
    <col min="5384" max="5384" width="14" style="155" customWidth="1"/>
    <col min="5385" max="5385" width="13.85546875" style="155" customWidth="1"/>
    <col min="5386" max="5386" width="12.5703125" style="155" customWidth="1"/>
    <col min="5387" max="5389" width="12.7109375" style="155" customWidth="1"/>
    <col min="5390" max="5395" width="0" style="155" hidden="1" customWidth="1"/>
    <col min="5396" max="5396" width="12.140625" style="155" customWidth="1"/>
    <col min="5397" max="5397" width="15.140625" style="155" customWidth="1"/>
    <col min="5398" max="5424" width="8" style="155" customWidth="1"/>
    <col min="5425" max="5632" width="8" style="155"/>
    <col min="5633" max="5633" width="19" style="155" customWidth="1"/>
    <col min="5634" max="5634" width="0" style="155" hidden="1" customWidth="1"/>
    <col min="5635" max="5635" width="6" style="155" customWidth="1"/>
    <col min="5636" max="5636" width="42.140625" style="155" customWidth="1"/>
    <col min="5637" max="5637" width="0" style="155" hidden="1" customWidth="1"/>
    <col min="5638" max="5638" width="12.7109375" style="155" customWidth="1"/>
    <col min="5639" max="5639" width="13.5703125" style="155" customWidth="1"/>
    <col min="5640" max="5640" width="14" style="155" customWidth="1"/>
    <col min="5641" max="5641" width="13.85546875" style="155" customWidth="1"/>
    <col min="5642" max="5642" width="12.5703125" style="155" customWidth="1"/>
    <col min="5643" max="5645" width="12.7109375" style="155" customWidth="1"/>
    <col min="5646" max="5651" width="0" style="155" hidden="1" customWidth="1"/>
    <col min="5652" max="5652" width="12.140625" style="155" customWidth="1"/>
    <col min="5653" max="5653" width="15.140625" style="155" customWidth="1"/>
    <col min="5654" max="5680" width="8" style="155" customWidth="1"/>
    <col min="5681" max="5888" width="8" style="155"/>
    <col min="5889" max="5889" width="19" style="155" customWidth="1"/>
    <col min="5890" max="5890" width="0" style="155" hidden="1" customWidth="1"/>
    <col min="5891" max="5891" width="6" style="155" customWidth="1"/>
    <col min="5892" max="5892" width="42.140625" style="155" customWidth="1"/>
    <col min="5893" max="5893" width="0" style="155" hidden="1" customWidth="1"/>
    <col min="5894" max="5894" width="12.7109375" style="155" customWidth="1"/>
    <col min="5895" max="5895" width="13.5703125" style="155" customWidth="1"/>
    <col min="5896" max="5896" width="14" style="155" customWidth="1"/>
    <col min="5897" max="5897" width="13.85546875" style="155" customWidth="1"/>
    <col min="5898" max="5898" width="12.5703125" style="155" customWidth="1"/>
    <col min="5899" max="5901" width="12.7109375" style="155" customWidth="1"/>
    <col min="5902" max="5907" width="0" style="155" hidden="1" customWidth="1"/>
    <col min="5908" max="5908" width="12.140625" style="155" customWidth="1"/>
    <col min="5909" max="5909" width="15.140625" style="155" customWidth="1"/>
    <col min="5910" max="5936" width="8" style="155" customWidth="1"/>
    <col min="5937" max="6144" width="8" style="155"/>
    <col min="6145" max="6145" width="19" style="155" customWidth="1"/>
    <col min="6146" max="6146" width="0" style="155" hidden="1" customWidth="1"/>
    <col min="6147" max="6147" width="6" style="155" customWidth="1"/>
    <col min="6148" max="6148" width="42.140625" style="155" customWidth="1"/>
    <col min="6149" max="6149" width="0" style="155" hidden="1" customWidth="1"/>
    <col min="6150" max="6150" width="12.7109375" style="155" customWidth="1"/>
    <col min="6151" max="6151" width="13.5703125" style="155" customWidth="1"/>
    <col min="6152" max="6152" width="14" style="155" customWidth="1"/>
    <col min="6153" max="6153" width="13.85546875" style="155" customWidth="1"/>
    <col min="6154" max="6154" width="12.5703125" style="155" customWidth="1"/>
    <col min="6155" max="6157" width="12.7109375" style="155" customWidth="1"/>
    <col min="6158" max="6163" width="0" style="155" hidden="1" customWidth="1"/>
    <col min="6164" max="6164" width="12.140625" style="155" customWidth="1"/>
    <col min="6165" max="6165" width="15.140625" style="155" customWidth="1"/>
    <col min="6166" max="6192" width="8" style="155" customWidth="1"/>
    <col min="6193" max="6400" width="8" style="155"/>
    <col min="6401" max="6401" width="19" style="155" customWidth="1"/>
    <col min="6402" max="6402" width="0" style="155" hidden="1" customWidth="1"/>
    <col min="6403" max="6403" width="6" style="155" customWidth="1"/>
    <col min="6404" max="6404" width="42.140625" style="155" customWidth="1"/>
    <col min="6405" max="6405" width="0" style="155" hidden="1" customWidth="1"/>
    <col min="6406" max="6406" width="12.7109375" style="155" customWidth="1"/>
    <col min="6407" max="6407" width="13.5703125" style="155" customWidth="1"/>
    <col min="6408" max="6408" width="14" style="155" customWidth="1"/>
    <col min="6409" max="6409" width="13.85546875" style="155" customWidth="1"/>
    <col min="6410" max="6410" width="12.5703125" style="155" customWidth="1"/>
    <col min="6411" max="6413" width="12.7109375" style="155" customWidth="1"/>
    <col min="6414" max="6419" width="0" style="155" hidden="1" customWidth="1"/>
    <col min="6420" max="6420" width="12.140625" style="155" customWidth="1"/>
    <col min="6421" max="6421" width="15.140625" style="155" customWidth="1"/>
    <col min="6422" max="6448" width="8" style="155" customWidth="1"/>
    <col min="6449" max="6656" width="8" style="155"/>
    <col min="6657" max="6657" width="19" style="155" customWidth="1"/>
    <col min="6658" max="6658" width="0" style="155" hidden="1" customWidth="1"/>
    <col min="6659" max="6659" width="6" style="155" customWidth="1"/>
    <col min="6660" max="6660" width="42.140625" style="155" customWidth="1"/>
    <col min="6661" max="6661" width="0" style="155" hidden="1" customWidth="1"/>
    <col min="6662" max="6662" width="12.7109375" style="155" customWidth="1"/>
    <col min="6663" max="6663" width="13.5703125" style="155" customWidth="1"/>
    <col min="6664" max="6664" width="14" style="155" customWidth="1"/>
    <col min="6665" max="6665" width="13.85546875" style="155" customWidth="1"/>
    <col min="6666" max="6666" width="12.5703125" style="155" customWidth="1"/>
    <col min="6667" max="6669" width="12.7109375" style="155" customWidth="1"/>
    <col min="6670" max="6675" width="0" style="155" hidden="1" customWidth="1"/>
    <col min="6676" max="6676" width="12.140625" style="155" customWidth="1"/>
    <col min="6677" max="6677" width="15.140625" style="155" customWidth="1"/>
    <col min="6678" max="6704" width="8" style="155" customWidth="1"/>
    <col min="6705" max="6912" width="8" style="155"/>
    <col min="6913" max="6913" width="19" style="155" customWidth="1"/>
    <col min="6914" max="6914" width="0" style="155" hidden="1" customWidth="1"/>
    <col min="6915" max="6915" width="6" style="155" customWidth="1"/>
    <col min="6916" max="6916" width="42.140625" style="155" customWidth="1"/>
    <col min="6917" max="6917" width="0" style="155" hidden="1" customWidth="1"/>
    <col min="6918" max="6918" width="12.7109375" style="155" customWidth="1"/>
    <col min="6919" max="6919" width="13.5703125" style="155" customWidth="1"/>
    <col min="6920" max="6920" width="14" style="155" customWidth="1"/>
    <col min="6921" max="6921" width="13.85546875" style="155" customWidth="1"/>
    <col min="6922" max="6922" width="12.5703125" style="155" customWidth="1"/>
    <col min="6923" max="6925" width="12.7109375" style="155" customWidth="1"/>
    <col min="6926" max="6931" width="0" style="155" hidden="1" customWidth="1"/>
    <col min="6932" max="6932" width="12.140625" style="155" customWidth="1"/>
    <col min="6933" max="6933" width="15.140625" style="155" customWidth="1"/>
    <col min="6934" max="6960" width="8" style="155" customWidth="1"/>
    <col min="6961" max="7168" width="8" style="155"/>
    <col min="7169" max="7169" width="19" style="155" customWidth="1"/>
    <col min="7170" max="7170" width="0" style="155" hidden="1" customWidth="1"/>
    <col min="7171" max="7171" width="6" style="155" customWidth="1"/>
    <col min="7172" max="7172" width="42.140625" style="155" customWidth="1"/>
    <col min="7173" max="7173" width="0" style="155" hidden="1" customWidth="1"/>
    <col min="7174" max="7174" width="12.7109375" style="155" customWidth="1"/>
    <col min="7175" max="7175" width="13.5703125" style="155" customWidth="1"/>
    <col min="7176" max="7176" width="14" style="155" customWidth="1"/>
    <col min="7177" max="7177" width="13.85546875" style="155" customWidth="1"/>
    <col min="7178" max="7178" width="12.5703125" style="155" customWidth="1"/>
    <col min="7179" max="7181" width="12.7109375" style="155" customWidth="1"/>
    <col min="7182" max="7187" width="0" style="155" hidden="1" customWidth="1"/>
    <col min="7188" max="7188" width="12.140625" style="155" customWidth="1"/>
    <col min="7189" max="7189" width="15.140625" style="155" customWidth="1"/>
    <col min="7190" max="7216" width="8" style="155" customWidth="1"/>
    <col min="7217" max="7424" width="8" style="155"/>
    <col min="7425" max="7425" width="19" style="155" customWidth="1"/>
    <col min="7426" max="7426" width="0" style="155" hidden="1" customWidth="1"/>
    <col min="7427" max="7427" width="6" style="155" customWidth="1"/>
    <col min="7428" max="7428" width="42.140625" style="155" customWidth="1"/>
    <col min="7429" max="7429" width="0" style="155" hidden="1" customWidth="1"/>
    <col min="7430" max="7430" width="12.7109375" style="155" customWidth="1"/>
    <col min="7431" max="7431" width="13.5703125" style="155" customWidth="1"/>
    <col min="7432" max="7432" width="14" style="155" customWidth="1"/>
    <col min="7433" max="7433" width="13.85546875" style="155" customWidth="1"/>
    <col min="7434" max="7434" width="12.5703125" style="155" customWidth="1"/>
    <col min="7435" max="7437" width="12.7109375" style="155" customWidth="1"/>
    <col min="7438" max="7443" width="0" style="155" hidden="1" customWidth="1"/>
    <col min="7444" max="7444" width="12.140625" style="155" customWidth="1"/>
    <col min="7445" max="7445" width="15.140625" style="155" customWidth="1"/>
    <col min="7446" max="7472" width="8" style="155" customWidth="1"/>
    <col min="7473" max="7680" width="8" style="155"/>
    <col min="7681" max="7681" width="19" style="155" customWidth="1"/>
    <col min="7682" max="7682" width="0" style="155" hidden="1" customWidth="1"/>
    <col min="7683" max="7683" width="6" style="155" customWidth="1"/>
    <col min="7684" max="7684" width="42.140625" style="155" customWidth="1"/>
    <col min="7685" max="7685" width="0" style="155" hidden="1" customWidth="1"/>
    <col min="7686" max="7686" width="12.7109375" style="155" customWidth="1"/>
    <col min="7687" max="7687" width="13.5703125" style="155" customWidth="1"/>
    <col min="7688" max="7688" width="14" style="155" customWidth="1"/>
    <col min="7689" max="7689" width="13.85546875" style="155" customWidth="1"/>
    <col min="7690" max="7690" width="12.5703125" style="155" customWidth="1"/>
    <col min="7691" max="7693" width="12.7109375" style="155" customWidth="1"/>
    <col min="7694" max="7699" width="0" style="155" hidden="1" customWidth="1"/>
    <col min="7700" max="7700" width="12.140625" style="155" customWidth="1"/>
    <col min="7701" max="7701" width="15.140625" style="155" customWidth="1"/>
    <col min="7702" max="7728" width="8" style="155" customWidth="1"/>
    <col min="7729" max="7936" width="8" style="155"/>
    <col min="7937" max="7937" width="19" style="155" customWidth="1"/>
    <col min="7938" max="7938" width="0" style="155" hidden="1" customWidth="1"/>
    <col min="7939" max="7939" width="6" style="155" customWidth="1"/>
    <col min="7940" max="7940" width="42.140625" style="155" customWidth="1"/>
    <col min="7941" max="7941" width="0" style="155" hidden="1" customWidth="1"/>
    <col min="7942" max="7942" width="12.7109375" style="155" customWidth="1"/>
    <col min="7943" max="7943" width="13.5703125" style="155" customWidth="1"/>
    <col min="7944" max="7944" width="14" style="155" customWidth="1"/>
    <col min="7945" max="7945" width="13.85546875" style="155" customWidth="1"/>
    <col min="7946" max="7946" width="12.5703125" style="155" customWidth="1"/>
    <col min="7947" max="7949" width="12.7109375" style="155" customWidth="1"/>
    <col min="7950" max="7955" width="0" style="155" hidden="1" customWidth="1"/>
    <col min="7956" max="7956" width="12.140625" style="155" customWidth="1"/>
    <col min="7957" max="7957" width="15.140625" style="155" customWidth="1"/>
    <col min="7958" max="7984" width="8" style="155" customWidth="1"/>
    <col min="7985" max="8192" width="8" style="155"/>
    <col min="8193" max="8193" width="19" style="155" customWidth="1"/>
    <col min="8194" max="8194" width="0" style="155" hidden="1" customWidth="1"/>
    <col min="8195" max="8195" width="6" style="155" customWidth="1"/>
    <col min="8196" max="8196" width="42.140625" style="155" customWidth="1"/>
    <col min="8197" max="8197" width="0" style="155" hidden="1" customWidth="1"/>
    <col min="8198" max="8198" width="12.7109375" style="155" customWidth="1"/>
    <col min="8199" max="8199" width="13.5703125" style="155" customWidth="1"/>
    <col min="8200" max="8200" width="14" style="155" customWidth="1"/>
    <col min="8201" max="8201" width="13.85546875" style="155" customWidth="1"/>
    <col min="8202" max="8202" width="12.5703125" style="155" customWidth="1"/>
    <col min="8203" max="8205" width="12.7109375" style="155" customWidth="1"/>
    <col min="8206" max="8211" width="0" style="155" hidden="1" customWidth="1"/>
    <col min="8212" max="8212" width="12.140625" style="155" customWidth="1"/>
    <col min="8213" max="8213" width="15.140625" style="155" customWidth="1"/>
    <col min="8214" max="8240" width="8" style="155" customWidth="1"/>
    <col min="8241" max="8448" width="8" style="155"/>
    <col min="8449" max="8449" width="19" style="155" customWidth="1"/>
    <col min="8450" max="8450" width="0" style="155" hidden="1" customWidth="1"/>
    <col min="8451" max="8451" width="6" style="155" customWidth="1"/>
    <col min="8452" max="8452" width="42.140625" style="155" customWidth="1"/>
    <col min="8453" max="8453" width="0" style="155" hidden="1" customWidth="1"/>
    <col min="8454" max="8454" width="12.7109375" style="155" customWidth="1"/>
    <col min="8455" max="8455" width="13.5703125" style="155" customWidth="1"/>
    <col min="8456" max="8456" width="14" style="155" customWidth="1"/>
    <col min="8457" max="8457" width="13.85546875" style="155" customWidth="1"/>
    <col min="8458" max="8458" width="12.5703125" style="155" customWidth="1"/>
    <col min="8459" max="8461" width="12.7109375" style="155" customWidth="1"/>
    <col min="8462" max="8467" width="0" style="155" hidden="1" customWidth="1"/>
    <col min="8468" max="8468" width="12.140625" style="155" customWidth="1"/>
    <col min="8469" max="8469" width="15.140625" style="155" customWidth="1"/>
    <col min="8470" max="8496" width="8" style="155" customWidth="1"/>
    <col min="8497" max="8704" width="8" style="155"/>
    <col min="8705" max="8705" width="19" style="155" customWidth="1"/>
    <col min="8706" max="8706" width="0" style="155" hidden="1" customWidth="1"/>
    <col min="8707" max="8707" width="6" style="155" customWidth="1"/>
    <col min="8708" max="8708" width="42.140625" style="155" customWidth="1"/>
    <col min="8709" max="8709" width="0" style="155" hidden="1" customWidth="1"/>
    <col min="8710" max="8710" width="12.7109375" style="155" customWidth="1"/>
    <col min="8711" max="8711" width="13.5703125" style="155" customWidth="1"/>
    <col min="8712" max="8712" width="14" style="155" customWidth="1"/>
    <col min="8713" max="8713" width="13.85546875" style="155" customWidth="1"/>
    <col min="8714" max="8714" width="12.5703125" style="155" customWidth="1"/>
    <col min="8715" max="8717" width="12.7109375" style="155" customWidth="1"/>
    <col min="8718" max="8723" width="0" style="155" hidden="1" customWidth="1"/>
    <col min="8724" max="8724" width="12.140625" style="155" customWidth="1"/>
    <col min="8725" max="8725" width="15.140625" style="155" customWidth="1"/>
    <col min="8726" max="8752" width="8" style="155" customWidth="1"/>
    <col min="8753" max="8960" width="8" style="155"/>
    <col min="8961" max="8961" width="19" style="155" customWidth="1"/>
    <col min="8962" max="8962" width="0" style="155" hidden="1" customWidth="1"/>
    <col min="8963" max="8963" width="6" style="155" customWidth="1"/>
    <col min="8964" max="8964" width="42.140625" style="155" customWidth="1"/>
    <col min="8965" max="8965" width="0" style="155" hidden="1" customWidth="1"/>
    <col min="8966" max="8966" width="12.7109375" style="155" customWidth="1"/>
    <col min="8967" max="8967" width="13.5703125" style="155" customWidth="1"/>
    <col min="8968" max="8968" width="14" style="155" customWidth="1"/>
    <col min="8969" max="8969" width="13.85546875" style="155" customWidth="1"/>
    <col min="8970" max="8970" width="12.5703125" style="155" customWidth="1"/>
    <col min="8971" max="8973" width="12.7109375" style="155" customWidth="1"/>
    <col min="8974" max="8979" width="0" style="155" hidden="1" customWidth="1"/>
    <col min="8980" max="8980" width="12.140625" style="155" customWidth="1"/>
    <col min="8981" max="8981" width="15.140625" style="155" customWidth="1"/>
    <col min="8982" max="9008" width="8" style="155" customWidth="1"/>
    <col min="9009" max="9216" width="8" style="155"/>
    <col min="9217" max="9217" width="19" style="155" customWidth="1"/>
    <col min="9218" max="9218" width="0" style="155" hidden="1" customWidth="1"/>
    <col min="9219" max="9219" width="6" style="155" customWidth="1"/>
    <col min="9220" max="9220" width="42.140625" style="155" customWidth="1"/>
    <col min="9221" max="9221" width="0" style="155" hidden="1" customWidth="1"/>
    <col min="9222" max="9222" width="12.7109375" style="155" customWidth="1"/>
    <col min="9223" max="9223" width="13.5703125" style="155" customWidth="1"/>
    <col min="9224" max="9224" width="14" style="155" customWidth="1"/>
    <col min="9225" max="9225" width="13.85546875" style="155" customWidth="1"/>
    <col min="9226" max="9226" width="12.5703125" style="155" customWidth="1"/>
    <col min="9227" max="9229" width="12.7109375" style="155" customWidth="1"/>
    <col min="9230" max="9235" width="0" style="155" hidden="1" customWidth="1"/>
    <col min="9236" max="9236" width="12.140625" style="155" customWidth="1"/>
    <col min="9237" max="9237" width="15.140625" style="155" customWidth="1"/>
    <col min="9238" max="9264" width="8" style="155" customWidth="1"/>
    <col min="9265" max="9472" width="8" style="155"/>
    <col min="9473" max="9473" width="19" style="155" customWidth="1"/>
    <col min="9474" max="9474" width="0" style="155" hidden="1" customWidth="1"/>
    <col min="9475" max="9475" width="6" style="155" customWidth="1"/>
    <col min="9476" max="9476" width="42.140625" style="155" customWidth="1"/>
    <col min="9477" max="9477" width="0" style="155" hidden="1" customWidth="1"/>
    <col min="9478" max="9478" width="12.7109375" style="155" customWidth="1"/>
    <col min="9479" max="9479" width="13.5703125" style="155" customWidth="1"/>
    <col min="9480" max="9480" width="14" style="155" customWidth="1"/>
    <col min="9481" max="9481" width="13.85546875" style="155" customWidth="1"/>
    <col min="9482" max="9482" width="12.5703125" style="155" customWidth="1"/>
    <col min="9483" max="9485" width="12.7109375" style="155" customWidth="1"/>
    <col min="9486" max="9491" width="0" style="155" hidden="1" customWidth="1"/>
    <col min="9492" max="9492" width="12.140625" style="155" customWidth="1"/>
    <col min="9493" max="9493" width="15.140625" style="155" customWidth="1"/>
    <col min="9494" max="9520" width="8" style="155" customWidth="1"/>
    <col min="9521" max="9728" width="8" style="155"/>
    <col min="9729" max="9729" width="19" style="155" customWidth="1"/>
    <col min="9730" max="9730" width="0" style="155" hidden="1" customWidth="1"/>
    <col min="9731" max="9731" width="6" style="155" customWidth="1"/>
    <col min="9732" max="9732" width="42.140625" style="155" customWidth="1"/>
    <col min="9733" max="9733" width="0" style="155" hidden="1" customWidth="1"/>
    <col min="9734" max="9734" width="12.7109375" style="155" customWidth="1"/>
    <col min="9735" max="9735" width="13.5703125" style="155" customWidth="1"/>
    <col min="9736" max="9736" width="14" style="155" customWidth="1"/>
    <col min="9737" max="9737" width="13.85546875" style="155" customWidth="1"/>
    <col min="9738" max="9738" width="12.5703125" style="155" customWidth="1"/>
    <col min="9739" max="9741" width="12.7109375" style="155" customWidth="1"/>
    <col min="9742" max="9747" width="0" style="155" hidden="1" customWidth="1"/>
    <col min="9748" max="9748" width="12.140625" style="155" customWidth="1"/>
    <col min="9749" max="9749" width="15.140625" style="155" customWidth="1"/>
    <col min="9750" max="9776" width="8" style="155" customWidth="1"/>
    <col min="9777" max="9984" width="8" style="155"/>
    <col min="9985" max="9985" width="19" style="155" customWidth="1"/>
    <col min="9986" max="9986" width="0" style="155" hidden="1" customWidth="1"/>
    <col min="9987" max="9987" width="6" style="155" customWidth="1"/>
    <col min="9988" max="9988" width="42.140625" style="155" customWidth="1"/>
    <col min="9989" max="9989" width="0" style="155" hidden="1" customWidth="1"/>
    <col min="9990" max="9990" width="12.7109375" style="155" customWidth="1"/>
    <col min="9991" max="9991" width="13.5703125" style="155" customWidth="1"/>
    <col min="9992" max="9992" width="14" style="155" customWidth="1"/>
    <col min="9993" max="9993" width="13.85546875" style="155" customWidth="1"/>
    <col min="9994" max="9994" width="12.5703125" style="155" customWidth="1"/>
    <col min="9995" max="9997" width="12.7109375" style="155" customWidth="1"/>
    <col min="9998" max="10003" width="0" style="155" hidden="1" customWidth="1"/>
    <col min="10004" max="10004" width="12.140625" style="155" customWidth="1"/>
    <col min="10005" max="10005" width="15.140625" style="155" customWidth="1"/>
    <col min="10006" max="10032" width="8" style="155" customWidth="1"/>
    <col min="10033" max="10240" width="8" style="155"/>
    <col min="10241" max="10241" width="19" style="155" customWidth="1"/>
    <col min="10242" max="10242" width="0" style="155" hidden="1" customWidth="1"/>
    <col min="10243" max="10243" width="6" style="155" customWidth="1"/>
    <col min="10244" max="10244" width="42.140625" style="155" customWidth="1"/>
    <col min="10245" max="10245" width="0" style="155" hidden="1" customWidth="1"/>
    <col min="10246" max="10246" width="12.7109375" style="155" customWidth="1"/>
    <col min="10247" max="10247" width="13.5703125" style="155" customWidth="1"/>
    <col min="10248" max="10248" width="14" style="155" customWidth="1"/>
    <col min="10249" max="10249" width="13.85546875" style="155" customWidth="1"/>
    <col min="10250" max="10250" width="12.5703125" style="155" customWidth="1"/>
    <col min="10251" max="10253" width="12.7109375" style="155" customWidth="1"/>
    <col min="10254" max="10259" width="0" style="155" hidden="1" customWidth="1"/>
    <col min="10260" max="10260" width="12.140625" style="155" customWidth="1"/>
    <col min="10261" max="10261" width="15.140625" style="155" customWidth="1"/>
    <col min="10262" max="10288" width="8" style="155" customWidth="1"/>
    <col min="10289" max="10496" width="8" style="155"/>
    <col min="10497" max="10497" width="19" style="155" customWidth="1"/>
    <col min="10498" max="10498" width="0" style="155" hidden="1" customWidth="1"/>
    <col min="10499" max="10499" width="6" style="155" customWidth="1"/>
    <col min="10500" max="10500" width="42.140625" style="155" customWidth="1"/>
    <col min="10501" max="10501" width="0" style="155" hidden="1" customWidth="1"/>
    <col min="10502" max="10502" width="12.7109375" style="155" customWidth="1"/>
    <col min="10503" max="10503" width="13.5703125" style="155" customWidth="1"/>
    <col min="10504" max="10504" width="14" style="155" customWidth="1"/>
    <col min="10505" max="10505" width="13.85546875" style="155" customWidth="1"/>
    <col min="10506" max="10506" width="12.5703125" style="155" customWidth="1"/>
    <col min="10507" max="10509" width="12.7109375" style="155" customWidth="1"/>
    <col min="10510" max="10515" width="0" style="155" hidden="1" customWidth="1"/>
    <col min="10516" max="10516" width="12.140625" style="155" customWidth="1"/>
    <col min="10517" max="10517" width="15.140625" style="155" customWidth="1"/>
    <col min="10518" max="10544" width="8" style="155" customWidth="1"/>
    <col min="10545" max="10752" width="8" style="155"/>
    <col min="10753" max="10753" width="19" style="155" customWidth="1"/>
    <col min="10754" max="10754" width="0" style="155" hidden="1" customWidth="1"/>
    <col min="10755" max="10755" width="6" style="155" customWidth="1"/>
    <col min="10756" max="10756" width="42.140625" style="155" customWidth="1"/>
    <col min="10757" max="10757" width="0" style="155" hidden="1" customWidth="1"/>
    <col min="10758" max="10758" width="12.7109375" style="155" customWidth="1"/>
    <col min="10759" max="10759" width="13.5703125" style="155" customWidth="1"/>
    <col min="10760" max="10760" width="14" style="155" customWidth="1"/>
    <col min="10761" max="10761" width="13.85546875" style="155" customWidth="1"/>
    <col min="10762" max="10762" width="12.5703125" style="155" customWidth="1"/>
    <col min="10763" max="10765" width="12.7109375" style="155" customWidth="1"/>
    <col min="10766" max="10771" width="0" style="155" hidden="1" customWidth="1"/>
    <col min="10772" max="10772" width="12.140625" style="155" customWidth="1"/>
    <col min="10773" max="10773" width="15.140625" style="155" customWidth="1"/>
    <col min="10774" max="10800" width="8" style="155" customWidth="1"/>
    <col min="10801" max="11008" width="8" style="155"/>
    <col min="11009" max="11009" width="19" style="155" customWidth="1"/>
    <col min="11010" max="11010" width="0" style="155" hidden="1" customWidth="1"/>
    <col min="11011" max="11011" width="6" style="155" customWidth="1"/>
    <col min="11012" max="11012" width="42.140625" style="155" customWidth="1"/>
    <col min="11013" max="11013" width="0" style="155" hidden="1" customWidth="1"/>
    <col min="11014" max="11014" width="12.7109375" style="155" customWidth="1"/>
    <col min="11015" max="11015" width="13.5703125" style="155" customWidth="1"/>
    <col min="11016" max="11016" width="14" style="155" customWidth="1"/>
    <col min="11017" max="11017" width="13.85546875" style="155" customWidth="1"/>
    <col min="11018" max="11018" width="12.5703125" style="155" customWidth="1"/>
    <col min="11019" max="11021" width="12.7109375" style="155" customWidth="1"/>
    <col min="11022" max="11027" width="0" style="155" hidden="1" customWidth="1"/>
    <col min="11028" max="11028" width="12.140625" style="155" customWidth="1"/>
    <col min="11029" max="11029" width="15.140625" style="155" customWidth="1"/>
    <col min="11030" max="11056" width="8" style="155" customWidth="1"/>
    <col min="11057" max="11264" width="8" style="155"/>
    <col min="11265" max="11265" width="19" style="155" customWidth="1"/>
    <col min="11266" max="11266" width="0" style="155" hidden="1" customWidth="1"/>
    <col min="11267" max="11267" width="6" style="155" customWidth="1"/>
    <col min="11268" max="11268" width="42.140625" style="155" customWidth="1"/>
    <col min="11269" max="11269" width="0" style="155" hidden="1" customWidth="1"/>
    <col min="11270" max="11270" width="12.7109375" style="155" customWidth="1"/>
    <col min="11271" max="11271" width="13.5703125" style="155" customWidth="1"/>
    <col min="11272" max="11272" width="14" style="155" customWidth="1"/>
    <col min="11273" max="11273" width="13.85546875" style="155" customWidth="1"/>
    <col min="11274" max="11274" width="12.5703125" style="155" customWidth="1"/>
    <col min="11275" max="11277" width="12.7109375" style="155" customWidth="1"/>
    <col min="11278" max="11283" width="0" style="155" hidden="1" customWidth="1"/>
    <col min="11284" max="11284" width="12.140625" style="155" customWidth="1"/>
    <col min="11285" max="11285" width="15.140625" style="155" customWidth="1"/>
    <col min="11286" max="11312" width="8" style="155" customWidth="1"/>
    <col min="11313" max="11520" width="8" style="155"/>
    <col min="11521" max="11521" width="19" style="155" customWidth="1"/>
    <col min="11522" max="11522" width="0" style="155" hidden="1" customWidth="1"/>
    <col min="11523" max="11523" width="6" style="155" customWidth="1"/>
    <col min="11524" max="11524" width="42.140625" style="155" customWidth="1"/>
    <col min="11525" max="11525" width="0" style="155" hidden="1" customWidth="1"/>
    <col min="11526" max="11526" width="12.7109375" style="155" customWidth="1"/>
    <col min="11527" max="11527" width="13.5703125" style="155" customWidth="1"/>
    <col min="11528" max="11528" width="14" style="155" customWidth="1"/>
    <col min="11529" max="11529" width="13.85546875" style="155" customWidth="1"/>
    <col min="11530" max="11530" width="12.5703125" style="155" customWidth="1"/>
    <col min="11531" max="11533" width="12.7109375" style="155" customWidth="1"/>
    <col min="11534" max="11539" width="0" style="155" hidden="1" customWidth="1"/>
    <col min="11540" max="11540" width="12.140625" style="155" customWidth="1"/>
    <col min="11541" max="11541" width="15.140625" style="155" customWidth="1"/>
    <col min="11542" max="11568" width="8" style="155" customWidth="1"/>
    <col min="11569" max="11776" width="8" style="155"/>
    <col min="11777" max="11777" width="19" style="155" customWidth="1"/>
    <col min="11778" max="11778" width="0" style="155" hidden="1" customWidth="1"/>
    <col min="11779" max="11779" width="6" style="155" customWidth="1"/>
    <col min="11780" max="11780" width="42.140625" style="155" customWidth="1"/>
    <col min="11781" max="11781" width="0" style="155" hidden="1" customWidth="1"/>
    <col min="11782" max="11782" width="12.7109375" style="155" customWidth="1"/>
    <col min="11783" max="11783" width="13.5703125" style="155" customWidth="1"/>
    <col min="11784" max="11784" width="14" style="155" customWidth="1"/>
    <col min="11785" max="11785" width="13.85546875" style="155" customWidth="1"/>
    <col min="11786" max="11786" width="12.5703125" style="155" customWidth="1"/>
    <col min="11787" max="11789" width="12.7109375" style="155" customWidth="1"/>
    <col min="11790" max="11795" width="0" style="155" hidden="1" customWidth="1"/>
    <col min="11796" max="11796" width="12.140625" style="155" customWidth="1"/>
    <col min="11797" max="11797" width="15.140625" style="155" customWidth="1"/>
    <col min="11798" max="11824" width="8" style="155" customWidth="1"/>
    <col min="11825" max="12032" width="8" style="155"/>
    <col min="12033" max="12033" width="19" style="155" customWidth="1"/>
    <col min="12034" max="12034" width="0" style="155" hidden="1" customWidth="1"/>
    <col min="12035" max="12035" width="6" style="155" customWidth="1"/>
    <col min="12036" max="12036" width="42.140625" style="155" customWidth="1"/>
    <col min="12037" max="12037" width="0" style="155" hidden="1" customWidth="1"/>
    <col min="12038" max="12038" width="12.7109375" style="155" customWidth="1"/>
    <col min="12039" max="12039" width="13.5703125" style="155" customWidth="1"/>
    <col min="12040" max="12040" width="14" style="155" customWidth="1"/>
    <col min="12041" max="12041" width="13.85546875" style="155" customWidth="1"/>
    <col min="12042" max="12042" width="12.5703125" style="155" customWidth="1"/>
    <col min="12043" max="12045" width="12.7109375" style="155" customWidth="1"/>
    <col min="12046" max="12051" width="0" style="155" hidden="1" customWidth="1"/>
    <col min="12052" max="12052" width="12.140625" style="155" customWidth="1"/>
    <col min="12053" max="12053" width="15.140625" style="155" customWidth="1"/>
    <col min="12054" max="12080" width="8" style="155" customWidth="1"/>
    <col min="12081" max="12288" width="8" style="155"/>
    <col min="12289" max="12289" width="19" style="155" customWidth="1"/>
    <col min="12290" max="12290" width="0" style="155" hidden="1" customWidth="1"/>
    <col min="12291" max="12291" width="6" style="155" customWidth="1"/>
    <col min="12292" max="12292" width="42.140625" style="155" customWidth="1"/>
    <col min="12293" max="12293" width="0" style="155" hidden="1" customWidth="1"/>
    <col min="12294" max="12294" width="12.7109375" style="155" customWidth="1"/>
    <col min="12295" max="12295" width="13.5703125" style="155" customWidth="1"/>
    <col min="12296" max="12296" width="14" style="155" customWidth="1"/>
    <col min="12297" max="12297" width="13.85546875" style="155" customWidth="1"/>
    <col min="12298" max="12298" width="12.5703125" style="155" customWidth="1"/>
    <col min="12299" max="12301" width="12.7109375" style="155" customWidth="1"/>
    <col min="12302" max="12307" width="0" style="155" hidden="1" customWidth="1"/>
    <col min="12308" max="12308" width="12.140625" style="155" customWidth="1"/>
    <col min="12309" max="12309" width="15.140625" style="155" customWidth="1"/>
    <col min="12310" max="12336" width="8" style="155" customWidth="1"/>
    <col min="12337" max="12544" width="8" style="155"/>
    <col min="12545" max="12545" width="19" style="155" customWidth="1"/>
    <col min="12546" max="12546" width="0" style="155" hidden="1" customWidth="1"/>
    <col min="12547" max="12547" width="6" style="155" customWidth="1"/>
    <col min="12548" max="12548" width="42.140625" style="155" customWidth="1"/>
    <col min="12549" max="12549" width="0" style="155" hidden="1" customWidth="1"/>
    <col min="12550" max="12550" width="12.7109375" style="155" customWidth="1"/>
    <col min="12551" max="12551" width="13.5703125" style="155" customWidth="1"/>
    <col min="12552" max="12552" width="14" style="155" customWidth="1"/>
    <col min="12553" max="12553" width="13.85546875" style="155" customWidth="1"/>
    <col min="12554" max="12554" width="12.5703125" style="155" customWidth="1"/>
    <col min="12555" max="12557" width="12.7109375" style="155" customWidth="1"/>
    <col min="12558" max="12563" width="0" style="155" hidden="1" customWidth="1"/>
    <col min="12564" max="12564" width="12.140625" style="155" customWidth="1"/>
    <col min="12565" max="12565" width="15.140625" style="155" customWidth="1"/>
    <col min="12566" max="12592" width="8" style="155" customWidth="1"/>
    <col min="12593" max="12800" width="8" style="155"/>
    <col min="12801" max="12801" width="19" style="155" customWidth="1"/>
    <col min="12802" max="12802" width="0" style="155" hidden="1" customWidth="1"/>
    <col min="12803" max="12803" width="6" style="155" customWidth="1"/>
    <col min="12804" max="12804" width="42.140625" style="155" customWidth="1"/>
    <col min="12805" max="12805" width="0" style="155" hidden="1" customWidth="1"/>
    <col min="12806" max="12806" width="12.7109375" style="155" customWidth="1"/>
    <col min="12807" max="12807" width="13.5703125" style="155" customWidth="1"/>
    <col min="12808" max="12808" width="14" style="155" customWidth="1"/>
    <col min="12809" max="12809" width="13.85546875" style="155" customWidth="1"/>
    <col min="12810" max="12810" width="12.5703125" style="155" customWidth="1"/>
    <col min="12811" max="12813" width="12.7109375" style="155" customWidth="1"/>
    <col min="12814" max="12819" width="0" style="155" hidden="1" customWidth="1"/>
    <col min="12820" max="12820" width="12.140625" style="155" customWidth="1"/>
    <col min="12821" max="12821" width="15.140625" style="155" customWidth="1"/>
    <col min="12822" max="12848" width="8" style="155" customWidth="1"/>
    <col min="12849" max="13056" width="8" style="155"/>
    <col min="13057" max="13057" width="19" style="155" customWidth="1"/>
    <col min="13058" max="13058" width="0" style="155" hidden="1" customWidth="1"/>
    <col min="13059" max="13059" width="6" style="155" customWidth="1"/>
    <col min="13060" max="13060" width="42.140625" style="155" customWidth="1"/>
    <col min="13061" max="13061" width="0" style="155" hidden="1" customWidth="1"/>
    <col min="13062" max="13062" width="12.7109375" style="155" customWidth="1"/>
    <col min="13063" max="13063" width="13.5703125" style="155" customWidth="1"/>
    <col min="13064" max="13064" width="14" style="155" customWidth="1"/>
    <col min="13065" max="13065" width="13.85546875" style="155" customWidth="1"/>
    <col min="13066" max="13066" width="12.5703125" style="155" customWidth="1"/>
    <col min="13067" max="13069" width="12.7109375" style="155" customWidth="1"/>
    <col min="13070" max="13075" width="0" style="155" hidden="1" customWidth="1"/>
    <col min="13076" max="13076" width="12.140625" style="155" customWidth="1"/>
    <col min="13077" max="13077" width="15.140625" style="155" customWidth="1"/>
    <col min="13078" max="13104" width="8" style="155" customWidth="1"/>
    <col min="13105" max="13312" width="8" style="155"/>
    <col min="13313" max="13313" width="19" style="155" customWidth="1"/>
    <col min="13314" max="13314" width="0" style="155" hidden="1" customWidth="1"/>
    <col min="13315" max="13315" width="6" style="155" customWidth="1"/>
    <col min="13316" max="13316" width="42.140625" style="155" customWidth="1"/>
    <col min="13317" max="13317" width="0" style="155" hidden="1" customWidth="1"/>
    <col min="13318" max="13318" width="12.7109375" style="155" customWidth="1"/>
    <col min="13319" max="13319" width="13.5703125" style="155" customWidth="1"/>
    <col min="13320" max="13320" width="14" style="155" customWidth="1"/>
    <col min="13321" max="13321" width="13.85546875" style="155" customWidth="1"/>
    <col min="13322" max="13322" width="12.5703125" style="155" customWidth="1"/>
    <col min="13323" max="13325" width="12.7109375" style="155" customWidth="1"/>
    <col min="13326" max="13331" width="0" style="155" hidden="1" customWidth="1"/>
    <col min="13332" max="13332" width="12.140625" style="155" customWidth="1"/>
    <col min="13333" max="13333" width="15.140625" style="155" customWidth="1"/>
    <col min="13334" max="13360" width="8" style="155" customWidth="1"/>
    <col min="13361" max="13568" width="8" style="155"/>
    <col min="13569" max="13569" width="19" style="155" customWidth="1"/>
    <col min="13570" max="13570" width="0" style="155" hidden="1" customWidth="1"/>
    <col min="13571" max="13571" width="6" style="155" customWidth="1"/>
    <col min="13572" max="13572" width="42.140625" style="155" customWidth="1"/>
    <col min="13573" max="13573" width="0" style="155" hidden="1" customWidth="1"/>
    <col min="13574" max="13574" width="12.7109375" style="155" customWidth="1"/>
    <col min="13575" max="13575" width="13.5703125" style="155" customWidth="1"/>
    <col min="13576" max="13576" width="14" style="155" customWidth="1"/>
    <col min="13577" max="13577" width="13.85546875" style="155" customWidth="1"/>
    <col min="13578" max="13578" width="12.5703125" style="155" customWidth="1"/>
    <col min="13579" max="13581" width="12.7109375" style="155" customWidth="1"/>
    <col min="13582" max="13587" width="0" style="155" hidden="1" customWidth="1"/>
    <col min="13588" max="13588" width="12.140625" style="155" customWidth="1"/>
    <col min="13589" max="13589" width="15.140625" style="155" customWidth="1"/>
    <col min="13590" max="13616" width="8" style="155" customWidth="1"/>
    <col min="13617" max="13824" width="8" style="155"/>
    <col min="13825" max="13825" width="19" style="155" customWidth="1"/>
    <col min="13826" max="13826" width="0" style="155" hidden="1" customWidth="1"/>
    <col min="13827" max="13827" width="6" style="155" customWidth="1"/>
    <col min="13828" max="13828" width="42.140625" style="155" customWidth="1"/>
    <col min="13829" max="13829" width="0" style="155" hidden="1" customWidth="1"/>
    <col min="13830" max="13830" width="12.7109375" style="155" customWidth="1"/>
    <col min="13831" max="13831" width="13.5703125" style="155" customWidth="1"/>
    <col min="13832" max="13832" width="14" style="155" customWidth="1"/>
    <col min="13833" max="13833" width="13.85546875" style="155" customWidth="1"/>
    <col min="13834" max="13834" width="12.5703125" style="155" customWidth="1"/>
    <col min="13835" max="13837" width="12.7109375" style="155" customWidth="1"/>
    <col min="13838" max="13843" width="0" style="155" hidden="1" customWidth="1"/>
    <col min="13844" max="13844" width="12.140625" style="155" customWidth="1"/>
    <col min="13845" max="13845" width="15.140625" style="155" customWidth="1"/>
    <col min="13846" max="13872" width="8" style="155" customWidth="1"/>
    <col min="13873" max="14080" width="8" style="155"/>
    <col min="14081" max="14081" width="19" style="155" customWidth="1"/>
    <col min="14082" max="14082" width="0" style="155" hidden="1" customWidth="1"/>
    <col min="14083" max="14083" width="6" style="155" customWidth="1"/>
    <col min="14084" max="14084" width="42.140625" style="155" customWidth="1"/>
    <col min="14085" max="14085" width="0" style="155" hidden="1" customWidth="1"/>
    <col min="14086" max="14086" width="12.7109375" style="155" customWidth="1"/>
    <col min="14087" max="14087" width="13.5703125" style="155" customWidth="1"/>
    <col min="14088" max="14088" width="14" style="155" customWidth="1"/>
    <col min="14089" max="14089" width="13.85546875" style="155" customWidth="1"/>
    <col min="14090" max="14090" width="12.5703125" style="155" customWidth="1"/>
    <col min="14091" max="14093" width="12.7109375" style="155" customWidth="1"/>
    <col min="14094" max="14099" width="0" style="155" hidden="1" customWidth="1"/>
    <col min="14100" max="14100" width="12.140625" style="155" customWidth="1"/>
    <col min="14101" max="14101" width="15.140625" style="155" customWidth="1"/>
    <col min="14102" max="14128" width="8" style="155" customWidth="1"/>
    <col min="14129" max="14336" width="8" style="155"/>
    <col min="14337" max="14337" width="19" style="155" customWidth="1"/>
    <col min="14338" max="14338" width="0" style="155" hidden="1" customWidth="1"/>
    <col min="14339" max="14339" width="6" style="155" customWidth="1"/>
    <col min="14340" max="14340" width="42.140625" style="155" customWidth="1"/>
    <col min="14341" max="14341" width="0" style="155" hidden="1" customWidth="1"/>
    <col min="14342" max="14342" width="12.7109375" style="155" customWidth="1"/>
    <col min="14343" max="14343" width="13.5703125" style="155" customWidth="1"/>
    <col min="14344" max="14344" width="14" style="155" customWidth="1"/>
    <col min="14345" max="14345" width="13.85546875" style="155" customWidth="1"/>
    <col min="14346" max="14346" width="12.5703125" style="155" customWidth="1"/>
    <col min="14347" max="14349" width="12.7109375" style="155" customWidth="1"/>
    <col min="14350" max="14355" width="0" style="155" hidden="1" customWidth="1"/>
    <col min="14356" max="14356" width="12.140625" style="155" customWidth="1"/>
    <col min="14357" max="14357" width="15.140625" style="155" customWidth="1"/>
    <col min="14358" max="14384" width="8" style="155" customWidth="1"/>
    <col min="14385" max="14592" width="8" style="155"/>
    <col min="14593" max="14593" width="19" style="155" customWidth="1"/>
    <col min="14594" max="14594" width="0" style="155" hidden="1" customWidth="1"/>
    <col min="14595" max="14595" width="6" style="155" customWidth="1"/>
    <col min="14596" max="14596" width="42.140625" style="155" customWidth="1"/>
    <col min="14597" max="14597" width="0" style="155" hidden="1" customWidth="1"/>
    <col min="14598" max="14598" width="12.7109375" style="155" customWidth="1"/>
    <col min="14599" max="14599" width="13.5703125" style="155" customWidth="1"/>
    <col min="14600" max="14600" width="14" style="155" customWidth="1"/>
    <col min="14601" max="14601" width="13.85546875" style="155" customWidth="1"/>
    <col min="14602" max="14602" width="12.5703125" style="155" customWidth="1"/>
    <col min="14603" max="14605" width="12.7109375" style="155" customWidth="1"/>
    <col min="14606" max="14611" width="0" style="155" hidden="1" customWidth="1"/>
    <col min="14612" max="14612" width="12.140625" style="155" customWidth="1"/>
    <col min="14613" max="14613" width="15.140625" style="155" customWidth="1"/>
    <col min="14614" max="14640" width="8" style="155" customWidth="1"/>
    <col min="14641" max="14848" width="8" style="155"/>
    <col min="14849" max="14849" width="19" style="155" customWidth="1"/>
    <col min="14850" max="14850" width="0" style="155" hidden="1" customWidth="1"/>
    <col min="14851" max="14851" width="6" style="155" customWidth="1"/>
    <col min="14852" max="14852" width="42.140625" style="155" customWidth="1"/>
    <col min="14853" max="14853" width="0" style="155" hidden="1" customWidth="1"/>
    <col min="14854" max="14854" width="12.7109375" style="155" customWidth="1"/>
    <col min="14855" max="14855" width="13.5703125" style="155" customWidth="1"/>
    <col min="14856" max="14856" width="14" style="155" customWidth="1"/>
    <col min="14857" max="14857" width="13.85546875" style="155" customWidth="1"/>
    <col min="14858" max="14858" width="12.5703125" style="155" customWidth="1"/>
    <col min="14859" max="14861" width="12.7109375" style="155" customWidth="1"/>
    <col min="14862" max="14867" width="0" style="155" hidden="1" customWidth="1"/>
    <col min="14868" max="14868" width="12.140625" style="155" customWidth="1"/>
    <col min="14869" max="14869" width="15.140625" style="155" customWidth="1"/>
    <col min="14870" max="14896" width="8" style="155" customWidth="1"/>
    <col min="14897" max="15104" width="8" style="155"/>
    <col min="15105" max="15105" width="19" style="155" customWidth="1"/>
    <col min="15106" max="15106" width="0" style="155" hidden="1" customWidth="1"/>
    <col min="15107" max="15107" width="6" style="155" customWidth="1"/>
    <col min="15108" max="15108" width="42.140625" style="155" customWidth="1"/>
    <col min="15109" max="15109" width="0" style="155" hidden="1" customWidth="1"/>
    <col min="15110" max="15110" width="12.7109375" style="155" customWidth="1"/>
    <col min="15111" max="15111" width="13.5703125" style="155" customWidth="1"/>
    <col min="15112" max="15112" width="14" style="155" customWidth="1"/>
    <col min="15113" max="15113" width="13.85546875" style="155" customWidth="1"/>
    <col min="15114" max="15114" width="12.5703125" style="155" customWidth="1"/>
    <col min="15115" max="15117" width="12.7109375" style="155" customWidth="1"/>
    <col min="15118" max="15123" width="0" style="155" hidden="1" customWidth="1"/>
    <col min="15124" max="15124" width="12.140625" style="155" customWidth="1"/>
    <col min="15125" max="15125" width="15.140625" style="155" customWidth="1"/>
    <col min="15126" max="15152" width="8" style="155" customWidth="1"/>
    <col min="15153" max="15360" width="8" style="155"/>
    <col min="15361" max="15361" width="19" style="155" customWidth="1"/>
    <col min="15362" max="15362" width="0" style="155" hidden="1" customWidth="1"/>
    <col min="15363" max="15363" width="6" style="155" customWidth="1"/>
    <col min="15364" max="15364" width="42.140625" style="155" customWidth="1"/>
    <col min="15365" max="15365" width="0" style="155" hidden="1" customWidth="1"/>
    <col min="15366" max="15366" width="12.7109375" style="155" customWidth="1"/>
    <col min="15367" max="15367" width="13.5703125" style="155" customWidth="1"/>
    <col min="15368" max="15368" width="14" style="155" customWidth="1"/>
    <col min="15369" max="15369" width="13.85546875" style="155" customWidth="1"/>
    <col min="15370" max="15370" width="12.5703125" style="155" customWidth="1"/>
    <col min="15371" max="15373" width="12.7109375" style="155" customWidth="1"/>
    <col min="15374" max="15379" width="0" style="155" hidden="1" customWidth="1"/>
    <col min="15380" max="15380" width="12.140625" style="155" customWidth="1"/>
    <col min="15381" max="15381" width="15.140625" style="155" customWidth="1"/>
    <col min="15382" max="15408" width="8" style="155" customWidth="1"/>
    <col min="15409" max="15616" width="8" style="155"/>
    <col min="15617" max="15617" width="19" style="155" customWidth="1"/>
    <col min="15618" max="15618" width="0" style="155" hidden="1" customWidth="1"/>
    <col min="15619" max="15619" width="6" style="155" customWidth="1"/>
    <col min="15620" max="15620" width="42.140625" style="155" customWidth="1"/>
    <col min="15621" max="15621" width="0" style="155" hidden="1" customWidth="1"/>
    <col min="15622" max="15622" width="12.7109375" style="155" customWidth="1"/>
    <col min="15623" max="15623" width="13.5703125" style="155" customWidth="1"/>
    <col min="15624" max="15624" width="14" style="155" customWidth="1"/>
    <col min="15625" max="15625" width="13.85546875" style="155" customWidth="1"/>
    <col min="15626" max="15626" width="12.5703125" style="155" customWidth="1"/>
    <col min="15627" max="15629" width="12.7109375" style="155" customWidth="1"/>
    <col min="15630" max="15635" width="0" style="155" hidden="1" customWidth="1"/>
    <col min="15636" max="15636" width="12.140625" style="155" customWidth="1"/>
    <col min="15637" max="15637" width="15.140625" style="155" customWidth="1"/>
    <col min="15638" max="15664" width="8" style="155" customWidth="1"/>
    <col min="15665" max="15872" width="8" style="155"/>
    <col min="15873" max="15873" width="19" style="155" customWidth="1"/>
    <col min="15874" max="15874" width="0" style="155" hidden="1" customWidth="1"/>
    <col min="15875" max="15875" width="6" style="155" customWidth="1"/>
    <col min="15876" max="15876" width="42.140625" style="155" customWidth="1"/>
    <col min="15877" max="15877" width="0" style="155" hidden="1" customWidth="1"/>
    <col min="15878" max="15878" width="12.7109375" style="155" customWidth="1"/>
    <col min="15879" max="15879" width="13.5703125" style="155" customWidth="1"/>
    <col min="15880" max="15880" width="14" style="155" customWidth="1"/>
    <col min="15881" max="15881" width="13.85546875" style="155" customWidth="1"/>
    <col min="15882" max="15882" width="12.5703125" style="155" customWidth="1"/>
    <col min="15883" max="15885" width="12.7109375" style="155" customWidth="1"/>
    <col min="15886" max="15891" width="0" style="155" hidden="1" customWidth="1"/>
    <col min="15892" max="15892" width="12.140625" style="155" customWidth="1"/>
    <col min="15893" max="15893" width="15.140625" style="155" customWidth="1"/>
    <col min="15894" max="15920" width="8" style="155" customWidth="1"/>
    <col min="15921" max="16128" width="8" style="155"/>
    <col min="16129" max="16129" width="19" style="155" customWidth="1"/>
    <col min="16130" max="16130" width="0" style="155" hidden="1" customWidth="1"/>
    <col min="16131" max="16131" width="6" style="155" customWidth="1"/>
    <col min="16132" max="16132" width="42.140625" style="155" customWidth="1"/>
    <col min="16133" max="16133" width="0" style="155" hidden="1" customWidth="1"/>
    <col min="16134" max="16134" width="12.7109375" style="155" customWidth="1"/>
    <col min="16135" max="16135" width="13.5703125" style="155" customWidth="1"/>
    <col min="16136" max="16136" width="14" style="155" customWidth="1"/>
    <col min="16137" max="16137" width="13.85546875" style="155" customWidth="1"/>
    <col min="16138" max="16138" width="12.5703125" style="155" customWidth="1"/>
    <col min="16139" max="16141" width="12.7109375" style="155" customWidth="1"/>
    <col min="16142" max="16147" width="0" style="155" hidden="1" customWidth="1"/>
    <col min="16148" max="16148" width="12.140625" style="155" customWidth="1"/>
    <col min="16149" max="16149" width="15.140625" style="155" customWidth="1"/>
    <col min="16150" max="16176" width="8" style="155" customWidth="1"/>
    <col min="16177" max="16384" width="8" style="155"/>
  </cols>
  <sheetData>
    <row r="1" spans="1:48" ht="15" x14ac:dyDescent="0.25">
      <c r="C1" s="432"/>
      <c r="D1" s="433"/>
      <c r="E1" s="434"/>
      <c r="N1" s="431" t="s">
        <v>853</v>
      </c>
      <c r="O1" s="372"/>
      <c r="P1" s="372"/>
    </row>
    <row r="2" spans="1:48" s="156" customFormat="1" ht="27" customHeight="1" x14ac:dyDescent="0.25">
      <c r="B2" s="223"/>
      <c r="C2" s="316" t="s">
        <v>597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0"/>
      <c r="O2" s="222"/>
      <c r="P2" s="222"/>
    </row>
    <row r="3" spans="1:48" s="156" customFormat="1" ht="16.5" thickBot="1" x14ac:dyDescent="0.3">
      <c r="C3" s="221"/>
      <c r="D3" s="220"/>
      <c r="E3" s="219"/>
      <c r="F3" s="218"/>
      <c r="G3" s="218"/>
      <c r="H3" s="218"/>
      <c r="I3" s="218"/>
      <c r="J3" s="218"/>
      <c r="K3" s="218"/>
      <c r="L3" s="218"/>
      <c r="M3" s="217"/>
      <c r="N3" s="216"/>
      <c r="O3" s="216"/>
      <c r="P3" s="215" t="s">
        <v>589</v>
      </c>
    </row>
    <row r="4" spans="1:48" s="210" customFormat="1" ht="19.5" customHeight="1" thickBot="1" x14ac:dyDescent="0.35">
      <c r="A4" s="214"/>
      <c r="B4" s="211"/>
      <c r="C4" s="302"/>
      <c r="D4" s="317" t="s">
        <v>588</v>
      </c>
      <c r="E4" s="319" t="s">
        <v>587</v>
      </c>
      <c r="F4" s="321" t="s">
        <v>541</v>
      </c>
      <c r="G4" s="323" t="s">
        <v>586</v>
      </c>
      <c r="H4" s="324"/>
      <c r="I4" s="324"/>
      <c r="J4" s="324"/>
      <c r="K4" s="324"/>
      <c r="L4" s="324"/>
      <c r="M4" s="324"/>
      <c r="N4" s="324"/>
      <c r="O4" s="324"/>
      <c r="P4" s="325"/>
      <c r="Q4" s="213"/>
      <c r="R4" s="212"/>
      <c r="S4" s="211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</row>
    <row r="5" spans="1:48" s="204" customFormat="1" ht="42" customHeight="1" thickBot="1" x14ac:dyDescent="0.3">
      <c r="A5" s="209"/>
      <c r="B5" s="206"/>
      <c r="C5" s="303"/>
      <c r="D5" s="318"/>
      <c r="E5" s="320"/>
      <c r="F5" s="322"/>
      <c r="G5" s="304" t="s">
        <v>585</v>
      </c>
      <c r="H5" s="305" t="s">
        <v>584</v>
      </c>
      <c r="I5" s="306" t="s">
        <v>583</v>
      </c>
      <c r="J5" s="306" t="s">
        <v>582</v>
      </c>
      <c r="K5" s="306" t="s">
        <v>581</v>
      </c>
      <c r="L5" s="306" t="s">
        <v>580</v>
      </c>
      <c r="M5" s="306" t="s">
        <v>579</v>
      </c>
      <c r="N5" s="306" t="s">
        <v>578</v>
      </c>
      <c r="O5" s="307" t="s">
        <v>577</v>
      </c>
      <c r="P5" s="308" t="s">
        <v>576</v>
      </c>
      <c r="Q5" s="208"/>
      <c r="R5" s="207"/>
      <c r="S5" s="206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</row>
    <row r="6" spans="1:48" s="199" customFormat="1" ht="18.75" x14ac:dyDescent="0.3">
      <c r="A6" s="203"/>
      <c r="B6" s="202"/>
      <c r="C6" s="299" t="s">
        <v>575</v>
      </c>
      <c r="D6" s="300" t="s">
        <v>574</v>
      </c>
      <c r="E6" s="301"/>
      <c r="F6" s="300">
        <v>1</v>
      </c>
      <c r="G6" s="300">
        <v>2</v>
      </c>
      <c r="H6" s="300">
        <f t="shared" ref="H6:O6" si="0">G6+1</f>
        <v>3</v>
      </c>
      <c r="I6" s="300">
        <f t="shared" si="0"/>
        <v>4</v>
      </c>
      <c r="J6" s="300">
        <f t="shared" si="0"/>
        <v>5</v>
      </c>
      <c r="K6" s="300">
        <f t="shared" si="0"/>
        <v>6</v>
      </c>
      <c r="L6" s="300">
        <f t="shared" si="0"/>
        <v>7</v>
      </c>
      <c r="M6" s="300">
        <f t="shared" si="0"/>
        <v>8</v>
      </c>
      <c r="N6" s="300">
        <f t="shared" si="0"/>
        <v>9</v>
      </c>
      <c r="O6" s="300">
        <f t="shared" si="0"/>
        <v>10</v>
      </c>
      <c r="P6" s="300">
        <v>11</v>
      </c>
      <c r="Q6" s="203"/>
      <c r="S6" s="202"/>
      <c r="T6" s="201"/>
      <c r="U6" s="201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</row>
    <row r="7" spans="1:48" s="180" customFormat="1" ht="38.25" customHeight="1" x14ac:dyDescent="0.25">
      <c r="A7" s="185"/>
      <c r="B7" s="184"/>
      <c r="C7" s="198" t="s">
        <v>573</v>
      </c>
      <c r="D7" s="194" t="s">
        <v>13</v>
      </c>
      <c r="E7" s="260"/>
      <c r="F7" s="175">
        <f t="shared" ref="F7:P7" si="1">F8+F10+F38</f>
        <v>54842.163570000004</v>
      </c>
      <c r="G7" s="175">
        <f t="shared" si="1"/>
        <v>5802.6869999999999</v>
      </c>
      <c r="H7" s="175">
        <f t="shared" si="1"/>
        <v>7213.331470000001</v>
      </c>
      <c r="I7" s="175">
        <f t="shared" si="1"/>
        <v>5400.1530000000002</v>
      </c>
      <c r="J7" s="175">
        <f t="shared" si="1"/>
        <v>6625.3603999999996</v>
      </c>
      <c r="K7" s="175">
        <f t="shared" si="1"/>
        <v>3299.08</v>
      </c>
      <c r="L7" s="175">
        <f t="shared" si="1"/>
        <v>4809.4310000000005</v>
      </c>
      <c r="M7" s="175">
        <f t="shared" si="1"/>
        <v>5083.2194</v>
      </c>
      <c r="N7" s="175">
        <f t="shared" si="1"/>
        <v>5349.643</v>
      </c>
      <c r="O7" s="175">
        <f t="shared" si="1"/>
        <v>8008.3437999999996</v>
      </c>
      <c r="P7" s="175">
        <f t="shared" si="1"/>
        <v>3250.9144999999999</v>
      </c>
      <c r="Q7" s="197" t="e">
        <f>Q8+Q11+#REF!</f>
        <v>#REF!</v>
      </c>
      <c r="R7" s="196" t="e">
        <f>R8+R11+#REF!</f>
        <v>#REF!</v>
      </c>
      <c r="S7" s="196" t="e">
        <f>S8+S11+#REF!</f>
        <v>#REF!</v>
      </c>
      <c r="T7" s="164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</row>
    <row r="8" spans="1:48" s="177" customFormat="1" ht="38.25" customHeight="1" x14ac:dyDescent="0.2">
      <c r="A8" s="179"/>
      <c r="B8" s="178"/>
      <c r="C8" s="195" t="s">
        <v>572</v>
      </c>
      <c r="D8" s="261" t="s">
        <v>571</v>
      </c>
      <c r="E8" s="262"/>
      <c r="F8" s="263">
        <f t="shared" ref="F8:F12" si="2">SUM(G8:P8)</f>
        <v>25893.899999999998</v>
      </c>
      <c r="G8" s="175">
        <f t="shared" ref="G8:P8" si="3">SUM(G9:G9)</f>
        <v>3017.61</v>
      </c>
      <c r="H8" s="175">
        <f t="shared" si="3"/>
        <v>2980.34</v>
      </c>
      <c r="I8" s="175">
        <f t="shared" si="3"/>
        <v>2356.12</v>
      </c>
      <c r="J8" s="175">
        <f t="shared" si="3"/>
        <v>2986.03</v>
      </c>
      <c r="K8" s="175">
        <f t="shared" si="3"/>
        <v>1861.19</v>
      </c>
      <c r="L8" s="175">
        <f t="shared" si="3"/>
        <v>2535.6</v>
      </c>
      <c r="M8" s="175">
        <f t="shared" si="3"/>
        <v>2367.4499999999998</v>
      </c>
      <c r="N8" s="175">
        <f t="shared" si="3"/>
        <v>2890.26</v>
      </c>
      <c r="O8" s="175">
        <f t="shared" si="3"/>
        <v>3949.3</v>
      </c>
      <c r="P8" s="175">
        <f t="shared" si="3"/>
        <v>950</v>
      </c>
      <c r="Q8" s="193"/>
      <c r="R8" s="192"/>
      <c r="S8" s="171"/>
      <c r="T8" s="172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</row>
    <row r="9" spans="1:48" s="180" customFormat="1" ht="44.25" customHeight="1" thickBot="1" x14ac:dyDescent="0.3">
      <c r="A9" s="185"/>
      <c r="B9" s="184"/>
      <c r="C9" s="169" t="s">
        <v>570</v>
      </c>
      <c r="D9" s="191" t="s">
        <v>362</v>
      </c>
      <c r="E9" s="264">
        <v>20857.12</v>
      </c>
      <c r="F9" s="183">
        <f t="shared" si="2"/>
        <v>25893.899999999998</v>
      </c>
      <c r="G9" s="165">
        <v>3017.61</v>
      </c>
      <c r="H9" s="165">
        <v>2980.34</v>
      </c>
      <c r="I9" s="165">
        <v>2356.12</v>
      </c>
      <c r="J9" s="165">
        <v>2986.03</v>
      </c>
      <c r="K9" s="165">
        <v>1861.19</v>
      </c>
      <c r="L9" s="165">
        <v>2535.6</v>
      </c>
      <c r="M9" s="165">
        <v>2367.4499999999998</v>
      </c>
      <c r="N9" s="190">
        <v>2890.26</v>
      </c>
      <c r="O9" s="190">
        <v>3949.3</v>
      </c>
      <c r="P9" s="190">
        <v>950</v>
      </c>
      <c r="Q9" s="189"/>
      <c r="R9" s="188"/>
      <c r="S9" s="187"/>
      <c r="T9" s="186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</row>
    <row r="10" spans="1:48" s="180" customFormat="1" ht="58.5" customHeight="1" x14ac:dyDescent="0.25">
      <c r="A10" s="185"/>
      <c r="B10" s="184"/>
      <c r="C10" s="168" t="s">
        <v>569</v>
      </c>
      <c r="D10" s="167" t="s">
        <v>603</v>
      </c>
      <c r="E10" s="176"/>
      <c r="F10" s="263">
        <f t="shared" ref="F10:P10" si="4">F11+F35</f>
        <v>14794.069070000001</v>
      </c>
      <c r="G10" s="265">
        <f t="shared" si="4"/>
        <v>1269.02</v>
      </c>
      <c r="H10" s="265">
        <f t="shared" si="4"/>
        <v>1868.5594700000001</v>
      </c>
      <c r="I10" s="265">
        <f t="shared" si="4"/>
        <v>1321.78</v>
      </c>
      <c r="J10" s="265">
        <f t="shared" si="4"/>
        <v>1553.6433999999999</v>
      </c>
      <c r="K10" s="265">
        <f t="shared" si="4"/>
        <v>554.33899999999994</v>
      </c>
      <c r="L10" s="265">
        <f t="shared" si="4"/>
        <v>1427.3440000000001</v>
      </c>
      <c r="M10" s="265">
        <f t="shared" si="4"/>
        <v>1817.5154</v>
      </c>
      <c r="N10" s="265">
        <f t="shared" si="4"/>
        <v>1070.279</v>
      </c>
      <c r="O10" s="265">
        <f t="shared" si="4"/>
        <v>2223.8798000000002</v>
      </c>
      <c r="P10" s="265">
        <f t="shared" si="4"/>
        <v>1687.7090000000001</v>
      </c>
      <c r="Q10" s="182"/>
      <c r="R10" s="181"/>
      <c r="S10" s="163"/>
      <c r="T10" s="164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</row>
    <row r="11" spans="1:48" s="177" customFormat="1" ht="76.5" customHeight="1" x14ac:dyDescent="0.2">
      <c r="A11" s="179"/>
      <c r="B11" s="178"/>
      <c r="C11" s="168" t="s">
        <v>604</v>
      </c>
      <c r="D11" s="266" t="s">
        <v>605</v>
      </c>
      <c r="E11" s="176"/>
      <c r="F11" s="263">
        <f t="shared" ref="F11:P11" si="5">SUM(F12:F14)+F34</f>
        <v>12075.820820000001</v>
      </c>
      <c r="G11" s="263">
        <f t="shared" si="5"/>
        <v>966.02</v>
      </c>
      <c r="H11" s="263">
        <f t="shared" si="5"/>
        <v>1458.5112200000001</v>
      </c>
      <c r="I11" s="263">
        <f t="shared" si="5"/>
        <v>1063.78</v>
      </c>
      <c r="J11" s="263">
        <f t="shared" si="5"/>
        <v>1251.6433999999999</v>
      </c>
      <c r="K11" s="263">
        <f t="shared" si="5"/>
        <v>485.339</v>
      </c>
      <c r="L11" s="263">
        <f t="shared" si="5"/>
        <v>1031.3440000000001</v>
      </c>
      <c r="M11" s="263">
        <f t="shared" si="5"/>
        <v>1700.5154</v>
      </c>
      <c r="N11" s="263">
        <f t="shared" si="5"/>
        <v>845.279</v>
      </c>
      <c r="O11" s="263">
        <f t="shared" si="5"/>
        <v>1585.6798000000001</v>
      </c>
      <c r="P11" s="263">
        <f t="shared" si="5"/>
        <v>1687.7090000000001</v>
      </c>
      <c r="Q11" s="263">
        <f t="shared" ref="Q11:S11" si="6">SUM(Q12:Q14)</f>
        <v>0</v>
      </c>
      <c r="R11" s="263">
        <f t="shared" si="6"/>
        <v>0</v>
      </c>
      <c r="S11" s="263">
        <f t="shared" si="6"/>
        <v>0</v>
      </c>
      <c r="T11" s="172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</row>
    <row r="12" spans="1:48" s="171" customFormat="1" ht="51" x14ac:dyDescent="0.2">
      <c r="C12" s="169" t="s">
        <v>606</v>
      </c>
      <c r="D12" s="267" t="s">
        <v>607</v>
      </c>
      <c r="E12" s="176"/>
      <c r="F12" s="268">
        <f t="shared" si="2"/>
        <v>1335.73</v>
      </c>
      <c r="G12" s="269"/>
      <c r="H12" s="269"/>
      <c r="I12" s="269"/>
      <c r="J12" s="269"/>
      <c r="K12" s="269"/>
      <c r="L12" s="269"/>
      <c r="M12" s="269"/>
      <c r="N12" s="270"/>
      <c r="O12" s="270"/>
      <c r="P12" s="270">
        <f>1335.73</f>
        <v>1335.73</v>
      </c>
      <c r="Q12" s="174"/>
      <c r="R12" s="174"/>
      <c r="S12" s="173"/>
      <c r="T12" s="172"/>
    </row>
    <row r="13" spans="1:48" s="171" customFormat="1" ht="15.75" x14ac:dyDescent="0.2">
      <c r="C13" s="169" t="s">
        <v>608</v>
      </c>
      <c r="D13" s="271" t="s">
        <v>609</v>
      </c>
      <c r="E13" s="166"/>
      <c r="F13" s="272">
        <f t="shared" ref="F13" si="7">SUM(G13:P13)</f>
        <v>217.7</v>
      </c>
      <c r="G13" s="269"/>
      <c r="H13" s="269"/>
      <c r="I13" s="269"/>
      <c r="J13" s="269"/>
      <c r="K13" s="269"/>
      <c r="L13" s="269"/>
      <c r="M13" s="269">
        <f>150</f>
        <v>150</v>
      </c>
      <c r="N13" s="270">
        <v>67.7</v>
      </c>
      <c r="O13" s="270"/>
      <c r="P13" s="273"/>
      <c r="Q13" s="174"/>
      <c r="R13" s="174"/>
      <c r="S13" s="173"/>
      <c r="T13" s="172"/>
    </row>
    <row r="14" spans="1:48" s="171" customFormat="1" ht="24.75" customHeight="1" x14ac:dyDescent="0.2">
      <c r="C14" s="169" t="s">
        <v>610</v>
      </c>
      <c r="D14" s="271" t="s">
        <v>611</v>
      </c>
      <c r="E14" s="166"/>
      <c r="F14" s="272">
        <f>SUM(G14:P14)</f>
        <v>10204.390820000001</v>
      </c>
      <c r="G14" s="269">
        <f>5.5+4+924.72</f>
        <v>934.22</v>
      </c>
      <c r="H14" s="269">
        <f>400+35+2+150+839.71122</f>
        <v>1426.7112200000001</v>
      </c>
      <c r="I14" s="269">
        <f>5.5+4+1022.48</f>
        <v>1031.98</v>
      </c>
      <c r="J14" s="269">
        <f>400+5.5+31.5684+103.231+100+100+442.544+37</f>
        <v>1219.8434</v>
      </c>
      <c r="K14" s="269">
        <f>400-150+2+201.539</f>
        <v>453.53899999999999</v>
      </c>
      <c r="L14" s="269">
        <f>250+2+320+432.544</f>
        <v>1004.544</v>
      </c>
      <c r="M14" s="269">
        <f>206.3044+11+3+1303.411</f>
        <v>1523.7154</v>
      </c>
      <c r="N14" s="270">
        <f>5+740.779</f>
        <v>745.779</v>
      </c>
      <c r="O14" s="270">
        <f>400+400+11+63.1368+10+669.743</f>
        <v>1553.8798000000002</v>
      </c>
      <c r="P14" s="273">
        <f>460.179-150</f>
        <v>310.17899999999997</v>
      </c>
      <c r="Q14" s="174"/>
      <c r="R14" s="174"/>
      <c r="S14" s="173"/>
      <c r="T14" s="172"/>
    </row>
    <row r="15" spans="1:48" s="281" customFormat="1" ht="24.75" hidden="1" customHeight="1" x14ac:dyDescent="0.25">
      <c r="C15" s="282"/>
      <c r="D15" s="283"/>
      <c r="E15" s="284"/>
      <c r="F15" s="285">
        <f>SUM(G15:P15)</f>
        <v>10204.390820000001</v>
      </c>
      <c r="G15" s="286">
        <f t="shared" ref="G15:S15" si="8">SUM(G16:G33)</f>
        <v>934.22</v>
      </c>
      <c r="H15" s="286">
        <f t="shared" si="8"/>
        <v>1426.7112200000001</v>
      </c>
      <c r="I15" s="286">
        <f t="shared" si="8"/>
        <v>1031.98</v>
      </c>
      <c r="J15" s="286">
        <f t="shared" si="8"/>
        <v>1219.8434</v>
      </c>
      <c r="K15" s="286">
        <f t="shared" si="8"/>
        <v>453.53899999999999</v>
      </c>
      <c r="L15" s="286">
        <f t="shared" si="8"/>
        <v>1004.544</v>
      </c>
      <c r="M15" s="286">
        <f t="shared" si="8"/>
        <v>1523.7154</v>
      </c>
      <c r="N15" s="286">
        <f t="shared" si="8"/>
        <v>745.779</v>
      </c>
      <c r="O15" s="286">
        <f t="shared" si="8"/>
        <v>1553.8798000000002</v>
      </c>
      <c r="P15" s="286">
        <f t="shared" si="8"/>
        <v>310.17899999999997</v>
      </c>
      <c r="Q15" s="286">
        <f t="shared" si="8"/>
        <v>0</v>
      </c>
      <c r="R15" s="286">
        <f t="shared" si="8"/>
        <v>0</v>
      </c>
      <c r="S15" s="286">
        <f t="shared" si="8"/>
        <v>0</v>
      </c>
      <c r="T15" s="287"/>
    </row>
    <row r="16" spans="1:48" s="171" customFormat="1" ht="24.75" customHeight="1" x14ac:dyDescent="0.2">
      <c r="C16" s="169" t="s">
        <v>622</v>
      </c>
      <c r="D16" s="267" t="s">
        <v>666</v>
      </c>
      <c r="E16" s="166"/>
      <c r="F16" s="272">
        <f t="shared" ref="F16:F33" si="9">SUM(G16:P16)</f>
        <v>38.5</v>
      </c>
      <c r="G16" s="269">
        <v>5.5</v>
      </c>
      <c r="H16" s="269"/>
      <c r="I16" s="269">
        <v>5.5</v>
      </c>
      <c r="J16" s="269">
        <v>5.5</v>
      </c>
      <c r="K16" s="269"/>
      <c r="L16" s="269"/>
      <c r="M16" s="269">
        <v>11</v>
      </c>
      <c r="N16" s="270"/>
      <c r="O16" s="270">
        <v>11</v>
      </c>
      <c r="P16" s="273"/>
      <c r="Q16" s="174"/>
      <c r="R16" s="174"/>
      <c r="S16" s="173"/>
      <c r="T16" s="172"/>
    </row>
    <row r="17" spans="3:20" s="171" customFormat="1" ht="24.75" customHeight="1" x14ac:dyDescent="0.2">
      <c r="C17" s="169" t="s">
        <v>682</v>
      </c>
      <c r="D17" s="267" t="s">
        <v>673</v>
      </c>
      <c r="E17" s="166"/>
      <c r="F17" s="272">
        <f t="shared" ref="F17:F22" si="10">SUM(G17:P17)</f>
        <v>36</v>
      </c>
      <c r="G17" s="269">
        <v>4</v>
      </c>
      <c r="H17" s="269">
        <v>10</v>
      </c>
      <c r="I17" s="269">
        <v>2</v>
      </c>
      <c r="J17" s="269">
        <v>4</v>
      </c>
      <c r="K17" s="269"/>
      <c r="L17" s="269"/>
      <c r="M17" s="269">
        <v>2</v>
      </c>
      <c r="N17" s="270">
        <v>2</v>
      </c>
      <c r="O17" s="270">
        <v>12</v>
      </c>
      <c r="P17" s="273"/>
      <c r="Q17" s="174"/>
      <c r="R17" s="174"/>
      <c r="S17" s="173"/>
      <c r="T17" s="172"/>
    </row>
    <row r="18" spans="3:20" s="171" customFormat="1" ht="24.75" customHeight="1" x14ac:dyDescent="0.2">
      <c r="C18" s="169" t="s">
        <v>623</v>
      </c>
      <c r="D18" s="267" t="s">
        <v>670</v>
      </c>
      <c r="E18" s="166"/>
      <c r="F18" s="272">
        <f t="shared" si="10"/>
        <v>34</v>
      </c>
      <c r="G18" s="269">
        <f>4</f>
        <v>4</v>
      </c>
      <c r="H18" s="269">
        <f>2</f>
        <v>2</v>
      </c>
      <c r="I18" s="269">
        <f>4</f>
        <v>4</v>
      </c>
      <c r="J18" s="269">
        <f>2</f>
        <v>2</v>
      </c>
      <c r="K18" s="269">
        <f>2</f>
        <v>2</v>
      </c>
      <c r="L18" s="269">
        <f>2</f>
        <v>2</v>
      </c>
      <c r="M18" s="269">
        <f>3</f>
        <v>3</v>
      </c>
      <c r="N18" s="270">
        <f>5</f>
        <v>5</v>
      </c>
      <c r="O18" s="270">
        <f>10</f>
        <v>10</v>
      </c>
      <c r="P18" s="273"/>
      <c r="Q18" s="174"/>
      <c r="R18" s="174"/>
      <c r="S18" s="173"/>
      <c r="T18" s="172"/>
    </row>
    <row r="19" spans="3:20" s="171" customFormat="1" ht="36.75" customHeight="1" x14ac:dyDescent="0.2">
      <c r="C19" s="169" t="s">
        <v>624</v>
      </c>
      <c r="D19" s="267" t="s">
        <v>667</v>
      </c>
      <c r="E19" s="166"/>
      <c r="F19" s="268">
        <f t="shared" si="10"/>
        <v>340.82899999999995</v>
      </c>
      <c r="G19" s="269">
        <v>0.72</v>
      </c>
      <c r="H19" s="269">
        <f>3.744+31.67+150+79</f>
        <v>264.41399999999999</v>
      </c>
      <c r="I19" s="269">
        <v>0.48</v>
      </c>
      <c r="J19" s="269">
        <v>8.5440000000000005</v>
      </c>
      <c r="K19" s="269">
        <v>1.5389999999999999</v>
      </c>
      <c r="L19" s="269">
        <v>2.544</v>
      </c>
      <c r="M19" s="269">
        <f>0.48+40.31</f>
        <v>40.79</v>
      </c>
      <c r="N19" s="270">
        <v>1.7789999999999999</v>
      </c>
      <c r="O19" s="270">
        <v>9.84</v>
      </c>
      <c r="P19" s="273">
        <v>10.179</v>
      </c>
      <c r="Q19" s="174"/>
      <c r="R19" s="174"/>
      <c r="S19" s="173"/>
      <c r="T19" s="172"/>
    </row>
    <row r="20" spans="3:20" s="171" customFormat="1" ht="54" customHeight="1" x14ac:dyDescent="0.2">
      <c r="C20" s="169" t="s">
        <v>625</v>
      </c>
      <c r="D20" s="267" t="s">
        <v>645</v>
      </c>
      <c r="E20" s="166"/>
      <c r="F20" s="288">
        <f t="shared" si="10"/>
        <v>137</v>
      </c>
      <c r="G20" s="269">
        <f>50+50</f>
        <v>100</v>
      </c>
      <c r="H20" s="269"/>
      <c r="I20" s="269"/>
      <c r="J20" s="269">
        <v>37</v>
      </c>
      <c r="K20" s="269"/>
      <c r="L20" s="269"/>
      <c r="M20" s="269"/>
      <c r="N20" s="270"/>
      <c r="O20" s="270"/>
      <c r="P20" s="273"/>
      <c r="Q20" s="174"/>
      <c r="R20" s="174"/>
      <c r="S20" s="173"/>
      <c r="T20" s="172"/>
    </row>
    <row r="21" spans="3:20" s="171" customFormat="1" ht="25.5" customHeight="1" x14ac:dyDescent="0.2">
      <c r="C21" s="169" t="s">
        <v>626</v>
      </c>
      <c r="D21" s="267" t="s">
        <v>668</v>
      </c>
      <c r="E21" s="166"/>
      <c r="F21" s="272">
        <f t="shared" si="10"/>
        <v>480.00242000000003</v>
      </c>
      <c r="G21" s="269"/>
      <c r="H21" s="269">
        <v>135.29722000000001</v>
      </c>
      <c r="I21" s="269"/>
      <c r="J21" s="269">
        <f>31.5684</f>
        <v>31.5684</v>
      </c>
      <c r="K21" s="269"/>
      <c r="L21" s="269">
        <f>250</f>
        <v>250</v>
      </c>
      <c r="M21" s="269"/>
      <c r="N21" s="270"/>
      <c r="O21" s="270">
        <v>63.136800000000001</v>
      </c>
      <c r="P21" s="273"/>
      <c r="Q21" s="174"/>
      <c r="R21" s="174"/>
      <c r="S21" s="173"/>
      <c r="T21" s="172"/>
    </row>
    <row r="22" spans="3:20" s="171" customFormat="1" ht="24.75" customHeight="1" x14ac:dyDescent="0.2">
      <c r="C22" s="169" t="s">
        <v>627</v>
      </c>
      <c r="D22" s="267" t="s">
        <v>676</v>
      </c>
      <c r="E22" s="166"/>
      <c r="F22" s="272">
        <f t="shared" si="10"/>
        <v>110</v>
      </c>
      <c r="G22" s="269">
        <v>110</v>
      </c>
      <c r="H22" s="269"/>
      <c r="I22" s="269"/>
      <c r="J22" s="269"/>
      <c r="K22" s="269"/>
      <c r="L22" s="269"/>
      <c r="M22" s="269"/>
      <c r="N22" s="270"/>
      <c r="O22" s="270"/>
      <c r="P22" s="273"/>
      <c r="Q22" s="174"/>
      <c r="R22" s="174"/>
      <c r="S22" s="173"/>
      <c r="T22" s="172"/>
    </row>
    <row r="23" spans="3:20" s="171" customFormat="1" ht="24.75" customHeight="1" x14ac:dyDescent="0.2">
      <c r="C23" s="169" t="s">
        <v>683</v>
      </c>
      <c r="D23" s="267" t="s">
        <v>672</v>
      </c>
      <c r="E23" s="166"/>
      <c r="F23" s="272">
        <f t="shared" si="9"/>
        <v>676.30439999999999</v>
      </c>
      <c r="G23" s="269"/>
      <c r="H23" s="269"/>
      <c r="I23" s="269"/>
      <c r="J23" s="269"/>
      <c r="K23" s="269"/>
      <c r="L23" s="269">
        <f>300+20</f>
        <v>320</v>
      </c>
      <c r="M23" s="269">
        <v>206.30439999999999</v>
      </c>
      <c r="N23" s="270"/>
      <c r="O23" s="270"/>
      <c r="P23" s="273">
        <f>200-50</f>
        <v>150</v>
      </c>
      <c r="Q23" s="174"/>
      <c r="R23" s="174"/>
      <c r="S23" s="173"/>
      <c r="T23" s="172"/>
    </row>
    <row r="24" spans="3:20" s="171" customFormat="1" ht="24.75" customHeight="1" x14ac:dyDescent="0.2">
      <c r="C24" s="169" t="s">
        <v>628</v>
      </c>
      <c r="D24" s="267" t="s">
        <v>669</v>
      </c>
      <c r="E24" s="166"/>
      <c r="F24" s="272">
        <f t="shared" ref="F24" si="11">SUM(G24:P24)</f>
        <v>101.23099999999999</v>
      </c>
      <c r="G24" s="269"/>
      <c r="H24" s="269"/>
      <c r="I24" s="269"/>
      <c r="J24" s="269">
        <v>101.23099999999999</v>
      </c>
      <c r="K24" s="269"/>
      <c r="L24" s="269"/>
      <c r="M24" s="269"/>
      <c r="N24" s="270"/>
      <c r="O24" s="270"/>
      <c r="P24" s="273"/>
      <c r="Q24" s="174"/>
      <c r="R24" s="174"/>
      <c r="S24" s="173"/>
      <c r="T24" s="172"/>
    </row>
    <row r="25" spans="3:20" s="171" customFormat="1" ht="24.75" customHeight="1" x14ac:dyDescent="0.2">
      <c r="C25" s="169" t="s">
        <v>629</v>
      </c>
      <c r="D25" s="267" t="s">
        <v>674</v>
      </c>
      <c r="E25" s="166"/>
      <c r="F25" s="272">
        <f t="shared" si="9"/>
        <v>337.90300000000002</v>
      </c>
      <c r="G25" s="269"/>
      <c r="H25" s="269"/>
      <c r="I25" s="269"/>
      <c r="J25" s="269"/>
      <c r="K25" s="269"/>
      <c r="L25" s="269"/>
      <c r="M25" s="269"/>
      <c r="N25" s="270"/>
      <c r="O25" s="270">
        <v>337.90300000000002</v>
      </c>
      <c r="P25" s="273"/>
      <c r="Q25" s="174"/>
      <c r="R25" s="174"/>
      <c r="S25" s="173"/>
      <c r="T25" s="172"/>
    </row>
    <row r="26" spans="3:20" s="171" customFormat="1" ht="24.75" customHeight="1" x14ac:dyDescent="0.2">
      <c r="C26" s="169" t="s">
        <v>630</v>
      </c>
      <c r="D26" s="267" t="s">
        <v>675</v>
      </c>
      <c r="E26" s="166"/>
      <c r="F26" s="272">
        <f t="shared" si="9"/>
        <v>60</v>
      </c>
      <c r="G26" s="269"/>
      <c r="H26" s="269"/>
      <c r="I26" s="269"/>
      <c r="J26" s="269"/>
      <c r="K26" s="269"/>
      <c r="L26" s="269"/>
      <c r="M26" s="269"/>
      <c r="N26" s="270"/>
      <c r="O26" s="270">
        <v>60</v>
      </c>
      <c r="P26" s="273"/>
      <c r="Q26" s="174"/>
      <c r="R26" s="174"/>
      <c r="S26" s="173"/>
      <c r="T26" s="172"/>
    </row>
    <row r="27" spans="3:20" s="171" customFormat="1" ht="24.75" customHeight="1" x14ac:dyDescent="0.2">
      <c r="C27" s="169" t="s">
        <v>631</v>
      </c>
      <c r="D27" s="267" t="s">
        <v>641</v>
      </c>
      <c r="E27" s="166"/>
      <c r="F27" s="272">
        <f t="shared" si="9"/>
        <v>300</v>
      </c>
      <c r="G27" s="269"/>
      <c r="H27" s="269">
        <v>300</v>
      </c>
      <c r="I27" s="269"/>
      <c r="J27" s="269"/>
      <c r="K27" s="269"/>
      <c r="L27" s="269"/>
      <c r="M27" s="269"/>
      <c r="N27" s="270"/>
      <c r="O27" s="270"/>
      <c r="P27" s="273"/>
      <c r="Q27" s="174"/>
      <c r="R27" s="174"/>
      <c r="S27" s="173"/>
      <c r="T27" s="172"/>
    </row>
    <row r="28" spans="3:20" s="171" customFormat="1" ht="34.5" customHeight="1" x14ac:dyDescent="0.2">
      <c r="C28" s="169" t="s">
        <v>632</v>
      </c>
      <c r="D28" s="267" t="s">
        <v>680</v>
      </c>
      <c r="E28" s="166"/>
      <c r="F28" s="272">
        <f t="shared" si="9"/>
        <v>35</v>
      </c>
      <c r="G28" s="269"/>
      <c r="H28" s="269">
        <v>35</v>
      </c>
      <c r="I28" s="269"/>
      <c r="J28" s="269"/>
      <c r="K28" s="269"/>
      <c r="L28" s="269"/>
      <c r="M28" s="289"/>
      <c r="N28" s="270"/>
      <c r="O28" s="270"/>
      <c r="P28" s="273"/>
      <c r="Q28" s="174"/>
      <c r="R28" s="174"/>
      <c r="S28" s="173"/>
      <c r="T28" s="172"/>
    </row>
    <row r="29" spans="3:20" s="171" customFormat="1" ht="24.75" customHeight="1" x14ac:dyDescent="0.2">
      <c r="C29" s="169" t="s">
        <v>633</v>
      </c>
      <c r="D29" s="267" t="s">
        <v>643</v>
      </c>
      <c r="E29" s="166"/>
      <c r="F29" s="272">
        <f t="shared" si="9"/>
        <v>180.62099999999998</v>
      </c>
      <c r="G29" s="269"/>
      <c r="H29" s="269"/>
      <c r="I29" s="269"/>
      <c r="J29" s="269">
        <v>100</v>
      </c>
      <c r="K29" s="269"/>
      <c r="L29" s="269"/>
      <c r="M29" s="289">
        <v>80.620999999999995</v>
      </c>
      <c r="N29" s="270"/>
      <c r="O29" s="270"/>
      <c r="P29" s="273"/>
      <c r="Q29" s="174"/>
      <c r="R29" s="174"/>
      <c r="S29" s="173"/>
      <c r="T29" s="172"/>
    </row>
    <row r="30" spans="3:20" s="171" customFormat="1" ht="43.5" customHeight="1" x14ac:dyDescent="0.2">
      <c r="C30" s="169" t="s">
        <v>634</v>
      </c>
      <c r="D30" s="267" t="s">
        <v>677</v>
      </c>
      <c r="E30" s="166"/>
      <c r="F30" s="272">
        <f t="shared" ref="F30:F32" si="12">SUM(G30:P30)</f>
        <v>70</v>
      </c>
      <c r="G30" s="269"/>
      <c r="H30" s="269"/>
      <c r="I30" s="269">
        <v>70</v>
      </c>
      <c r="J30" s="269"/>
      <c r="K30" s="269"/>
      <c r="L30" s="269"/>
      <c r="M30" s="269"/>
      <c r="N30" s="270"/>
      <c r="O30" s="270"/>
      <c r="P30" s="273"/>
      <c r="Q30" s="174"/>
      <c r="R30" s="174"/>
      <c r="S30" s="173"/>
      <c r="T30" s="172"/>
    </row>
    <row r="31" spans="3:20" s="171" customFormat="1" ht="24.75" customHeight="1" x14ac:dyDescent="0.2">
      <c r="C31" s="169" t="s">
        <v>635</v>
      </c>
      <c r="D31" s="267" t="s">
        <v>678</v>
      </c>
      <c r="E31" s="166"/>
      <c r="F31" s="272">
        <f t="shared" si="12"/>
        <v>517</v>
      </c>
      <c r="G31" s="269"/>
      <c r="H31" s="269">
        <v>30</v>
      </c>
      <c r="I31" s="269"/>
      <c r="J31" s="269"/>
      <c r="K31" s="269"/>
      <c r="L31" s="269">
        <v>100</v>
      </c>
      <c r="M31" s="269"/>
      <c r="N31" s="270">
        <v>387</v>
      </c>
      <c r="O31" s="270"/>
      <c r="P31" s="273"/>
      <c r="Q31" s="174"/>
      <c r="R31" s="174"/>
      <c r="S31" s="173"/>
      <c r="T31" s="172"/>
    </row>
    <row r="32" spans="3:20" s="171" customFormat="1" ht="24.75" customHeight="1" x14ac:dyDescent="0.2">
      <c r="C32" s="169" t="s">
        <v>642</v>
      </c>
      <c r="D32" s="267" t="s">
        <v>671</v>
      </c>
      <c r="E32" s="166"/>
      <c r="F32" s="272">
        <f t="shared" si="12"/>
        <v>1950</v>
      </c>
      <c r="G32" s="269"/>
      <c r="H32" s="269">
        <f>400</f>
        <v>400</v>
      </c>
      <c r="I32" s="269"/>
      <c r="J32" s="269">
        <f>350+150</f>
        <v>500</v>
      </c>
      <c r="K32" s="269">
        <f>-150+400</f>
        <v>250</v>
      </c>
      <c r="L32" s="269"/>
      <c r="M32" s="269"/>
      <c r="N32" s="270"/>
      <c r="O32" s="270">
        <f>800</f>
        <v>800</v>
      </c>
      <c r="P32" s="273"/>
      <c r="Q32" s="174"/>
      <c r="R32" s="174"/>
      <c r="S32" s="173"/>
      <c r="T32" s="172"/>
    </row>
    <row r="33" spans="3:48" s="171" customFormat="1" ht="39" customHeight="1" x14ac:dyDescent="0.2">
      <c r="C33" s="169" t="s">
        <v>644</v>
      </c>
      <c r="D33" s="267" t="s">
        <v>679</v>
      </c>
      <c r="E33" s="166"/>
      <c r="F33" s="272">
        <f t="shared" si="9"/>
        <v>4800</v>
      </c>
      <c r="G33" s="269">
        <v>710</v>
      </c>
      <c r="H33" s="269">
        <v>250</v>
      </c>
      <c r="I33" s="269">
        <v>950</v>
      </c>
      <c r="J33" s="269">
        <v>430</v>
      </c>
      <c r="K33" s="269">
        <v>200</v>
      </c>
      <c r="L33" s="269">
        <v>330</v>
      </c>
      <c r="M33" s="269">
        <v>1180</v>
      </c>
      <c r="N33" s="270">
        <v>350</v>
      </c>
      <c r="O33" s="270">
        <v>250</v>
      </c>
      <c r="P33" s="273">
        <f>250-100</f>
        <v>150</v>
      </c>
      <c r="Q33" s="174"/>
      <c r="R33" s="174"/>
      <c r="S33" s="173"/>
      <c r="T33" s="172"/>
    </row>
    <row r="34" spans="3:48" s="171" customFormat="1" ht="36" x14ac:dyDescent="0.2">
      <c r="C34" s="169" t="s">
        <v>612</v>
      </c>
      <c r="D34" s="271" t="s">
        <v>509</v>
      </c>
      <c r="E34" s="166"/>
      <c r="F34" s="272">
        <f>SUM(G34:P34)</f>
        <v>318.00000000000006</v>
      </c>
      <c r="G34" s="269">
        <v>31.8</v>
      </c>
      <c r="H34" s="269">
        <v>31.8</v>
      </c>
      <c r="I34" s="269">
        <v>31.8</v>
      </c>
      <c r="J34" s="269">
        <v>31.8</v>
      </c>
      <c r="K34" s="269">
        <v>31.8</v>
      </c>
      <c r="L34" s="269">
        <v>26.8</v>
      </c>
      <c r="M34" s="269">
        <v>26.8</v>
      </c>
      <c r="N34" s="270">
        <v>31.8</v>
      </c>
      <c r="O34" s="270">
        <v>31.8</v>
      </c>
      <c r="P34" s="273">
        <v>41.8</v>
      </c>
      <c r="Q34" s="174"/>
      <c r="R34" s="174"/>
      <c r="S34" s="173"/>
      <c r="T34" s="172"/>
    </row>
    <row r="35" spans="3:48" s="171" customFormat="1" ht="51" x14ac:dyDescent="0.2">
      <c r="C35" s="168" t="s">
        <v>568</v>
      </c>
      <c r="D35" s="266" t="s">
        <v>613</v>
      </c>
      <c r="E35" s="176"/>
      <c r="F35" s="263">
        <f>SUM(G35:P35)</f>
        <v>2718.2482499999996</v>
      </c>
      <c r="G35" s="265">
        <f>G36+G37</f>
        <v>303</v>
      </c>
      <c r="H35" s="265">
        <f t="shared" ref="H35:P35" si="13">H36+H37</f>
        <v>410.04825</v>
      </c>
      <c r="I35" s="265">
        <f t="shared" si="13"/>
        <v>258</v>
      </c>
      <c r="J35" s="265">
        <f t="shared" si="13"/>
        <v>302</v>
      </c>
      <c r="K35" s="265">
        <f t="shared" si="13"/>
        <v>69</v>
      </c>
      <c r="L35" s="265">
        <f t="shared" si="13"/>
        <v>396</v>
      </c>
      <c r="M35" s="265">
        <f t="shared" si="13"/>
        <v>117</v>
      </c>
      <c r="N35" s="265">
        <f t="shared" si="13"/>
        <v>225</v>
      </c>
      <c r="O35" s="265">
        <f t="shared" si="13"/>
        <v>638.20000000000005</v>
      </c>
      <c r="P35" s="265">
        <f t="shared" si="13"/>
        <v>0</v>
      </c>
      <c r="Q35" s="174"/>
      <c r="R35" s="174"/>
      <c r="S35" s="173"/>
      <c r="T35" s="172"/>
    </row>
    <row r="36" spans="3:48" s="171" customFormat="1" ht="76.5" x14ac:dyDescent="0.2">
      <c r="C36" s="169" t="s">
        <v>614</v>
      </c>
      <c r="D36" s="170" t="s">
        <v>615</v>
      </c>
      <c r="E36" s="166"/>
      <c r="F36" s="268">
        <f>SUM(G36:P36)</f>
        <v>2289</v>
      </c>
      <c r="G36" s="269">
        <v>255</v>
      </c>
      <c r="H36" s="269">
        <v>258</v>
      </c>
      <c r="I36" s="269">
        <v>183</v>
      </c>
      <c r="J36" s="269">
        <v>252</v>
      </c>
      <c r="K36" s="269">
        <v>69</v>
      </c>
      <c r="L36" s="269">
        <f>66+300</f>
        <v>366</v>
      </c>
      <c r="M36" s="269">
        <f>117</f>
        <v>117</v>
      </c>
      <c r="N36" s="270">
        <v>195</v>
      </c>
      <c r="O36" s="270">
        <v>594</v>
      </c>
      <c r="P36" s="273">
        <f>1011-1011</f>
        <v>0</v>
      </c>
      <c r="Q36" s="174"/>
      <c r="R36" s="174"/>
      <c r="S36" s="173"/>
      <c r="T36" s="172"/>
    </row>
    <row r="37" spans="3:48" s="171" customFormat="1" ht="63.75" x14ac:dyDescent="0.2">
      <c r="C37" s="169" t="s">
        <v>616</v>
      </c>
      <c r="D37" s="170" t="s">
        <v>564</v>
      </c>
      <c r="E37" s="166"/>
      <c r="F37" s="268">
        <f>SUM(G37:P37)</f>
        <v>429.24824999999998</v>
      </c>
      <c r="G37" s="269">
        <v>48</v>
      </c>
      <c r="H37" s="269">
        <f>62.04825+90</f>
        <v>152.04825</v>
      </c>
      <c r="I37" s="269">
        <f>35+40</f>
        <v>75</v>
      </c>
      <c r="J37" s="269">
        <f>40.93135+50-40.93135</f>
        <v>50.000000000000007</v>
      </c>
      <c r="K37" s="269">
        <f>50-50</f>
        <v>0</v>
      </c>
      <c r="L37" s="269">
        <v>30</v>
      </c>
      <c r="M37" s="269"/>
      <c r="N37" s="270">
        <f>60-30</f>
        <v>30</v>
      </c>
      <c r="O37" s="270">
        <f>100-55.8</f>
        <v>44.2</v>
      </c>
      <c r="P37" s="273"/>
      <c r="Q37" s="174"/>
      <c r="R37" s="174"/>
      <c r="S37" s="173"/>
      <c r="T37" s="172"/>
    </row>
    <row r="38" spans="3:48" s="171" customFormat="1" ht="15.75" x14ac:dyDescent="0.2">
      <c r="C38" s="168" t="s">
        <v>567</v>
      </c>
      <c r="D38" s="167" t="s">
        <v>617</v>
      </c>
      <c r="E38" s="176"/>
      <c r="F38" s="274">
        <f t="shared" ref="F38:H38" si="14">SUM(F39:F41)</f>
        <v>14154.194500000001</v>
      </c>
      <c r="G38" s="274">
        <f t="shared" si="14"/>
        <v>1516.057</v>
      </c>
      <c r="H38" s="274">
        <f t="shared" si="14"/>
        <v>2364.4320000000002</v>
      </c>
      <c r="I38" s="274">
        <f>SUM(I39:I41)</f>
        <v>1722.2530000000002</v>
      </c>
      <c r="J38" s="274">
        <f t="shared" ref="J38:P38" si="15">SUM(J39:J41)</f>
        <v>2085.6869999999999</v>
      </c>
      <c r="K38" s="274">
        <f t="shared" si="15"/>
        <v>883.55100000000004</v>
      </c>
      <c r="L38" s="274">
        <f t="shared" si="15"/>
        <v>846.48700000000008</v>
      </c>
      <c r="M38" s="274">
        <f t="shared" si="15"/>
        <v>898.25400000000002</v>
      </c>
      <c r="N38" s="274">
        <f t="shared" si="15"/>
        <v>1389.104</v>
      </c>
      <c r="O38" s="274">
        <f t="shared" si="15"/>
        <v>1835.164</v>
      </c>
      <c r="P38" s="274">
        <f t="shared" si="15"/>
        <v>613.20550000000003</v>
      </c>
      <c r="Q38" s="174"/>
      <c r="R38" s="174"/>
      <c r="S38" s="173"/>
      <c r="T38" s="172"/>
    </row>
    <row r="39" spans="3:48" s="171" customFormat="1" ht="25.5" x14ac:dyDescent="0.2">
      <c r="C39" s="169" t="s">
        <v>566</v>
      </c>
      <c r="D39" s="267" t="s">
        <v>618</v>
      </c>
      <c r="E39" s="176"/>
      <c r="F39" s="268">
        <f>SUM(G39:P39)</f>
        <v>13364.944000000001</v>
      </c>
      <c r="G39" s="275">
        <f>1328.3+187.757</f>
        <v>1516.057</v>
      </c>
      <c r="H39" s="275">
        <f>2217.8+146.632</f>
        <v>2364.4320000000002</v>
      </c>
      <c r="I39" s="275">
        <f>1044.2+178.053</f>
        <v>1222.2530000000002</v>
      </c>
      <c r="J39" s="275">
        <f>1949.5+136.187</f>
        <v>2085.6869999999999</v>
      </c>
      <c r="K39" s="275">
        <f>807.6+75.951</f>
        <v>883.55100000000004</v>
      </c>
      <c r="L39" s="275">
        <f>786.1+60.387</f>
        <v>846.48700000000008</v>
      </c>
      <c r="M39" s="275">
        <f>765.5+132.754</f>
        <v>898.25400000000002</v>
      </c>
      <c r="N39" s="276">
        <f>1298.4+90.704</f>
        <v>1389.104</v>
      </c>
      <c r="O39" s="276">
        <f>1686.7+148.464</f>
        <v>1835.164</v>
      </c>
      <c r="P39" s="276">
        <f>270.7+53.255</f>
        <v>323.95499999999998</v>
      </c>
      <c r="Q39" s="174"/>
      <c r="R39" s="174"/>
      <c r="S39" s="173"/>
      <c r="T39" s="172"/>
    </row>
    <row r="40" spans="3:48" s="171" customFormat="1" ht="15.75" x14ac:dyDescent="0.2">
      <c r="C40" s="169" t="s">
        <v>565</v>
      </c>
      <c r="D40" s="3" t="s">
        <v>619</v>
      </c>
      <c r="E40" s="166"/>
      <c r="F40" s="272">
        <f>SUM(G40:P40)</f>
        <v>289.25049999999999</v>
      </c>
      <c r="G40" s="269"/>
      <c r="H40" s="269"/>
      <c r="I40" s="269"/>
      <c r="J40" s="269"/>
      <c r="K40" s="269"/>
      <c r="L40" s="269"/>
      <c r="M40" s="269">
        <f>10108.9+206.3-10315.2</f>
        <v>0</v>
      </c>
      <c r="N40" s="270"/>
      <c r="O40" s="270"/>
      <c r="P40" s="273">
        <v>289.25049999999999</v>
      </c>
      <c r="Q40" s="174"/>
      <c r="R40" s="174"/>
      <c r="S40" s="173"/>
      <c r="T40" s="172"/>
    </row>
    <row r="41" spans="3:48" s="171" customFormat="1" ht="36" x14ac:dyDescent="0.2">
      <c r="C41" s="169" t="s">
        <v>620</v>
      </c>
      <c r="D41" s="3" t="s">
        <v>621</v>
      </c>
      <c r="E41" s="166"/>
      <c r="F41" s="272">
        <f>SUM(G41:P41)</f>
        <v>500</v>
      </c>
      <c r="G41" s="269"/>
      <c r="H41" s="269"/>
      <c r="I41" s="269">
        <v>500</v>
      </c>
      <c r="J41" s="269"/>
      <c r="K41" s="269"/>
      <c r="L41" s="269"/>
      <c r="M41" s="269"/>
      <c r="N41" s="270"/>
      <c r="O41" s="270"/>
      <c r="P41" s="273"/>
      <c r="Q41" s="174"/>
      <c r="R41" s="174"/>
      <c r="S41" s="173"/>
      <c r="T41" s="172"/>
    </row>
    <row r="42" spans="3:48" s="171" customFormat="1" ht="15" thickBot="1" x14ac:dyDescent="0.25">
      <c r="C42" s="162"/>
      <c r="D42" s="162" t="s">
        <v>563</v>
      </c>
      <c r="E42" s="162"/>
      <c r="F42" s="277">
        <f>F7</f>
        <v>54842.163570000004</v>
      </c>
      <c r="G42" s="278">
        <f t="shared" ref="G42:P42" si="16">G7</f>
        <v>5802.6869999999999</v>
      </c>
      <c r="H42" s="278">
        <f t="shared" si="16"/>
        <v>7213.331470000001</v>
      </c>
      <c r="I42" s="278">
        <f t="shared" si="16"/>
        <v>5400.1530000000002</v>
      </c>
      <c r="J42" s="278">
        <f t="shared" si="16"/>
        <v>6625.3603999999996</v>
      </c>
      <c r="K42" s="278">
        <f t="shared" si="16"/>
        <v>3299.08</v>
      </c>
      <c r="L42" s="278">
        <f t="shared" si="16"/>
        <v>4809.4310000000005</v>
      </c>
      <c r="M42" s="278">
        <f t="shared" si="16"/>
        <v>5083.2194</v>
      </c>
      <c r="N42" s="278">
        <f t="shared" si="16"/>
        <v>5349.643</v>
      </c>
      <c r="O42" s="278">
        <f t="shared" si="16"/>
        <v>8008.3437999999996</v>
      </c>
      <c r="P42" s="278">
        <f t="shared" si="16"/>
        <v>3250.9144999999999</v>
      </c>
      <c r="Q42" s="174"/>
      <c r="R42" s="174"/>
      <c r="S42" s="173"/>
      <c r="T42" s="172"/>
    </row>
    <row r="43" spans="3:48" ht="13.5" thickBot="1" x14ac:dyDescent="0.25">
      <c r="C43" s="155"/>
      <c r="D43" s="155"/>
      <c r="E43" s="155"/>
      <c r="F43" s="290">
        <v>54842.163569999997</v>
      </c>
      <c r="G43" s="161"/>
      <c r="H43" s="155"/>
      <c r="I43" s="155"/>
      <c r="J43" s="155"/>
      <c r="K43" s="155"/>
      <c r="L43" s="155"/>
      <c r="M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</row>
    <row r="44" spans="3:48" x14ac:dyDescent="0.2">
      <c r="F44" s="161">
        <f>F42-F43</f>
        <v>0</v>
      </c>
    </row>
    <row r="46" spans="3:48" x14ac:dyDescent="0.2">
      <c r="F46" s="161">
        <f>F14-F15</f>
        <v>0</v>
      </c>
    </row>
  </sheetData>
  <mergeCells count="6"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5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view="pageBreakPreview" zoomScaleNormal="100" zoomScaleSheetLayoutView="100" workbookViewId="0">
      <selection activeCell="H1" sqref="H1:J1"/>
    </sheetView>
  </sheetViews>
  <sheetFormatPr defaultRowHeight="15" x14ac:dyDescent="0.25"/>
  <cols>
    <col min="1" max="1" width="47" style="125" customWidth="1"/>
    <col min="2" max="2" width="12" style="125" customWidth="1"/>
    <col min="3" max="4" width="13.140625" style="125" customWidth="1"/>
    <col min="5" max="6" width="11.140625" customWidth="1"/>
    <col min="7" max="7" width="12" customWidth="1"/>
    <col min="8" max="8" width="11.5703125" style="124" bestFit="1" customWidth="1"/>
    <col min="9" max="9" width="12.140625" style="124" bestFit="1" customWidth="1"/>
    <col min="10" max="10" width="11" style="124" bestFit="1" customWidth="1"/>
    <col min="251" max="251" width="36.85546875" customWidth="1"/>
    <col min="252" max="252" width="12" customWidth="1"/>
    <col min="253" max="253" width="19.7109375" customWidth="1"/>
    <col min="254" max="254" width="38.85546875" customWidth="1"/>
    <col min="507" max="507" width="36.85546875" customWidth="1"/>
    <col min="508" max="508" width="12" customWidth="1"/>
    <col min="509" max="509" width="19.7109375" customWidth="1"/>
    <col min="510" max="510" width="38.85546875" customWidth="1"/>
    <col min="763" max="763" width="36.85546875" customWidth="1"/>
    <col min="764" max="764" width="12" customWidth="1"/>
    <col min="765" max="765" width="19.7109375" customWidth="1"/>
    <col min="766" max="766" width="38.85546875" customWidth="1"/>
    <col min="1019" max="1019" width="36.85546875" customWidth="1"/>
    <col min="1020" max="1020" width="12" customWidth="1"/>
    <col min="1021" max="1021" width="19.7109375" customWidth="1"/>
    <col min="1022" max="1022" width="38.85546875" customWidth="1"/>
    <col min="1275" max="1275" width="36.85546875" customWidth="1"/>
    <col min="1276" max="1276" width="12" customWidth="1"/>
    <col min="1277" max="1277" width="19.7109375" customWidth="1"/>
    <col min="1278" max="1278" width="38.85546875" customWidth="1"/>
    <col min="1531" max="1531" width="36.85546875" customWidth="1"/>
    <col min="1532" max="1532" width="12" customWidth="1"/>
    <col min="1533" max="1533" width="19.7109375" customWidth="1"/>
    <col min="1534" max="1534" width="38.85546875" customWidth="1"/>
    <col min="1787" max="1787" width="36.85546875" customWidth="1"/>
    <col min="1788" max="1788" width="12" customWidth="1"/>
    <col min="1789" max="1789" width="19.7109375" customWidth="1"/>
    <col min="1790" max="1790" width="38.85546875" customWidth="1"/>
    <col min="2043" max="2043" width="36.85546875" customWidth="1"/>
    <col min="2044" max="2044" width="12" customWidth="1"/>
    <col min="2045" max="2045" width="19.7109375" customWidth="1"/>
    <col min="2046" max="2046" width="38.85546875" customWidth="1"/>
    <col min="2299" max="2299" width="36.85546875" customWidth="1"/>
    <col min="2300" max="2300" width="12" customWidth="1"/>
    <col min="2301" max="2301" width="19.7109375" customWidth="1"/>
    <col min="2302" max="2302" width="38.85546875" customWidth="1"/>
    <col min="2555" max="2555" width="36.85546875" customWidth="1"/>
    <col min="2556" max="2556" width="12" customWidth="1"/>
    <col min="2557" max="2557" width="19.7109375" customWidth="1"/>
    <col min="2558" max="2558" width="38.85546875" customWidth="1"/>
    <col min="2811" max="2811" width="36.85546875" customWidth="1"/>
    <col min="2812" max="2812" width="12" customWidth="1"/>
    <col min="2813" max="2813" width="19.7109375" customWidth="1"/>
    <col min="2814" max="2814" width="38.85546875" customWidth="1"/>
    <col min="3067" max="3067" width="36.85546875" customWidth="1"/>
    <col min="3068" max="3068" width="12" customWidth="1"/>
    <col min="3069" max="3069" width="19.7109375" customWidth="1"/>
    <col min="3070" max="3070" width="38.85546875" customWidth="1"/>
    <col min="3323" max="3323" width="36.85546875" customWidth="1"/>
    <col min="3324" max="3324" width="12" customWidth="1"/>
    <col min="3325" max="3325" width="19.7109375" customWidth="1"/>
    <col min="3326" max="3326" width="38.85546875" customWidth="1"/>
    <col min="3579" max="3579" width="36.85546875" customWidth="1"/>
    <col min="3580" max="3580" width="12" customWidth="1"/>
    <col min="3581" max="3581" width="19.7109375" customWidth="1"/>
    <col min="3582" max="3582" width="38.85546875" customWidth="1"/>
    <col min="3835" max="3835" width="36.85546875" customWidth="1"/>
    <col min="3836" max="3836" width="12" customWidth="1"/>
    <col min="3837" max="3837" width="19.7109375" customWidth="1"/>
    <col min="3838" max="3838" width="38.85546875" customWidth="1"/>
    <col min="4091" max="4091" width="36.85546875" customWidth="1"/>
    <col min="4092" max="4092" width="12" customWidth="1"/>
    <col min="4093" max="4093" width="19.7109375" customWidth="1"/>
    <col min="4094" max="4094" width="38.85546875" customWidth="1"/>
    <col min="4347" max="4347" width="36.85546875" customWidth="1"/>
    <col min="4348" max="4348" width="12" customWidth="1"/>
    <col min="4349" max="4349" width="19.7109375" customWidth="1"/>
    <col min="4350" max="4350" width="38.85546875" customWidth="1"/>
    <col min="4603" max="4603" width="36.85546875" customWidth="1"/>
    <col min="4604" max="4604" width="12" customWidth="1"/>
    <col min="4605" max="4605" width="19.7109375" customWidth="1"/>
    <col min="4606" max="4606" width="38.85546875" customWidth="1"/>
    <col min="4859" max="4859" width="36.85546875" customWidth="1"/>
    <col min="4860" max="4860" width="12" customWidth="1"/>
    <col min="4861" max="4861" width="19.7109375" customWidth="1"/>
    <col min="4862" max="4862" width="38.85546875" customWidth="1"/>
    <col min="5115" max="5115" width="36.85546875" customWidth="1"/>
    <col min="5116" max="5116" width="12" customWidth="1"/>
    <col min="5117" max="5117" width="19.7109375" customWidth="1"/>
    <col min="5118" max="5118" width="38.85546875" customWidth="1"/>
    <col min="5371" max="5371" width="36.85546875" customWidth="1"/>
    <col min="5372" max="5372" width="12" customWidth="1"/>
    <col min="5373" max="5373" width="19.7109375" customWidth="1"/>
    <col min="5374" max="5374" width="38.85546875" customWidth="1"/>
    <col min="5627" max="5627" width="36.85546875" customWidth="1"/>
    <col min="5628" max="5628" width="12" customWidth="1"/>
    <col min="5629" max="5629" width="19.7109375" customWidth="1"/>
    <col min="5630" max="5630" width="38.85546875" customWidth="1"/>
    <col min="5883" max="5883" width="36.85546875" customWidth="1"/>
    <col min="5884" max="5884" width="12" customWidth="1"/>
    <col min="5885" max="5885" width="19.7109375" customWidth="1"/>
    <col min="5886" max="5886" width="38.85546875" customWidth="1"/>
    <col min="6139" max="6139" width="36.85546875" customWidth="1"/>
    <col min="6140" max="6140" width="12" customWidth="1"/>
    <col min="6141" max="6141" width="19.7109375" customWidth="1"/>
    <col min="6142" max="6142" width="38.85546875" customWidth="1"/>
    <col min="6395" max="6395" width="36.85546875" customWidth="1"/>
    <col min="6396" max="6396" width="12" customWidth="1"/>
    <col min="6397" max="6397" width="19.7109375" customWidth="1"/>
    <col min="6398" max="6398" width="38.85546875" customWidth="1"/>
    <col min="6651" max="6651" width="36.85546875" customWidth="1"/>
    <col min="6652" max="6652" width="12" customWidth="1"/>
    <col min="6653" max="6653" width="19.7109375" customWidth="1"/>
    <col min="6654" max="6654" width="38.85546875" customWidth="1"/>
    <col min="6907" max="6907" width="36.85546875" customWidth="1"/>
    <col min="6908" max="6908" width="12" customWidth="1"/>
    <col min="6909" max="6909" width="19.7109375" customWidth="1"/>
    <col min="6910" max="6910" width="38.85546875" customWidth="1"/>
    <col min="7163" max="7163" width="36.85546875" customWidth="1"/>
    <col min="7164" max="7164" width="12" customWidth="1"/>
    <col min="7165" max="7165" width="19.7109375" customWidth="1"/>
    <col min="7166" max="7166" width="38.85546875" customWidth="1"/>
    <col min="7419" max="7419" width="36.85546875" customWidth="1"/>
    <col min="7420" max="7420" width="12" customWidth="1"/>
    <col min="7421" max="7421" width="19.7109375" customWidth="1"/>
    <col min="7422" max="7422" width="38.85546875" customWidth="1"/>
    <col min="7675" max="7675" width="36.85546875" customWidth="1"/>
    <col min="7676" max="7676" width="12" customWidth="1"/>
    <col min="7677" max="7677" width="19.7109375" customWidth="1"/>
    <col min="7678" max="7678" width="38.85546875" customWidth="1"/>
    <col min="7931" max="7931" width="36.85546875" customWidth="1"/>
    <col min="7932" max="7932" width="12" customWidth="1"/>
    <col min="7933" max="7933" width="19.7109375" customWidth="1"/>
    <col min="7934" max="7934" width="38.85546875" customWidth="1"/>
    <col min="8187" max="8187" width="36.85546875" customWidth="1"/>
    <col min="8188" max="8188" width="12" customWidth="1"/>
    <col min="8189" max="8189" width="19.7109375" customWidth="1"/>
    <col min="8190" max="8190" width="38.85546875" customWidth="1"/>
    <col min="8443" max="8443" width="36.85546875" customWidth="1"/>
    <col min="8444" max="8444" width="12" customWidth="1"/>
    <col min="8445" max="8445" width="19.7109375" customWidth="1"/>
    <col min="8446" max="8446" width="38.85546875" customWidth="1"/>
    <col min="8699" max="8699" width="36.85546875" customWidth="1"/>
    <col min="8700" max="8700" width="12" customWidth="1"/>
    <col min="8701" max="8701" width="19.7109375" customWidth="1"/>
    <col min="8702" max="8702" width="38.85546875" customWidth="1"/>
    <col min="8955" max="8955" width="36.85546875" customWidth="1"/>
    <col min="8956" max="8956" width="12" customWidth="1"/>
    <col min="8957" max="8957" width="19.7109375" customWidth="1"/>
    <col min="8958" max="8958" width="38.85546875" customWidth="1"/>
    <col min="9211" max="9211" width="36.85546875" customWidth="1"/>
    <col min="9212" max="9212" width="12" customWidth="1"/>
    <col min="9213" max="9213" width="19.7109375" customWidth="1"/>
    <col min="9214" max="9214" width="38.85546875" customWidth="1"/>
    <col min="9467" max="9467" width="36.85546875" customWidth="1"/>
    <col min="9468" max="9468" width="12" customWidth="1"/>
    <col min="9469" max="9469" width="19.7109375" customWidth="1"/>
    <col min="9470" max="9470" width="38.85546875" customWidth="1"/>
    <col min="9723" max="9723" width="36.85546875" customWidth="1"/>
    <col min="9724" max="9724" width="12" customWidth="1"/>
    <col min="9725" max="9725" width="19.7109375" customWidth="1"/>
    <col min="9726" max="9726" width="38.85546875" customWidth="1"/>
    <col min="9979" max="9979" width="36.85546875" customWidth="1"/>
    <col min="9980" max="9980" width="12" customWidth="1"/>
    <col min="9981" max="9981" width="19.7109375" customWidth="1"/>
    <col min="9982" max="9982" width="38.85546875" customWidth="1"/>
    <col min="10235" max="10235" width="36.85546875" customWidth="1"/>
    <col min="10236" max="10236" width="12" customWidth="1"/>
    <col min="10237" max="10237" width="19.7109375" customWidth="1"/>
    <col min="10238" max="10238" width="38.85546875" customWidth="1"/>
    <col min="10491" max="10491" width="36.85546875" customWidth="1"/>
    <col min="10492" max="10492" width="12" customWidth="1"/>
    <col min="10493" max="10493" width="19.7109375" customWidth="1"/>
    <col min="10494" max="10494" width="38.85546875" customWidth="1"/>
    <col min="10747" max="10747" width="36.85546875" customWidth="1"/>
    <col min="10748" max="10748" width="12" customWidth="1"/>
    <col min="10749" max="10749" width="19.7109375" customWidth="1"/>
    <col min="10750" max="10750" width="38.85546875" customWidth="1"/>
    <col min="11003" max="11003" width="36.85546875" customWidth="1"/>
    <col min="11004" max="11004" width="12" customWidth="1"/>
    <col min="11005" max="11005" width="19.7109375" customWidth="1"/>
    <col min="11006" max="11006" width="38.85546875" customWidth="1"/>
    <col min="11259" max="11259" width="36.85546875" customWidth="1"/>
    <col min="11260" max="11260" width="12" customWidth="1"/>
    <col min="11261" max="11261" width="19.7109375" customWidth="1"/>
    <col min="11262" max="11262" width="38.85546875" customWidth="1"/>
    <col min="11515" max="11515" width="36.85546875" customWidth="1"/>
    <col min="11516" max="11516" width="12" customWidth="1"/>
    <col min="11517" max="11517" width="19.7109375" customWidth="1"/>
    <col min="11518" max="11518" width="38.85546875" customWidth="1"/>
    <col min="11771" max="11771" width="36.85546875" customWidth="1"/>
    <col min="11772" max="11772" width="12" customWidth="1"/>
    <col min="11773" max="11773" width="19.7109375" customWidth="1"/>
    <col min="11774" max="11774" width="38.85546875" customWidth="1"/>
    <col min="12027" max="12027" width="36.85546875" customWidth="1"/>
    <col min="12028" max="12028" width="12" customWidth="1"/>
    <col min="12029" max="12029" width="19.7109375" customWidth="1"/>
    <col min="12030" max="12030" width="38.85546875" customWidth="1"/>
    <col min="12283" max="12283" width="36.85546875" customWidth="1"/>
    <col min="12284" max="12284" width="12" customWidth="1"/>
    <col min="12285" max="12285" width="19.7109375" customWidth="1"/>
    <col min="12286" max="12286" width="38.85546875" customWidth="1"/>
    <col min="12539" max="12539" width="36.85546875" customWidth="1"/>
    <col min="12540" max="12540" width="12" customWidth="1"/>
    <col min="12541" max="12541" width="19.7109375" customWidth="1"/>
    <col min="12542" max="12542" width="38.85546875" customWidth="1"/>
    <col min="12795" max="12795" width="36.85546875" customWidth="1"/>
    <col min="12796" max="12796" width="12" customWidth="1"/>
    <col min="12797" max="12797" width="19.7109375" customWidth="1"/>
    <col min="12798" max="12798" width="38.85546875" customWidth="1"/>
    <col min="13051" max="13051" width="36.85546875" customWidth="1"/>
    <col min="13052" max="13052" width="12" customWidth="1"/>
    <col min="13053" max="13053" width="19.7109375" customWidth="1"/>
    <col min="13054" max="13054" width="38.85546875" customWidth="1"/>
    <col min="13307" max="13307" width="36.85546875" customWidth="1"/>
    <col min="13308" max="13308" width="12" customWidth="1"/>
    <col min="13309" max="13309" width="19.7109375" customWidth="1"/>
    <col min="13310" max="13310" width="38.85546875" customWidth="1"/>
    <col min="13563" max="13563" width="36.85546875" customWidth="1"/>
    <col min="13564" max="13564" width="12" customWidth="1"/>
    <col min="13565" max="13565" width="19.7109375" customWidth="1"/>
    <col min="13566" max="13566" width="38.85546875" customWidth="1"/>
    <col min="13819" max="13819" width="36.85546875" customWidth="1"/>
    <col min="13820" max="13820" width="12" customWidth="1"/>
    <col min="13821" max="13821" width="19.7109375" customWidth="1"/>
    <col min="13822" max="13822" width="38.85546875" customWidth="1"/>
    <col min="14075" max="14075" width="36.85546875" customWidth="1"/>
    <col min="14076" max="14076" width="12" customWidth="1"/>
    <col min="14077" max="14077" width="19.7109375" customWidth="1"/>
    <col min="14078" max="14078" width="38.85546875" customWidth="1"/>
    <col min="14331" max="14331" width="36.85546875" customWidth="1"/>
    <col min="14332" max="14332" width="12" customWidth="1"/>
    <col min="14333" max="14333" width="19.7109375" customWidth="1"/>
    <col min="14334" max="14334" width="38.85546875" customWidth="1"/>
    <col min="14587" max="14587" width="36.85546875" customWidth="1"/>
    <col min="14588" max="14588" width="12" customWidth="1"/>
    <col min="14589" max="14589" width="19.7109375" customWidth="1"/>
    <col min="14590" max="14590" width="38.85546875" customWidth="1"/>
    <col min="14843" max="14843" width="36.85546875" customWidth="1"/>
    <col min="14844" max="14844" width="12" customWidth="1"/>
    <col min="14845" max="14845" width="19.7109375" customWidth="1"/>
    <col min="14846" max="14846" width="38.85546875" customWidth="1"/>
    <col min="15099" max="15099" width="36.85546875" customWidth="1"/>
    <col min="15100" max="15100" width="12" customWidth="1"/>
    <col min="15101" max="15101" width="19.7109375" customWidth="1"/>
    <col min="15102" max="15102" width="38.85546875" customWidth="1"/>
    <col min="15355" max="15355" width="36.85546875" customWidth="1"/>
    <col min="15356" max="15356" width="12" customWidth="1"/>
    <col min="15357" max="15357" width="19.7109375" customWidth="1"/>
    <col min="15358" max="15358" width="38.85546875" customWidth="1"/>
    <col min="15611" max="15611" width="36.85546875" customWidth="1"/>
    <col min="15612" max="15612" width="12" customWidth="1"/>
    <col min="15613" max="15613" width="19.7109375" customWidth="1"/>
    <col min="15614" max="15614" width="38.85546875" customWidth="1"/>
    <col min="15867" max="15867" width="36.85546875" customWidth="1"/>
    <col min="15868" max="15868" width="12" customWidth="1"/>
    <col min="15869" max="15869" width="19.7109375" customWidth="1"/>
    <col min="15870" max="15870" width="38.85546875" customWidth="1"/>
    <col min="16123" max="16123" width="36.85546875" customWidth="1"/>
    <col min="16124" max="16124" width="12" customWidth="1"/>
    <col min="16125" max="16125" width="19.7109375" customWidth="1"/>
    <col min="16126" max="16126" width="38.85546875" customWidth="1"/>
  </cols>
  <sheetData>
    <row r="1" spans="1:10" x14ac:dyDescent="0.25">
      <c r="C1" s="154"/>
      <c r="D1" s="154"/>
      <c r="H1" s="431" t="s">
        <v>854</v>
      </c>
      <c r="I1" s="372"/>
      <c r="J1" s="372"/>
    </row>
    <row r="2" spans="1:10" s="129" customFormat="1" ht="18" x14ac:dyDescent="0.25">
      <c r="A2" s="326" t="s">
        <v>640</v>
      </c>
      <c r="B2" s="326"/>
      <c r="C2" s="326"/>
      <c r="D2" s="326"/>
      <c r="E2" s="327"/>
      <c r="F2" s="327"/>
      <c r="G2" s="327"/>
      <c r="H2" s="327"/>
      <c r="I2" s="327"/>
      <c r="J2" s="327"/>
    </row>
    <row r="3" spans="1:10" s="129" customFormat="1" ht="52.5" customHeight="1" x14ac:dyDescent="0.25">
      <c r="A3" s="328"/>
      <c r="B3" s="328"/>
      <c r="C3" s="328"/>
      <c r="D3" s="328"/>
      <c r="E3" s="327"/>
      <c r="F3" s="327"/>
      <c r="G3" s="327"/>
      <c r="H3" s="327"/>
      <c r="I3" s="327"/>
      <c r="J3" s="327"/>
    </row>
    <row r="4" spans="1:10" ht="15.75" customHeight="1" x14ac:dyDescent="0.25">
      <c r="D4" s="153"/>
      <c r="I4" s="329" t="s">
        <v>90</v>
      </c>
      <c r="J4" s="330"/>
    </row>
    <row r="5" spans="1:10" s="129" customFormat="1" ht="18" customHeight="1" x14ac:dyDescent="0.25">
      <c r="A5" s="331" t="s">
        <v>562</v>
      </c>
      <c r="B5" s="332" t="s">
        <v>596</v>
      </c>
      <c r="C5" s="333"/>
      <c r="D5" s="334"/>
      <c r="E5" s="335" t="s">
        <v>519</v>
      </c>
      <c r="F5" s="336"/>
      <c r="G5" s="337"/>
      <c r="H5" s="332" t="s">
        <v>561</v>
      </c>
      <c r="I5" s="333"/>
      <c r="J5" s="334"/>
    </row>
    <row r="6" spans="1:10" s="129" customFormat="1" ht="122.25" customHeight="1" x14ac:dyDescent="0.25">
      <c r="A6" s="331"/>
      <c r="B6" s="152" t="s">
        <v>560</v>
      </c>
      <c r="C6" s="152" t="s">
        <v>559</v>
      </c>
      <c r="D6" s="151" t="s">
        <v>558</v>
      </c>
      <c r="E6" s="151" t="s">
        <v>96</v>
      </c>
      <c r="F6" s="152" t="s">
        <v>559</v>
      </c>
      <c r="G6" s="151" t="s">
        <v>558</v>
      </c>
      <c r="H6" s="150" t="s">
        <v>560</v>
      </c>
      <c r="I6" s="150" t="s">
        <v>559</v>
      </c>
      <c r="J6" s="149" t="s">
        <v>558</v>
      </c>
    </row>
    <row r="7" spans="1:10" s="129" customFormat="1" ht="39" hidden="1" x14ac:dyDescent="0.25">
      <c r="A7" s="1" t="s">
        <v>557</v>
      </c>
      <c r="B7" s="145">
        <f>B8</f>
        <v>0</v>
      </c>
      <c r="C7" s="145">
        <f>C8</f>
        <v>0</v>
      </c>
      <c r="D7" s="145">
        <f>D8</f>
        <v>0</v>
      </c>
      <c r="E7" s="147">
        <f>SUM(F7:G7)</f>
        <v>0</v>
      </c>
      <c r="F7" s="147">
        <f>F8</f>
        <v>0</v>
      </c>
      <c r="G7" s="147">
        <f>G8</f>
        <v>0</v>
      </c>
      <c r="H7" s="144">
        <f>H8</f>
        <v>0</v>
      </c>
      <c r="I7" s="144">
        <f>I8</f>
        <v>0</v>
      </c>
      <c r="J7" s="144">
        <f>J8</f>
        <v>0</v>
      </c>
    </row>
    <row r="8" spans="1:10" s="129" customFormat="1" ht="18" hidden="1" x14ac:dyDescent="0.25">
      <c r="A8" s="1" t="s">
        <v>556</v>
      </c>
      <c r="B8" s="145">
        <f t="shared" ref="B8:J8" si="0">B9+B11+B12+B13+B10</f>
        <v>0</v>
      </c>
      <c r="C8" s="145">
        <f t="shared" si="0"/>
        <v>0</v>
      </c>
      <c r="D8" s="145">
        <f t="shared" si="0"/>
        <v>0</v>
      </c>
      <c r="E8" s="145">
        <f t="shared" si="0"/>
        <v>0</v>
      </c>
      <c r="F8" s="145">
        <f t="shared" si="0"/>
        <v>0</v>
      </c>
      <c r="G8" s="145">
        <f t="shared" si="0"/>
        <v>0</v>
      </c>
      <c r="H8" s="144">
        <f t="shared" si="0"/>
        <v>0</v>
      </c>
      <c r="I8" s="144">
        <f t="shared" si="0"/>
        <v>0</v>
      </c>
      <c r="J8" s="144">
        <f t="shared" si="0"/>
        <v>0</v>
      </c>
    </row>
    <row r="9" spans="1:10" s="129" customFormat="1" ht="25.5" hidden="1" x14ac:dyDescent="0.25">
      <c r="A9" s="148" t="s">
        <v>547</v>
      </c>
      <c r="B9" s="145">
        <f>SUM(C9:D9)</f>
        <v>0</v>
      </c>
      <c r="C9" s="145"/>
      <c r="D9" s="145"/>
      <c r="E9" s="147">
        <f>SUM(F9:G9)</f>
        <v>0</v>
      </c>
      <c r="F9" s="147"/>
      <c r="G9" s="147"/>
      <c r="H9" s="144">
        <f>SUM(I9:J9)</f>
        <v>0</v>
      </c>
      <c r="I9" s="144"/>
      <c r="J9" s="144"/>
    </row>
    <row r="10" spans="1:10" s="129" customFormat="1" ht="25.5" hidden="1" x14ac:dyDescent="0.25">
      <c r="A10" s="148" t="s">
        <v>555</v>
      </c>
      <c r="B10" s="145">
        <f>SUM(C10:D10)</f>
        <v>0</v>
      </c>
      <c r="C10" s="145"/>
      <c r="D10" s="145"/>
      <c r="E10" s="147">
        <f>SUM(F10:G10)</f>
        <v>0</v>
      </c>
      <c r="F10" s="147"/>
      <c r="G10" s="147"/>
      <c r="H10" s="144">
        <f>SUM(I10:J10)</f>
        <v>0</v>
      </c>
      <c r="I10" s="144"/>
      <c r="J10" s="144"/>
    </row>
    <row r="11" spans="1:10" s="129" customFormat="1" ht="38.25" hidden="1" x14ac:dyDescent="0.25">
      <c r="A11" s="142" t="s">
        <v>554</v>
      </c>
      <c r="B11" s="145">
        <f>SUM(C11:D11)</f>
        <v>0</v>
      </c>
      <c r="C11" s="145"/>
      <c r="D11" s="145"/>
      <c r="E11" s="147">
        <f>SUM(F11:G11)</f>
        <v>0</v>
      </c>
      <c r="F11" s="147"/>
      <c r="G11" s="147"/>
      <c r="H11" s="144">
        <f>SUM(I11:J11)</f>
        <v>0</v>
      </c>
      <c r="I11" s="144"/>
      <c r="J11" s="144"/>
    </row>
    <row r="12" spans="1:10" s="129" customFormat="1" ht="51" hidden="1" x14ac:dyDescent="0.25">
      <c r="A12" s="142" t="s">
        <v>553</v>
      </c>
      <c r="B12" s="145">
        <f>SUM(C12:D12)</f>
        <v>0</v>
      </c>
      <c r="C12" s="145"/>
      <c r="D12" s="145"/>
      <c r="E12" s="147">
        <f>SUM(F12:G12)</f>
        <v>0</v>
      </c>
      <c r="F12" s="147"/>
      <c r="G12" s="147"/>
      <c r="H12" s="144">
        <f>SUM(I12:J12)</f>
        <v>0</v>
      </c>
      <c r="I12" s="144"/>
      <c r="J12" s="144"/>
    </row>
    <row r="13" spans="1:10" s="129" customFormat="1" ht="38.25" hidden="1" x14ac:dyDescent="0.25">
      <c r="A13" s="142" t="s">
        <v>552</v>
      </c>
      <c r="B13" s="145">
        <f>SUM(C13:D13)</f>
        <v>0</v>
      </c>
      <c r="C13" s="145"/>
      <c r="D13" s="145"/>
      <c r="E13" s="147">
        <f>SUM(F13:G13)</f>
        <v>0</v>
      </c>
      <c r="F13" s="147"/>
      <c r="G13" s="147"/>
      <c r="H13" s="144">
        <f>SUM(I13:J13)</f>
        <v>0</v>
      </c>
      <c r="I13" s="144"/>
      <c r="J13" s="144"/>
    </row>
    <row r="14" spans="1:10" s="129" customFormat="1" ht="51.75" hidden="1" x14ac:dyDescent="0.25">
      <c r="A14" s="1" t="s">
        <v>551</v>
      </c>
      <c r="B14" s="147">
        <f t="shared" ref="B14:J14" si="1">B15</f>
        <v>0</v>
      </c>
      <c r="C14" s="147">
        <f t="shared" si="1"/>
        <v>0</v>
      </c>
      <c r="D14" s="147">
        <f t="shared" si="1"/>
        <v>0</v>
      </c>
      <c r="E14" s="147">
        <f t="shared" si="1"/>
        <v>0</v>
      </c>
      <c r="F14" s="147">
        <f t="shared" si="1"/>
        <v>0</v>
      </c>
      <c r="G14" s="147">
        <f t="shared" si="1"/>
        <v>0</v>
      </c>
      <c r="H14" s="146">
        <f t="shared" si="1"/>
        <v>0</v>
      </c>
      <c r="I14" s="146">
        <f t="shared" si="1"/>
        <v>0</v>
      </c>
      <c r="J14" s="146">
        <f t="shared" si="1"/>
        <v>0</v>
      </c>
    </row>
    <row r="15" spans="1:10" s="129" customFormat="1" ht="18" hidden="1" x14ac:dyDescent="0.25">
      <c r="A15" s="1" t="s">
        <v>550</v>
      </c>
      <c r="B15" s="145">
        <f t="shared" ref="B15:J15" si="2">B16+B17</f>
        <v>0</v>
      </c>
      <c r="C15" s="145">
        <f t="shared" si="2"/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  <c r="H15" s="144">
        <f t="shared" si="2"/>
        <v>0</v>
      </c>
      <c r="I15" s="144">
        <f t="shared" si="2"/>
        <v>0</v>
      </c>
      <c r="J15" s="144">
        <f t="shared" si="2"/>
        <v>0</v>
      </c>
    </row>
    <row r="16" spans="1:10" ht="30.75" hidden="1" customHeight="1" x14ac:dyDescent="0.25">
      <c r="A16" s="143" t="s">
        <v>549</v>
      </c>
      <c r="B16" s="141">
        <f>SUM(C16:D16)</f>
        <v>0</v>
      </c>
      <c r="C16" s="141"/>
      <c r="D16" s="140"/>
      <c r="E16" s="139">
        <f>SUM(F16:G16)</f>
        <v>0</v>
      </c>
      <c r="F16" s="138"/>
      <c r="G16" s="138"/>
      <c r="H16" s="137">
        <f>SUM(I16:J16)</f>
        <v>0</v>
      </c>
      <c r="I16" s="137"/>
      <c r="J16" s="136"/>
    </row>
    <row r="17" spans="1:10" ht="30.75" hidden="1" customHeight="1" x14ac:dyDescent="0.25">
      <c r="A17" s="142" t="s">
        <v>548</v>
      </c>
      <c r="B17" s="141">
        <f>SUM(C17:D17)</f>
        <v>0</v>
      </c>
      <c r="C17" s="141"/>
      <c r="D17" s="140"/>
      <c r="E17" s="139">
        <f>SUM(F17:G17)</f>
        <v>0</v>
      </c>
      <c r="F17" s="138"/>
      <c r="G17" s="138"/>
      <c r="H17" s="137">
        <f>SUM(I17:J17)</f>
        <v>0</v>
      </c>
      <c r="I17" s="137"/>
      <c r="J17" s="136"/>
    </row>
    <row r="18" spans="1:10" ht="24" hidden="1" customHeight="1" x14ac:dyDescent="0.25">
      <c r="A18" s="128" t="s">
        <v>541</v>
      </c>
      <c r="B18" s="135" t="e">
        <f>#REF!+#REF!</f>
        <v>#REF!</v>
      </c>
      <c r="C18" s="135" t="e">
        <f>#REF!+#REF!</f>
        <v>#REF!</v>
      </c>
      <c r="D18" s="135" t="e">
        <f>#REF!+#REF!</f>
        <v>#REF!</v>
      </c>
      <c r="E18" s="135" t="e">
        <f>#REF!+#REF!</f>
        <v>#REF!</v>
      </c>
      <c r="F18" s="135" t="e">
        <f>#REF!+#REF!</f>
        <v>#REF!</v>
      </c>
      <c r="G18" s="135" t="e">
        <f>#REF!+#REF!</f>
        <v>#REF!</v>
      </c>
      <c r="H18" s="134" t="e">
        <f>#REF!+#REF!</f>
        <v>#REF!</v>
      </c>
      <c r="I18" s="134" t="e">
        <f>#REF!+#REF!</f>
        <v>#REF!</v>
      </c>
      <c r="J18" s="134" t="e">
        <f>#REF!+#REF!</f>
        <v>#REF!</v>
      </c>
    </row>
    <row r="19" spans="1:10" s="133" customFormat="1" ht="36" customHeight="1" x14ac:dyDescent="0.25">
      <c r="A19" s="19" t="s">
        <v>105</v>
      </c>
      <c r="B19" s="132">
        <f>B20</f>
        <v>634.64599999999996</v>
      </c>
      <c r="C19" s="132">
        <f t="shared" ref="C19:J19" si="3">C20</f>
        <v>0</v>
      </c>
      <c r="D19" s="132">
        <f t="shared" si="3"/>
        <v>634.64599999999996</v>
      </c>
      <c r="E19" s="132">
        <f t="shared" si="3"/>
        <v>634.64599999999996</v>
      </c>
      <c r="F19" s="132">
        <f t="shared" si="3"/>
        <v>0</v>
      </c>
      <c r="G19" s="132">
        <f t="shared" si="3"/>
        <v>634.64599999999996</v>
      </c>
      <c r="H19" s="132">
        <f t="shared" si="3"/>
        <v>0</v>
      </c>
      <c r="I19" s="132">
        <f t="shared" si="3"/>
        <v>0</v>
      </c>
      <c r="J19" s="132">
        <f t="shared" si="3"/>
        <v>0</v>
      </c>
    </row>
    <row r="20" spans="1:10" s="133" customFormat="1" ht="70.5" customHeight="1" x14ac:dyDescent="0.25">
      <c r="A20" s="19" t="s">
        <v>202</v>
      </c>
      <c r="B20" s="132">
        <f>B21+B22</f>
        <v>634.64599999999996</v>
      </c>
      <c r="C20" s="132">
        <f t="shared" ref="C20:J20" si="4">C21+C22</f>
        <v>0</v>
      </c>
      <c r="D20" s="132">
        <f t="shared" si="4"/>
        <v>634.64599999999996</v>
      </c>
      <c r="E20" s="132">
        <f t="shared" si="4"/>
        <v>634.64599999999996</v>
      </c>
      <c r="F20" s="132">
        <f t="shared" si="4"/>
        <v>0</v>
      </c>
      <c r="G20" s="132">
        <f t="shared" si="4"/>
        <v>634.64599999999996</v>
      </c>
      <c r="H20" s="132">
        <f t="shared" si="4"/>
        <v>0</v>
      </c>
      <c r="I20" s="132">
        <f t="shared" si="4"/>
        <v>0</v>
      </c>
      <c r="J20" s="132">
        <f t="shared" si="4"/>
        <v>0</v>
      </c>
    </row>
    <row r="21" spans="1:10" s="129" customFormat="1" ht="58.5" customHeight="1" x14ac:dyDescent="0.25">
      <c r="A21" s="131" t="s">
        <v>636</v>
      </c>
      <c r="B21" s="130">
        <f t="shared" ref="B21:B22" si="5">SUM(C21:D21)</f>
        <v>634.64599999999996</v>
      </c>
      <c r="C21" s="130"/>
      <c r="D21" s="130">
        <f>950-315.354</f>
        <v>634.64599999999996</v>
      </c>
      <c r="E21" s="130">
        <f t="shared" ref="E21:E22" si="6">SUM(F21:G21)</f>
        <v>634.64599999999996</v>
      </c>
      <c r="F21" s="279"/>
      <c r="G21" s="279">
        <v>634.64599999999996</v>
      </c>
      <c r="H21" s="130">
        <f t="shared" ref="H21:H22" si="7">SUM(I21:J21)</f>
        <v>0</v>
      </c>
      <c r="I21" s="130">
        <f>C21-F21</f>
        <v>0</v>
      </c>
      <c r="J21" s="130">
        <f>D21-G21</f>
        <v>0</v>
      </c>
    </row>
    <row r="22" spans="1:10" s="129" customFormat="1" ht="36.75" x14ac:dyDescent="0.25">
      <c r="A22" s="131" t="s">
        <v>427</v>
      </c>
      <c r="B22" s="130">
        <f t="shared" si="5"/>
        <v>0</v>
      </c>
      <c r="C22" s="280"/>
      <c r="D22" s="130"/>
      <c r="E22" s="130">
        <f t="shared" si="6"/>
        <v>0</v>
      </c>
      <c r="F22" s="280"/>
      <c r="G22" s="279"/>
      <c r="H22" s="130">
        <f t="shared" si="7"/>
        <v>0</v>
      </c>
      <c r="I22" s="130">
        <f>C22-F22</f>
        <v>0</v>
      </c>
      <c r="J22" s="130">
        <f>D22-G22</f>
        <v>0</v>
      </c>
    </row>
    <row r="23" spans="1:10" s="129" customFormat="1" ht="24.75" x14ac:dyDescent="0.25">
      <c r="A23" s="19" t="s">
        <v>315</v>
      </c>
      <c r="B23" s="132">
        <f>B24</f>
        <v>4882.3999999999996</v>
      </c>
      <c r="C23" s="132">
        <f t="shared" ref="C23:J23" si="8">C24</f>
        <v>1764</v>
      </c>
      <c r="D23" s="132">
        <f t="shared" si="8"/>
        <v>3118.4</v>
      </c>
      <c r="E23" s="132">
        <f t="shared" si="8"/>
        <v>2219.9929999999999</v>
      </c>
      <c r="F23" s="132">
        <f t="shared" si="8"/>
        <v>1764</v>
      </c>
      <c r="G23" s="132">
        <f t="shared" si="8"/>
        <v>455.99299999999999</v>
      </c>
      <c r="H23" s="132">
        <f t="shared" si="8"/>
        <v>2662.4070000000002</v>
      </c>
      <c r="I23" s="132">
        <f t="shared" si="8"/>
        <v>0</v>
      </c>
      <c r="J23" s="132">
        <f t="shared" si="8"/>
        <v>2662.4070000000002</v>
      </c>
    </row>
    <row r="24" spans="1:10" s="129" customFormat="1" ht="52.5" customHeight="1" x14ac:dyDescent="0.25">
      <c r="A24" s="19" t="s">
        <v>169</v>
      </c>
      <c r="B24" s="132">
        <f>SUM(B25:B28)</f>
        <v>4882.3999999999996</v>
      </c>
      <c r="C24" s="132">
        <f t="shared" ref="C24:J24" si="9">SUM(C25:C28)</f>
        <v>1764</v>
      </c>
      <c r="D24" s="132">
        <f t="shared" si="9"/>
        <v>3118.4</v>
      </c>
      <c r="E24" s="132">
        <f t="shared" si="9"/>
        <v>2219.9929999999999</v>
      </c>
      <c r="F24" s="132">
        <f t="shared" si="9"/>
        <v>1764</v>
      </c>
      <c r="G24" s="132">
        <f t="shared" si="9"/>
        <v>455.99299999999999</v>
      </c>
      <c r="H24" s="132">
        <f>SUM(H25:H28)</f>
        <v>2662.4070000000002</v>
      </c>
      <c r="I24" s="132">
        <f t="shared" si="9"/>
        <v>0</v>
      </c>
      <c r="J24" s="132">
        <f t="shared" si="9"/>
        <v>2662.4070000000002</v>
      </c>
    </row>
    <row r="25" spans="1:10" s="129" customFormat="1" ht="29.25" customHeight="1" x14ac:dyDescent="0.25">
      <c r="A25" s="131" t="s">
        <v>637</v>
      </c>
      <c r="B25" s="130">
        <f t="shared" ref="B25:B28" si="10">SUM(C25:D25)</f>
        <v>1800</v>
      </c>
      <c r="C25" s="130"/>
      <c r="D25" s="130">
        <v>1800</v>
      </c>
      <c r="E25" s="130">
        <f t="shared" ref="E25:E28" si="11">SUM(F25:G25)</f>
        <v>0</v>
      </c>
      <c r="F25" s="279"/>
      <c r="G25" s="279"/>
      <c r="H25" s="130">
        <f t="shared" ref="H25:H28" si="12">SUM(I25:J25)</f>
        <v>1800</v>
      </c>
      <c r="I25" s="130">
        <f t="shared" ref="I25:J28" si="13">C25-F25</f>
        <v>0</v>
      </c>
      <c r="J25" s="130">
        <f t="shared" si="13"/>
        <v>1800</v>
      </c>
    </row>
    <row r="26" spans="1:10" s="129" customFormat="1" ht="25.5" customHeight="1" x14ac:dyDescent="0.25">
      <c r="A26" s="131" t="s">
        <v>638</v>
      </c>
      <c r="B26" s="130">
        <f t="shared" si="10"/>
        <v>800</v>
      </c>
      <c r="C26" s="130"/>
      <c r="D26" s="130">
        <v>800</v>
      </c>
      <c r="E26" s="130">
        <f t="shared" si="11"/>
        <v>419.99299999999999</v>
      </c>
      <c r="F26" s="279"/>
      <c r="G26" s="279">
        <v>419.99299999999999</v>
      </c>
      <c r="H26" s="130">
        <f t="shared" si="12"/>
        <v>380.00700000000001</v>
      </c>
      <c r="I26" s="130">
        <f t="shared" si="13"/>
        <v>0</v>
      </c>
      <c r="J26" s="130">
        <f t="shared" si="13"/>
        <v>380.00700000000001</v>
      </c>
    </row>
    <row r="27" spans="1:10" s="129" customFormat="1" ht="36.75" x14ac:dyDescent="0.25">
      <c r="A27" s="131" t="s">
        <v>546</v>
      </c>
      <c r="B27" s="130">
        <f t="shared" si="10"/>
        <v>482.4</v>
      </c>
      <c r="C27" s="130"/>
      <c r="D27" s="279">
        <v>482.4</v>
      </c>
      <c r="E27" s="130">
        <f t="shared" si="11"/>
        <v>0</v>
      </c>
      <c r="F27" s="279"/>
      <c r="G27" s="279"/>
      <c r="H27" s="130">
        <f t="shared" si="12"/>
        <v>482.4</v>
      </c>
      <c r="I27" s="130">
        <f t="shared" si="13"/>
        <v>0</v>
      </c>
      <c r="J27" s="130">
        <f t="shared" si="13"/>
        <v>482.4</v>
      </c>
    </row>
    <row r="28" spans="1:10" s="129" customFormat="1" ht="45.75" customHeight="1" x14ac:dyDescent="0.25">
      <c r="A28" s="131" t="s">
        <v>639</v>
      </c>
      <c r="B28" s="130">
        <f t="shared" si="10"/>
        <v>1800</v>
      </c>
      <c r="C28" s="130">
        <v>1764</v>
      </c>
      <c r="D28" s="279">
        <v>36</v>
      </c>
      <c r="E28" s="130">
        <f t="shared" si="11"/>
        <v>1800</v>
      </c>
      <c r="F28" s="279">
        <v>1764</v>
      </c>
      <c r="G28" s="279">
        <v>36</v>
      </c>
      <c r="H28" s="130">
        <f t="shared" si="12"/>
        <v>0</v>
      </c>
      <c r="I28" s="130">
        <f t="shared" si="13"/>
        <v>0</v>
      </c>
      <c r="J28" s="130">
        <f t="shared" si="13"/>
        <v>0</v>
      </c>
    </row>
    <row r="29" spans="1:10" ht="24" customHeight="1" x14ac:dyDescent="0.25">
      <c r="A29" s="128" t="s">
        <v>541</v>
      </c>
      <c r="B29" s="127">
        <f>B19+B23</f>
        <v>5517.0459999999994</v>
      </c>
      <c r="C29" s="127">
        <f t="shared" ref="C29:J29" si="14">C19+C23</f>
        <v>1764</v>
      </c>
      <c r="D29" s="127">
        <f t="shared" si="14"/>
        <v>3753.0460000000003</v>
      </c>
      <c r="E29" s="127">
        <f t="shared" si="14"/>
        <v>2854.6390000000001</v>
      </c>
      <c r="F29" s="127">
        <f t="shared" si="14"/>
        <v>1764</v>
      </c>
      <c r="G29" s="127">
        <f t="shared" si="14"/>
        <v>1090.6389999999999</v>
      </c>
      <c r="H29" s="127">
        <f t="shared" si="14"/>
        <v>2662.4070000000002</v>
      </c>
      <c r="I29" s="127">
        <f t="shared" si="14"/>
        <v>0</v>
      </c>
      <c r="J29" s="127">
        <f t="shared" si="14"/>
        <v>2662.4070000000002</v>
      </c>
    </row>
    <row r="31" spans="1:10" x14ac:dyDescent="0.25">
      <c r="H31" s="126"/>
    </row>
    <row r="32" spans="1:10" x14ac:dyDescent="0.25">
      <c r="E32" s="126"/>
    </row>
  </sheetData>
  <mergeCells count="7">
    <mergeCell ref="H1:J1"/>
    <mergeCell ref="A2:J3"/>
    <mergeCell ref="I4:J4"/>
    <mergeCell ref="A5:A6"/>
    <mergeCell ref="B5:D5"/>
    <mergeCell ref="E5:G5"/>
    <mergeCell ref="H5:J5"/>
  </mergeCells>
  <pageMargins left="0.78740157480314965" right="0" top="0.74803149606299213" bottom="0.35433070866141736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view="pageBreakPreview" zoomScale="80" zoomScaleNormal="100" zoomScaleSheetLayoutView="80" workbookViewId="0">
      <selection activeCell="C1" sqref="C1:E1"/>
    </sheetView>
  </sheetViews>
  <sheetFormatPr defaultColWidth="8.85546875" defaultRowHeight="12.75" x14ac:dyDescent="0.25"/>
  <cols>
    <col min="1" max="1" width="7.140625" style="224" customWidth="1"/>
    <col min="2" max="2" width="82.140625" style="226" customWidth="1"/>
    <col min="3" max="3" width="14.7109375" style="225" customWidth="1"/>
    <col min="4" max="4" width="12.7109375" style="224" customWidth="1"/>
    <col min="5" max="5" width="14" style="224" customWidth="1"/>
    <col min="6" max="6" width="17.85546875" style="224" customWidth="1"/>
    <col min="7" max="16384" width="8.85546875" style="224"/>
  </cols>
  <sheetData>
    <row r="1" spans="1:6" ht="13.5" customHeight="1" x14ac:dyDescent="0.25">
      <c r="B1" s="256"/>
      <c r="C1" s="431" t="s">
        <v>855</v>
      </c>
      <c r="D1" s="372"/>
      <c r="E1" s="372"/>
    </row>
    <row r="2" spans="1:6" ht="42.75" customHeight="1" x14ac:dyDescent="0.25">
      <c r="A2" s="338" t="s">
        <v>665</v>
      </c>
      <c r="B2" s="338"/>
      <c r="C2" s="338"/>
      <c r="D2" s="338"/>
      <c r="E2" s="338"/>
    </row>
    <row r="3" spans="1:6" ht="17.25" customHeight="1" x14ac:dyDescent="0.25">
      <c r="B3" s="256"/>
      <c r="E3" s="224" t="s">
        <v>90</v>
      </c>
    </row>
    <row r="4" spans="1:6" ht="24.75" customHeight="1" x14ac:dyDescent="0.25">
      <c r="A4" s="339" t="s">
        <v>595</v>
      </c>
      <c r="B4" s="339" t="s">
        <v>594</v>
      </c>
      <c r="C4" s="340" t="s">
        <v>91</v>
      </c>
      <c r="D4" s="341" t="s">
        <v>593</v>
      </c>
      <c r="E4" s="315"/>
    </row>
    <row r="5" spans="1:6" ht="72.75" customHeight="1" x14ac:dyDescent="0.25">
      <c r="A5" s="339"/>
      <c r="B5" s="339"/>
      <c r="C5" s="312"/>
      <c r="D5" s="255" t="s">
        <v>592</v>
      </c>
      <c r="E5" s="255" t="s">
        <v>591</v>
      </c>
    </row>
    <row r="6" spans="1:6" ht="20.25" customHeight="1" x14ac:dyDescent="0.25">
      <c r="A6" s="254" t="s">
        <v>575</v>
      </c>
      <c r="B6" s="254" t="s">
        <v>574</v>
      </c>
      <c r="C6" s="254">
        <v>1</v>
      </c>
      <c r="D6" s="254">
        <f>C6+1</f>
        <v>2</v>
      </c>
      <c r="E6" s="254">
        <f>D6+1</f>
        <v>3</v>
      </c>
    </row>
    <row r="7" spans="1:6" ht="20.25" customHeight="1" x14ac:dyDescent="0.25">
      <c r="A7" s="254"/>
      <c r="B7" s="252" t="s">
        <v>649</v>
      </c>
      <c r="C7" s="251">
        <f>SUM(D7:E7)</f>
        <v>22431.733649999998</v>
      </c>
      <c r="D7" s="253">
        <f>8188.978+500</f>
        <v>8688.9779999999992</v>
      </c>
      <c r="E7" s="250">
        <f>11286.63365+2289+167.122</f>
        <v>13742.755649999999</v>
      </c>
    </row>
    <row r="8" spans="1:6" s="249" customFormat="1" ht="15.75" x14ac:dyDescent="0.25">
      <c r="A8" s="252">
        <v>1</v>
      </c>
      <c r="B8" s="252" t="s">
        <v>646</v>
      </c>
      <c r="C8" s="251">
        <f>SUM(D8:E8)</f>
        <v>18617.486969999998</v>
      </c>
      <c r="D8" s="250">
        <f>D10+D27</f>
        <v>6609.5738899999997</v>
      </c>
      <c r="E8" s="250">
        <f>2289+9594.2279+124.68518</f>
        <v>12007.91308</v>
      </c>
    </row>
    <row r="9" spans="1:6" s="225" customFormat="1" ht="15" x14ac:dyDescent="0.25">
      <c r="A9" s="248"/>
      <c r="B9" s="247" t="s">
        <v>540</v>
      </c>
      <c r="C9" s="244"/>
      <c r="D9" s="246"/>
      <c r="E9" s="246"/>
    </row>
    <row r="10" spans="1:6" ht="37.5" x14ac:dyDescent="0.25">
      <c r="A10" s="245">
        <v>1</v>
      </c>
      <c r="B10" s="294" t="s">
        <v>590</v>
      </c>
      <c r="C10" s="246">
        <f t="shared" ref="C10:C27" si="0">SUM(D10:E10)</f>
        <v>500</v>
      </c>
      <c r="D10" s="243">
        <v>500</v>
      </c>
      <c r="E10" s="243"/>
    </row>
    <row r="11" spans="1:6" s="232" customFormat="1" ht="42.75" customHeight="1" x14ac:dyDescent="0.25">
      <c r="A11" s="236">
        <f t="shared" ref="A11:A25" si="1">A10+1</f>
        <v>2</v>
      </c>
      <c r="B11" s="294" t="s">
        <v>660</v>
      </c>
      <c r="C11" s="239">
        <f t="shared" ref="C11" si="2">SUM(D11:E11)</f>
        <v>2289</v>
      </c>
      <c r="D11" s="234"/>
      <c r="E11" s="295">
        <v>2289</v>
      </c>
      <c r="F11" s="242"/>
    </row>
    <row r="12" spans="1:6" s="232" customFormat="1" ht="37.5" x14ac:dyDescent="0.25">
      <c r="A12" s="236">
        <f t="shared" si="1"/>
        <v>3</v>
      </c>
      <c r="B12" s="294" t="s">
        <v>654</v>
      </c>
      <c r="C12" s="239">
        <f t="shared" si="0"/>
        <v>3529.27</v>
      </c>
      <c r="D12" s="234"/>
      <c r="E12" s="295">
        <v>3529.27</v>
      </c>
      <c r="F12" s="241"/>
    </row>
    <row r="13" spans="1:6" s="232" customFormat="1" ht="37.5" x14ac:dyDescent="0.25">
      <c r="A13" s="236">
        <f t="shared" si="1"/>
        <v>4</v>
      </c>
      <c r="B13" s="294" t="s">
        <v>655</v>
      </c>
      <c r="C13" s="239">
        <f t="shared" si="0"/>
        <v>570</v>
      </c>
      <c r="D13" s="234"/>
      <c r="E13" s="295">
        <v>570</v>
      </c>
      <c r="F13" s="241"/>
    </row>
    <row r="14" spans="1:6" s="232" customFormat="1" ht="37.5" x14ac:dyDescent="0.25">
      <c r="A14" s="236">
        <f t="shared" si="1"/>
        <v>5</v>
      </c>
      <c r="B14" s="294" t="s">
        <v>650</v>
      </c>
      <c r="C14" s="239">
        <f t="shared" si="0"/>
        <v>166.33</v>
      </c>
      <c r="D14" s="234"/>
      <c r="E14" s="243">
        <v>166.33</v>
      </c>
      <c r="F14" s="241"/>
    </row>
    <row r="15" spans="1:6" s="232" customFormat="1" ht="37.5" x14ac:dyDescent="0.25">
      <c r="A15" s="236">
        <f t="shared" si="1"/>
        <v>6</v>
      </c>
      <c r="B15" s="294" t="s">
        <v>651</v>
      </c>
      <c r="C15" s="239">
        <f t="shared" si="0"/>
        <v>356.08</v>
      </c>
      <c r="D15" s="234"/>
      <c r="E15" s="243">
        <v>356.08</v>
      </c>
      <c r="F15" s="241"/>
    </row>
    <row r="16" spans="1:6" s="232" customFormat="1" ht="150" x14ac:dyDescent="0.3">
      <c r="A16" s="236">
        <f t="shared" si="1"/>
        <v>7</v>
      </c>
      <c r="B16" s="293" t="s">
        <v>652</v>
      </c>
      <c r="C16" s="239">
        <f t="shared" si="0"/>
        <v>2130.65</v>
      </c>
      <c r="D16" s="234"/>
      <c r="E16" s="243">
        <v>2130.65</v>
      </c>
      <c r="F16" s="241"/>
    </row>
    <row r="17" spans="1:6" s="232" customFormat="1" ht="81.75" customHeight="1" x14ac:dyDescent="0.25">
      <c r="A17" s="236">
        <f t="shared" si="1"/>
        <v>8</v>
      </c>
      <c r="B17" s="294" t="s">
        <v>661</v>
      </c>
      <c r="C17" s="239">
        <f t="shared" si="0"/>
        <v>568.33000000000004</v>
      </c>
      <c r="D17" s="234"/>
      <c r="E17" s="243">
        <v>568.33000000000004</v>
      </c>
      <c r="F17" s="241"/>
    </row>
    <row r="18" spans="1:6" s="232" customFormat="1" ht="56.25" x14ac:dyDescent="0.3">
      <c r="A18" s="236">
        <f t="shared" si="1"/>
        <v>9</v>
      </c>
      <c r="B18" s="293" t="s">
        <v>653</v>
      </c>
      <c r="C18" s="239">
        <f t="shared" si="0"/>
        <v>442.3</v>
      </c>
      <c r="D18" s="234"/>
      <c r="E18" s="243">
        <v>442.3</v>
      </c>
      <c r="F18" s="241"/>
    </row>
    <row r="19" spans="1:6" s="232" customFormat="1" ht="75" x14ac:dyDescent="0.25">
      <c r="A19" s="236">
        <f t="shared" si="1"/>
        <v>10</v>
      </c>
      <c r="B19" s="294" t="s">
        <v>662</v>
      </c>
      <c r="C19" s="239">
        <f t="shared" ref="C19" si="3">SUM(D19:E19)</f>
        <v>941.76</v>
      </c>
      <c r="D19" s="234"/>
      <c r="E19" s="295">
        <v>941.76</v>
      </c>
    </row>
    <row r="20" spans="1:6" s="232" customFormat="1" ht="37.5" x14ac:dyDescent="0.25">
      <c r="A20" s="236">
        <f t="shared" si="1"/>
        <v>11</v>
      </c>
      <c r="B20" s="294" t="s">
        <v>663</v>
      </c>
      <c r="C20" s="239">
        <f t="shared" si="0"/>
        <v>134.41</v>
      </c>
      <c r="D20" s="234"/>
      <c r="E20" s="295">
        <v>134.41</v>
      </c>
      <c r="F20" s="234"/>
    </row>
    <row r="21" spans="1:6" s="232" customFormat="1" ht="17.25" customHeight="1" x14ac:dyDescent="0.3">
      <c r="A21" s="236">
        <f t="shared" si="1"/>
        <v>12</v>
      </c>
      <c r="B21" s="293" t="s">
        <v>656</v>
      </c>
      <c r="C21" s="239">
        <f t="shared" si="0"/>
        <v>113.88</v>
      </c>
      <c r="D21" s="234"/>
      <c r="E21" s="295">
        <v>113.88</v>
      </c>
      <c r="F21" s="234"/>
    </row>
    <row r="22" spans="1:6" s="232" customFormat="1" ht="54" customHeight="1" x14ac:dyDescent="0.3">
      <c r="A22" s="236">
        <f t="shared" si="1"/>
        <v>13</v>
      </c>
      <c r="B22" s="293" t="s">
        <v>657</v>
      </c>
      <c r="C22" s="239">
        <f t="shared" si="0"/>
        <v>182</v>
      </c>
      <c r="D22" s="234"/>
      <c r="E22" s="295">
        <v>182</v>
      </c>
      <c r="F22" s="291"/>
    </row>
    <row r="23" spans="1:6" s="232" customFormat="1" ht="17.25" customHeight="1" x14ac:dyDescent="0.25">
      <c r="A23" s="236">
        <f t="shared" si="1"/>
        <v>14</v>
      </c>
      <c r="B23" s="294" t="s">
        <v>664</v>
      </c>
      <c r="C23" s="239">
        <f t="shared" si="0"/>
        <v>8.7899999999999991</v>
      </c>
      <c r="D23" s="234"/>
      <c r="E23" s="295">
        <v>8.7899999999999991</v>
      </c>
      <c r="F23" s="291"/>
    </row>
    <row r="24" spans="1:6" s="232" customFormat="1" ht="54.75" customHeight="1" x14ac:dyDescent="0.25">
      <c r="A24" s="236">
        <f t="shared" si="1"/>
        <v>15</v>
      </c>
      <c r="B24" s="294" t="s">
        <v>658</v>
      </c>
      <c r="C24" s="239">
        <f t="shared" si="0"/>
        <v>86.43</v>
      </c>
      <c r="D24" s="234"/>
      <c r="E24" s="295">
        <v>86.43</v>
      </c>
      <c r="F24" s="291"/>
    </row>
    <row r="25" spans="1:6" s="232" customFormat="1" ht="37.5" x14ac:dyDescent="0.25">
      <c r="A25" s="236">
        <f t="shared" si="1"/>
        <v>16</v>
      </c>
      <c r="B25" s="294" t="s">
        <v>659</v>
      </c>
      <c r="C25" s="239">
        <f>E25</f>
        <v>364</v>
      </c>
      <c r="D25" s="234"/>
      <c r="E25" s="295">
        <v>364</v>
      </c>
      <c r="F25" s="291"/>
    </row>
    <row r="26" spans="1:6" s="229" customFormat="1" ht="38.25" customHeight="1" x14ac:dyDescent="0.25">
      <c r="A26" s="236">
        <v>17</v>
      </c>
      <c r="B26" s="240" t="s">
        <v>647</v>
      </c>
      <c r="C26" s="239">
        <f t="shared" si="0"/>
        <v>6234.2590700000001</v>
      </c>
      <c r="D26" s="239">
        <f>SUM(D27:D27)</f>
        <v>6109.5738899999997</v>
      </c>
      <c r="E26" s="239">
        <f>SUM(E27:E27)</f>
        <v>124.68518</v>
      </c>
      <c r="F26" s="238"/>
    </row>
    <row r="27" spans="1:6" s="232" customFormat="1" ht="21.75" hidden="1" customHeight="1" x14ac:dyDescent="0.25">
      <c r="A27" s="236"/>
      <c r="B27" s="235"/>
      <c r="C27" s="239">
        <f t="shared" si="0"/>
        <v>6234.2590700000001</v>
      </c>
      <c r="D27" s="233">
        <v>6109.5738899999997</v>
      </c>
      <c r="E27" s="233">
        <v>124.68518</v>
      </c>
      <c r="F27" s="237">
        <f>SUM(E10:E26)</f>
        <v>12007.91518</v>
      </c>
    </row>
    <row r="28" spans="1:6" s="229" customFormat="1" ht="30" customHeight="1" x14ac:dyDescent="0.25">
      <c r="A28" s="231"/>
      <c r="B28" s="230" t="s">
        <v>648</v>
      </c>
      <c r="C28" s="298">
        <f>C7-C8</f>
        <v>3814.2466800000002</v>
      </c>
      <c r="D28" s="298">
        <f>D7-D8</f>
        <v>2079.4041099999995</v>
      </c>
      <c r="E28" s="298">
        <f>E7-E8</f>
        <v>1734.8425699999989</v>
      </c>
      <c r="F28" s="292">
        <f>E8-F27</f>
        <v>-2.0999999997002305E-3</v>
      </c>
    </row>
    <row r="29" spans="1:6" ht="15.75" x14ac:dyDescent="0.25">
      <c r="B29" s="227"/>
      <c r="C29" s="228"/>
    </row>
    <row r="30" spans="1:6" ht="15.75" x14ac:dyDescent="0.25">
      <c r="B30" s="227"/>
    </row>
    <row r="31" spans="1:6" ht="15.75" x14ac:dyDescent="0.25">
      <c r="B31" s="227"/>
    </row>
  </sheetData>
  <mergeCells count="6">
    <mergeCell ref="C1:E1"/>
    <mergeCell ref="A2:E2"/>
    <mergeCell ref="A4:A5"/>
    <mergeCell ref="B4:B5"/>
    <mergeCell ref="C4:C5"/>
    <mergeCell ref="D4:E4"/>
  </mergeCells>
  <pageMargins left="0.59055118110236227" right="0" top="0.15748031496062992" bottom="0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view="pageBreakPreview" zoomScale="60" zoomScaleNormal="55" workbookViewId="0">
      <selection activeCell="A3" sqref="A3"/>
    </sheetView>
  </sheetViews>
  <sheetFormatPr defaultRowHeight="15.75" x14ac:dyDescent="0.25"/>
  <cols>
    <col min="1" max="1" width="27.85546875" customWidth="1"/>
    <col min="2" max="2" width="43.85546875" style="100" customWidth="1"/>
    <col min="3" max="3" width="46" style="100" customWidth="1"/>
    <col min="4" max="4" width="23.42578125" customWidth="1"/>
    <col min="5" max="5" width="14.5703125" customWidth="1"/>
    <col min="6" max="6" width="17" customWidth="1"/>
    <col min="7" max="8" width="18.140625" customWidth="1"/>
    <col min="9" max="9" width="15" customWidth="1"/>
    <col min="10" max="10" width="15.85546875" customWidth="1"/>
    <col min="11" max="11" width="21.5703125" customWidth="1"/>
    <col min="237" max="237" width="27.85546875" customWidth="1"/>
    <col min="238" max="238" width="42.28515625" customWidth="1"/>
    <col min="239" max="239" width="69.140625" customWidth="1"/>
    <col min="240" max="240" width="0.28515625" customWidth="1"/>
    <col min="241" max="244" width="0" hidden="1" customWidth="1"/>
    <col min="245" max="245" width="17.7109375" customWidth="1"/>
    <col min="246" max="246" width="16.28515625" customWidth="1"/>
    <col min="247" max="247" width="15.28515625" customWidth="1"/>
    <col min="248" max="248" width="12" customWidth="1"/>
    <col min="249" max="249" width="16.28515625" customWidth="1"/>
    <col min="250" max="250" width="14.85546875" customWidth="1"/>
    <col min="251" max="251" width="15.28515625" customWidth="1"/>
    <col min="252" max="252" width="16" customWidth="1"/>
    <col min="253" max="253" width="21.140625" customWidth="1"/>
    <col min="254" max="255" width="18.5703125" customWidth="1"/>
    <col min="256" max="256" width="17.7109375" customWidth="1"/>
    <col min="493" max="493" width="27.85546875" customWidth="1"/>
    <col min="494" max="494" width="42.28515625" customWidth="1"/>
    <col min="495" max="495" width="69.140625" customWidth="1"/>
    <col min="496" max="496" width="0.28515625" customWidth="1"/>
    <col min="497" max="500" width="0" hidden="1" customWidth="1"/>
    <col min="501" max="501" width="17.7109375" customWidth="1"/>
    <col min="502" max="502" width="16.28515625" customWidth="1"/>
    <col min="503" max="503" width="15.28515625" customWidth="1"/>
    <col min="504" max="504" width="12" customWidth="1"/>
    <col min="505" max="505" width="16.28515625" customWidth="1"/>
    <col min="506" max="506" width="14.85546875" customWidth="1"/>
    <col min="507" max="507" width="15.28515625" customWidth="1"/>
    <col min="508" max="508" width="16" customWidth="1"/>
    <col min="509" max="509" width="21.140625" customWidth="1"/>
    <col min="510" max="511" width="18.5703125" customWidth="1"/>
    <col min="512" max="512" width="17.7109375" customWidth="1"/>
    <col min="749" max="749" width="27.85546875" customWidth="1"/>
    <col min="750" max="750" width="42.28515625" customWidth="1"/>
    <col min="751" max="751" width="69.140625" customWidth="1"/>
    <col min="752" max="752" width="0.28515625" customWidth="1"/>
    <col min="753" max="756" width="0" hidden="1" customWidth="1"/>
    <col min="757" max="757" width="17.7109375" customWidth="1"/>
    <col min="758" max="758" width="16.28515625" customWidth="1"/>
    <col min="759" max="759" width="15.28515625" customWidth="1"/>
    <col min="760" max="760" width="12" customWidth="1"/>
    <col min="761" max="761" width="16.28515625" customWidth="1"/>
    <col min="762" max="762" width="14.85546875" customWidth="1"/>
    <col min="763" max="763" width="15.28515625" customWidth="1"/>
    <col min="764" max="764" width="16" customWidth="1"/>
    <col min="765" max="765" width="21.140625" customWidth="1"/>
    <col min="766" max="767" width="18.5703125" customWidth="1"/>
    <col min="768" max="768" width="17.7109375" customWidth="1"/>
    <col min="1005" max="1005" width="27.85546875" customWidth="1"/>
    <col min="1006" max="1006" width="42.28515625" customWidth="1"/>
    <col min="1007" max="1007" width="69.140625" customWidth="1"/>
    <col min="1008" max="1008" width="0.28515625" customWidth="1"/>
    <col min="1009" max="1012" width="0" hidden="1" customWidth="1"/>
    <col min="1013" max="1013" width="17.7109375" customWidth="1"/>
    <col min="1014" max="1014" width="16.28515625" customWidth="1"/>
    <col min="1015" max="1015" width="15.28515625" customWidth="1"/>
    <col min="1016" max="1016" width="12" customWidth="1"/>
    <col min="1017" max="1017" width="16.28515625" customWidth="1"/>
    <col min="1018" max="1018" width="14.85546875" customWidth="1"/>
    <col min="1019" max="1019" width="15.28515625" customWidth="1"/>
    <col min="1020" max="1020" width="16" customWidth="1"/>
    <col min="1021" max="1021" width="21.140625" customWidth="1"/>
    <col min="1022" max="1023" width="18.5703125" customWidth="1"/>
    <col min="1024" max="1024" width="17.7109375" customWidth="1"/>
    <col min="1261" max="1261" width="27.85546875" customWidth="1"/>
    <col min="1262" max="1262" width="42.28515625" customWidth="1"/>
    <col min="1263" max="1263" width="69.140625" customWidth="1"/>
    <col min="1264" max="1264" width="0.28515625" customWidth="1"/>
    <col min="1265" max="1268" width="0" hidden="1" customWidth="1"/>
    <col min="1269" max="1269" width="17.7109375" customWidth="1"/>
    <col min="1270" max="1270" width="16.28515625" customWidth="1"/>
    <col min="1271" max="1271" width="15.28515625" customWidth="1"/>
    <col min="1272" max="1272" width="12" customWidth="1"/>
    <col min="1273" max="1273" width="16.28515625" customWidth="1"/>
    <col min="1274" max="1274" width="14.85546875" customWidth="1"/>
    <col min="1275" max="1275" width="15.28515625" customWidth="1"/>
    <col min="1276" max="1276" width="16" customWidth="1"/>
    <col min="1277" max="1277" width="21.140625" customWidth="1"/>
    <col min="1278" max="1279" width="18.5703125" customWidth="1"/>
    <col min="1280" max="1280" width="17.7109375" customWidth="1"/>
    <col min="1517" max="1517" width="27.85546875" customWidth="1"/>
    <col min="1518" max="1518" width="42.28515625" customWidth="1"/>
    <col min="1519" max="1519" width="69.140625" customWidth="1"/>
    <col min="1520" max="1520" width="0.28515625" customWidth="1"/>
    <col min="1521" max="1524" width="0" hidden="1" customWidth="1"/>
    <col min="1525" max="1525" width="17.7109375" customWidth="1"/>
    <col min="1526" max="1526" width="16.28515625" customWidth="1"/>
    <col min="1527" max="1527" width="15.28515625" customWidth="1"/>
    <col min="1528" max="1528" width="12" customWidth="1"/>
    <col min="1529" max="1529" width="16.28515625" customWidth="1"/>
    <col min="1530" max="1530" width="14.85546875" customWidth="1"/>
    <col min="1531" max="1531" width="15.28515625" customWidth="1"/>
    <col min="1532" max="1532" width="16" customWidth="1"/>
    <col min="1533" max="1533" width="21.140625" customWidth="1"/>
    <col min="1534" max="1535" width="18.5703125" customWidth="1"/>
    <col min="1536" max="1536" width="17.7109375" customWidth="1"/>
    <col min="1773" max="1773" width="27.85546875" customWidth="1"/>
    <col min="1774" max="1774" width="42.28515625" customWidth="1"/>
    <col min="1775" max="1775" width="69.140625" customWidth="1"/>
    <col min="1776" max="1776" width="0.28515625" customWidth="1"/>
    <col min="1777" max="1780" width="0" hidden="1" customWidth="1"/>
    <col min="1781" max="1781" width="17.7109375" customWidth="1"/>
    <col min="1782" max="1782" width="16.28515625" customWidth="1"/>
    <col min="1783" max="1783" width="15.28515625" customWidth="1"/>
    <col min="1784" max="1784" width="12" customWidth="1"/>
    <col min="1785" max="1785" width="16.28515625" customWidth="1"/>
    <col min="1786" max="1786" width="14.85546875" customWidth="1"/>
    <col min="1787" max="1787" width="15.28515625" customWidth="1"/>
    <col min="1788" max="1788" width="16" customWidth="1"/>
    <col min="1789" max="1789" width="21.140625" customWidth="1"/>
    <col min="1790" max="1791" width="18.5703125" customWidth="1"/>
    <col min="1792" max="1792" width="17.7109375" customWidth="1"/>
    <col min="2029" max="2029" width="27.85546875" customWidth="1"/>
    <col min="2030" max="2030" width="42.28515625" customWidth="1"/>
    <col min="2031" max="2031" width="69.140625" customWidth="1"/>
    <col min="2032" max="2032" width="0.28515625" customWidth="1"/>
    <col min="2033" max="2036" width="0" hidden="1" customWidth="1"/>
    <col min="2037" max="2037" width="17.7109375" customWidth="1"/>
    <col min="2038" max="2038" width="16.28515625" customWidth="1"/>
    <col min="2039" max="2039" width="15.28515625" customWidth="1"/>
    <col min="2040" max="2040" width="12" customWidth="1"/>
    <col min="2041" max="2041" width="16.28515625" customWidth="1"/>
    <col min="2042" max="2042" width="14.85546875" customWidth="1"/>
    <col min="2043" max="2043" width="15.28515625" customWidth="1"/>
    <col min="2044" max="2044" width="16" customWidth="1"/>
    <col min="2045" max="2045" width="21.140625" customWidth="1"/>
    <col min="2046" max="2047" width="18.5703125" customWidth="1"/>
    <col min="2048" max="2048" width="17.7109375" customWidth="1"/>
    <col min="2285" max="2285" width="27.85546875" customWidth="1"/>
    <col min="2286" max="2286" width="42.28515625" customWidth="1"/>
    <col min="2287" max="2287" width="69.140625" customWidth="1"/>
    <col min="2288" max="2288" width="0.28515625" customWidth="1"/>
    <col min="2289" max="2292" width="0" hidden="1" customWidth="1"/>
    <col min="2293" max="2293" width="17.7109375" customWidth="1"/>
    <col min="2294" max="2294" width="16.28515625" customWidth="1"/>
    <col min="2295" max="2295" width="15.28515625" customWidth="1"/>
    <col min="2296" max="2296" width="12" customWidth="1"/>
    <col min="2297" max="2297" width="16.28515625" customWidth="1"/>
    <col min="2298" max="2298" width="14.85546875" customWidth="1"/>
    <col min="2299" max="2299" width="15.28515625" customWidth="1"/>
    <col min="2300" max="2300" width="16" customWidth="1"/>
    <col min="2301" max="2301" width="21.140625" customWidth="1"/>
    <col min="2302" max="2303" width="18.5703125" customWidth="1"/>
    <col min="2304" max="2304" width="17.7109375" customWidth="1"/>
    <col min="2541" max="2541" width="27.85546875" customWidth="1"/>
    <col min="2542" max="2542" width="42.28515625" customWidth="1"/>
    <col min="2543" max="2543" width="69.140625" customWidth="1"/>
    <col min="2544" max="2544" width="0.28515625" customWidth="1"/>
    <col min="2545" max="2548" width="0" hidden="1" customWidth="1"/>
    <col min="2549" max="2549" width="17.7109375" customWidth="1"/>
    <col min="2550" max="2550" width="16.28515625" customWidth="1"/>
    <col min="2551" max="2551" width="15.28515625" customWidth="1"/>
    <col min="2552" max="2552" width="12" customWidth="1"/>
    <col min="2553" max="2553" width="16.28515625" customWidth="1"/>
    <col min="2554" max="2554" width="14.85546875" customWidth="1"/>
    <col min="2555" max="2555" width="15.28515625" customWidth="1"/>
    <col min="2556" max="2556" width="16" customWidth="1"/>
    <col min="2557" max="2557" width="21.140625" customWidth="1"/>
    <col min="2558" max="2559" width="18.5703125" customWidth="1"/>
    <col min="2560" max="2560" width="17.7109375" customWidth="1"/>
    <col min="2797" max="2797" width="27.85546875" customWidth="1"/>
    <col min="2798" max="2798" width="42.28515625" customWidth="1"/>
    <col min="2799" max="2799" width="69.140625" customWidth="1"/>
    <col min="2800" max="2800" width="0.28515625" customWidth="1"/>
    <col min="2801" max="2804" width="0" hidden="1" customWidth="1"/>
    <col min="2805" max="2805" width="17.7109375" customWidth="1"/>
    <col min="2806" max="2806" width="16.28515625" customWidth="1"/>
    <col min="2807" max="2807" width="15.28515625" customWidth="1"/>
    <col min="2808" max="2808" width="12" customWidth="1"/>
    <col min="2809" max="2809" width="16.28515625" customWidth="1"/>
    <col min="2810" max="2810" width="14.85546875" customWidth="1"/>
    <col min="2811" max="2811" width="15.28515625" customWidth="1"/>
    <col min="2812" max="2812" width="16" customWidth="1"/>
    <col min="2813" max="2813" width="21.140625" customWidth="1"/>
    <col min="2814" max="2815" width="18.5703125" customWidth="1"/>
    <col min="2816" max="2816" width="17.7109375" customWidth="1"/>
    <col min="3053" max="3053" width="27.85546875" customWidth="1"/>
    <col min="3054" max="3054" width="42.28515625" customWidth="1"/>
    <col min="3055" max="3055" width="69.140625" customWidth="1"/>
    <col min="3056" max="3056" width="0.28515625" customWidth="1"/>
    <col min="3057" max="3060" width="0" hidden="1" customWidth="1"/>
    <col min="3061" max="3061" width="17.7109375" customWidth="1"/>
    <col min="3062" max="3062" width="16.28515625" customWidth="1"/>
    <col min="3063" max="3063" width="15.28515625" customWidth="1"/>
    <col min="3064" max="3064" width="12" customWidth="1"/>
    <col min="3065" max="3065" width="16.28515625" customWidth="1"/>
    <col min="3066" max="3066" width="14.85546875" customWidth="1"/>
    <col min="3067" max="3067" width="15.28515625" customWidth="1"/>
    <col min="3068" max="3068" width="16" customWidth="1"/>
    <col min="3069" max="3069" width="21.140625" customWidth="1"/>
    <col min="3070" max="3071" width="18.5703125" customWidth="1"/>
    <col min="3072" max="3072" width="17.7109375" customWidth="1"/>
    <col min="3309" max="3309" width="27.85546875" customWidth="1"/>
    <col min="3310" max="3310" width="42.28515625" customWidth="1"/>
    <col min="3311" max="3311" width="69.140625" customWidth="1"/>
    <col min="3312" max="3312" width="0.28515625" customWidth="1"/>
    <col min="3313" max="3316" width="0" hidden="1" customWidth="1"/>
    <col min="3317" max="3317" width="17.7109375" customWidth="1"/>
    <col min="3318" max="3318" width="16.28515625" customWidth="1"/>
    <col min="3319" max="3319" width="15.28515625" customWidth="1"/>
    <col min="3320" max="3320" width="12" customWidth="1"/>
    <col min="3321" max="3321" width="16.28515625" customWidth="1"/>
    <col min="3322" max="3322" width="14.85546875" customWidth="1"/>
    <col min="3323" max="3323" width="15.28515625" customWidth="1"/>
    <col min="3324" max="3324" width="16" customWidth="1"/>
    <col min="3325" max="3325" width="21.140625" customWidth="1"/>
    <col min="3326" max="3327" width="18.5703125" customWidth="1"/>
    <col min="3328" max="3328" width="17.7109375" customWidth="1"/>
    <col min="3565" max="3565" width="27.85546875" customWidth="1"/>
    <col min="3566" max="3566" width="42.28515625" customWidth="1"/>
    <col min="3567" max="3567" width="69.140625" customWidth="1"/>
    <col min="3568" max="3568" width="0.28515625" customWidth="1"/>
    <col min="3569" max="3572" width="0" hidden="1" customWidth="1"/>
    <col min="3573" max="3573" width="17.7109375" customWidth="1"/>
    <col min="3574" max="3574" width="16.28515625" customWidth="1"/>
    <col min="3575" max="3575" width="15.28515625" customWidth="1"/>
    <col min="3576" max="3576" width="12" customWidth="1"/>
    <col min="3577" max="3577" width="16.28515625" customWidth="1"/>
    <col min="3578" max="3578" width="14.85546875" customWidth="1"/>
    <col min="3579" max="3579" width="15.28515625" customWidth="1"/>
    <col min="3580" max="3580" width="16" customWidth="1"/>
    <col min="3581" max="3581" width="21.140625" customWidth="1"/>
    <col min="3582" max="3583" width="18.5703125" customWidth="1"/>
    <col min="3584" max="3584" width="17.7109375" customWidth="1"/>
    <col min="3821" max="3821" width="27.85546875" customWidth="1"/>
    <col min="3822" max="3822" width="42.28515625" customWidth="1"/>
    <col min="3823" max="3823" width="69.140625" customWidth="1"/>
    <col min="3824" max="3824" width="0.28515625" customWidth="1"/>
    <col min="3825" max="3828" width="0" hidden="1" customWidth="1"/>
    <col min="3829" max="3829" width="17.7109375" customWidth="1"/>
    <col min="3830" max="3830" width="16.28515625" customWidth="1"/>
    <col min="3831" max="3831" width="15.28515625" customWidth="1"/>
    <col min="3832" max="3832" width="12" customWidth="1"/>
    <col min="3833" max="3833" width="16.28515625" customWidth="1"/>
    <col min="3834" max="3834" width="14.85546875" customWidth="1"/>
    <col min="3835" max="3835" width="15.28515625" customWidth="1"/>
    <col min="3836" max="3836" width="16" customWidth="1"/>
    <col min="3837" max="3837" width="21.140625" customWidth="1"/>
    <col min="3838" max="3839" width="18.5703125" customWidth="1"/>
    <col min="3840" max="3840" width="17.7109375" customWidth="1"/>
    <col min="4077" max="4077" width="27.85546875" customWidth="1"/>
    <col min="4078" max="4078" width="42.28515625" customWidth="1"/>
    <col min="4079" max="4079" width="69.140625" customWidth="1"/>
    <col min="4080" max="4080" width="0.28515625" customWidth="1"/>
    <col min="4081" max="4084" width="0" hidden="1" customWidth="1"/>
    <col min="4085" max="4085" width="17.7109375" customWidth="1"/>
    <col min="4086" max="4086" width="16.28515625" customWidth="1"/>
    <col min="4087" max="4087" width="15.28515625" customWidth="1"/>
    <col min="4088" max="4088" width="12" customWidth="1"/>
    <col min="4089" max="4089" width="16.28515625" customWidth="1"/>
    <col min="4090" max="4090" width="14.85546875" customWidth="1"/>
    <col min="4091" max="4091" width="15.28515625" customWidth="1"/>
    <col min="4092" max="4092" width="16" customWidth="1"/>
    <col min="4093" max="4093" width="21.140625" customWidth="1"/>
    <col min="4094" max="4095" width="18.5703125" customWidth="1"/>
    <col min="4096" max="4096" width="17.7109375" customWidth="1"/>
    <col min="4333" max="4333" width="27.85546875" customWidth="1"/>
    <col min="4334" max="4334" width="42.28515625" customWidth="1"/>
    <col min="4335" max="4335" width="69.140625" customWidth="1"/>
    <col min="4336" max="4336" width="0.28515625" customWidth="1"/>
    <col min="4337" max="4340" width="0" hidden="1" customWidth="1"/>
    <col min="4341" max="4341" width="17.7109375" customWidth="1"/>
    <col min="4342" max="4342" width="16.28515625" customWidth="1"/>
    <col min="4343" max="4343" width="15.28515625" customWidth="1"/>
    <col min="4344" max="4344" width="12" customWidth="1"/>
    <col min="4345" max="4345" width="16.28515625" customWidth="1"/>
    <col min="4346" max="4346" width="14.85546875" customWidth="1"/>
    <col min="4347" max="4347" width="15.28515625" customWidth="1"/>
    <col min="4348" max="4348" width="16" customWidth="1"/>
    <col min="4349" max="4349" width="21.140625" customWidth="1"/>
    <col min="4350" max="4351" width="18.5703125" customWidth="1"/>
    <col min="4352" max="4352" width="17.7109375" customWidth="1"/>
    <col min="4589" max="4589" width="27.85546875" customWidth="1"/>
    <col min="4590" max="4590" width="42.28515625" customWidth="1"/>
    <col min="4591" max="4591" width="69.140625" customWidth="1"/>
    <col min="4592" max="4592" width="0.28515625" customWidth="1"/>
    <col min="4593" max="4596" width="0" hidden="1" customWidth="1"/>
    <col min="4597" max="4597" width="17.7109375" customWidth="1"/>
    <col min="4598" max="4598" width="16.28515625" customWidth="1"/>
    <col min="4599" max="4599" width="15.28515625" customWidth="1"/>
    <col min="4600" max="4600" width="12" customWidth="1"/>
    <col min="4601" max="4601" width="16.28515625" customWidth="1"/>
    <col min="4602" max="4602" width="14.85546875" customWidth="1"/>
    <col min="4603" max="4603" width="15.28515625" customWidth="1"/>
    <col min="4604" max="4604" width="16" customWidth="1"/>
    <col min="4605" max="4605" width="21.140625" customWidth="1"/>
    <col min="4606" max="4607" width="18.5703125" customWidth="1"/>
    <col min="4608" max="4608" width="17.7109375" customWidth="1"/>
    <col min="4845" max="4845" width="27.85546875" customWidth="1"/>
    <col min="4846" max="4846" width="42.28515625" customWidth="1"/>
    <col min="4847" max="4847" width="69.140625" customWidth="1"/>
    <col min="4848" max="4848" width="0.28515625" customWidth="1"/>
    <col min="4849" max="4852" width="0" hidden="1" customWidth="1"/>
    <col min="4853" max="4853" width="17.7109375" customWidth="1"/>
    <col min="4854" max="4854" width="16.28515625" customWidth="1"/>
    <col min="4855" max="4855" width="15.28515625" customWidth="1"/>
    <col min="4856" max="4856" width="12" customWidth="1"/>
    <col min="4857" max="4857" width="16.28515625" customWidth="1"/>
    <col min="4858" max="4858" width="14.85546875" customWidth="1"/>
    <col min="4859" max="4859" width="15.28515625" customWidth="1"/>
    <col min="4860" max="4860" width="16" customWidth="1"/>
    <col min="4861" max="4861" width="21.140625" customWidth="1"/>
    <col min="4862" max="4863" width="18.5703125" customWidth="1"/>
    <col min="4864" max="4864" width="17.7109375" customWidth="1"/>
    <col min="5101" max="5101" width="27.85546875" customWidth="1"/>
    <col min="5102" max="5102" width="42.28515625" customWidth="1"/>
    <col min="5103" max="5103" width="69.140625" customWidth="1"/>
    <col min="5104" max="5104" width="0.28515625" customWidth="1"/>
    <col min="5105" max="5108" width="0" hidden="1" customWidth="1"/>
    <col min="5109" max="5109" width="17.7109375" customWidth="1"/>
    <col min="5110" max="5110" width="16.28515625" customWidth="1"/>
    <col min="5111" max="5111" width="15.28515625" customWidth="1"/>
    <col min="5112" max="5112" width="12" customWidth="1"/>
    <col min="5113" max="5113" width="16.28515625" customWidth="1"/>
    <col min="5114" max="5114" width="14.85546875" customWidth="1"/>
    <col min="5115" max="5115" width="15.28515625" customWidth="1"/>
    <col min="5116" max="5116" width="16" customWidth="1"/>
    <col min="5117" max="5117" width="21.140625" customWidth="1"/>
    <col min="5118" max="5119" width="18.5703125" customWidth="1"/>
    <col min="5120" max="5120" width="17.7109375" customWidth="1"/>
    <col min="5357" max="5357" width="27.85546875" customWidth="1"/>
    <col min="5358" max="5358" width="42.28515625" customWidth="1"/>
    <col min="5359" max="5359" width="69.140625" customWidth="1"/>
    <col min="5360" max="5360" width="0.28515625" customWidth="1"/>
    <col min="5361" max="5364" width="0" hidden="1" customWidth="1"/>
    <col min="5365" max="5365" width="17.7109375" customWidth="1"/>
    <col min="5366" max="5366" width="16.28515625" customWidth="1"/>
    <col min="5367" max="5367" width="15.28515625" customWidth="1"/>
    <col min="5368" max="5368" width="12" customWidth="1"/>
    <col min="5369" max="5369" width="16.28515625" customWidth="1"/>
    <col min="5370" max="5370" width="14.85546875" customWidth="1"/>
    <col min="5371" max="5371" width="15.28515625" customWidth="1"/>
    <col min="5372" max="5372" width="16" customWidth="1"/>
    <col min="5373" max="5373" width="21.140625" customWidth="1"/>
    <col min="5374" max="5375" width="18.5703125" customWidth="1"/>
    <col min="5376" max="5376" width="17.7109375" customWidth="1"/>
    <col min="5613" max="5613" width="27.85546875" customWidth="1"/>
    <col min="5614" max="5614" width="42.28515625" customWidth="1"/>
    <col min="5615" max="5615" width="69.140625" customWidth="1"/>
    <col min="5616" max="5616" width="0.28515625" customWidth="1"/>
    <col min="5617" max="5620" width="0" hidden="1" customWidth="1"/>
    <col min="5621" max="5621" width="17.7109375" customWidth="1"/>
    <col min="5622" max="5622" width="16.28515625" customWidth="1"/>
    <col min="5623" max="5623" width="15.28515625" customWidth="1"/>
    <col min="5624" max="5624" width="12" customWidth="1"/>
    <col min="5625" max="5625" width="16.28515625" customWidth="1"/>
    <col min="5626" max="5626" width="14.85546875" customWidth="1"/>
    <col min="5627" max="5627" width="15.28515625" customWidth="1"/>
    <col min="5628" max="5628" width="16" customWidth="1"/>
    <col min="5629" max="5629" width="21.140625" customWidth="1"/>
    <col min="5630" max="5631" width="18.5703125" customWidth="1"/>
    <col min="5632" max="5632" width="17.7109375" customWidth="1"/>
    <col min="5869" max="5869" width="27.85546875" customWidth="1"/>
    <col min="5870" max="5870" width="42.28515625" customWidth="1"/>
    <col min="5871" max="5871" width="69.140625" customWidth="1"/>
    <col min="5872" max="5872" width="0.28515625" customWidth="1"/>
    <col min="5873" max="5876" width="0" hidden="1" customWidth="1"/>
    <col min="5877" max="5877" width="17.7109375" customWidth="1"/>
    <col min="5878" max="5878" width="16.28515625" customWidth="1"/>
    <col min="5879" max="5879" width="15.28515625" customWidth="1"/>
    <col min="5880" max="5880" width="12" customWidth="1"/>
    <col min="5881" max="5881" width="16.28515625" customWidth="1"/>
    <col min="5882" max="5882" width="14.85546875" customWidth="1"/>
    <col min="5883" max="5883" width="15.28515625" customWidth="1"/>
    <col min="5884" max="5884" width="16" customWidth="1"/>
    <col min="5885" max="5885" width="21.140625" customWidth="1"/>
    <col min="5886" max="5887" width="18.5703125" customWidth="1"/>
    <col min="5888" max="5888" width="17.7109375" customWidth="1"/>
    <col min="6125" max="6125" width="27.85546875" customWidth="1"/>
    <col min="6126" max="6126" width="42.28515625" customWidth="1"/>
    <col min="6127" max="6127" width="69.140625" customWidth="1"/>
    <col min="6128" max="6128" width="0.28515625" customWidth="1"/>
    <col min="6129" max="6132" width="0" hidden="1" customWidth="1"/>
    <col min="6133" max="6133" width="17.7109375" customWidth="1"/>
    <col min="6134" max="6134" width="16.28515625" customWidth="1"/>
    <col min="6135" max="6135" width="15.28515625" customWidth="1"/>
    <col min="6136" max="6136" width="12" customWidth="1"/>
    <col min="6137" max="6137" width="16.28515625" customWidth="1"/>
    <col min="6138" max="6138" width="14.85546875" customWidth="1"/>
    <col min="6139" max="6139" width="15.28515625" customWidth="1"/>
    <col min="6140" max="6140" width="16" customWidth="1"/>
    <col min="6141" max="6141" width="21.140625" customWidth="1"/>
    <col min="6142" max="6143" width="18.5703125" customWidth="1"/>
    <col min="6144" max="6144" width="17.7109375" customWidth="1"/>
    <col min="6381" max="6381" width="27.85546875" customWidth="1"/>
    <col min="6382" max="6382" width="42.28515625" customWidth="1"/>
    <col min="6383" max="6383" width="69.140625" customWidth="1"/>
    <col min="6384" max="6384" width="0.28515625" customWidth="1"/>
    <col min="6385" max="6388" width="0" hidden="1" customWidth="1"/>
    <col min="6389" max="6389" width="17.7109375" customWidth="1"/>
    <col min="6390" max="6390" width="16.28515625" customWidth="1"/>
    <col min="6391" max="6391" width="15.28515625" customWidth="1"/>
    <col min="6392" max="6392" width="12" customWidth="1"/>
    <col min="6393" max="6393" width="16.28515625" customWidth="1"/>
    <col min="6394" max="6394" width="14.85546875" customWidth="1"/>
    <col min="6395" max="6395" width="15.28515625" customWidth="1"/>
    <col min="6396" max="6396" width="16" customWidth="1"/>
    <col min="6397" max="6397" width="21.140625" customWidth="1"/>
    <col min="6398" max="6399" width="18.5703125" customWidth="1"/>
    <col min="6400" max="6400" width="17.7109375" customWidth="1"/>
    <col min="6637" max="6637" width="27.85546875" customWidth="1"/>
    <col min="6638" max="6638" width="42.28515625" customWidth="1"/>
    <col min="6639" max="6639" width="69.140625" customWidth="1"/>
    <col min="6640" max="6640" width="0.28515625" customWidth="1"/>
    <col min="6641" max="6644" width="0" hidden="1" customWidth="1"/>
    <col min="6645" max="6645" width="17.7109375" customWidth="1"/>
    <col min="6646" max="6646" width="16.28515625" customWidth="1"/>
    <col min="6647" max="6647" width="15.28515625" customWidth="1"/>
    <col min="6648" max="6648" width="12" customWidth="1"/>
    <col min="6649" max="6649" width="16.28515625" customWidth="1"/>
    <col min="6650" max="6650" width="14.85546875" customWidth="1"/>
    <col min="6651" max="6651" width="15.28515625" customWidth="1"/>
    <col min="6652" max="6652" width="16" customWidth="1"/>
    <col min="6653" max="6653" width="21.140625" customWidth="1"/>
    <col min="6654" max="6655" width="18.5703125" customWidth="1"/>
    <col min="6656" max="6656" width="17.7109375" customWidth="1"/>
    <col min="6893" max="6893" width="27.85546875" customWidth="1"/>
    <col min="6894" max="6894" width="42.28515625" customWidth="1"/>
    <col min="6895" max="6895" width="69.140625" customWidth="1"/>
    <col min="6896" max="6896" width="0.28515625" customWidth="1"/>
    <col min="6897" max="6900" width="0" hidden="1" customWidth="1"/>
    <col min="6901" max="6901" width="17.7109375" customWidth="1"/>
    <col min="6902" max="6902" width="16.28515625" customWidth="1"/>
    <col min="6903" max="6903" width="15.28515625" customWidth="1"/>
    <col min="6904" max="6904" width="12" customWidth="1"/>
    <col min="6905" max="6905" width="16.28515625" customWidth="1"/>
    <col min="6906" max="6906" width="14.85546875" customWidth="1"/>
    <col min="6907" max="6907" width="15.28515625" customWidth="1"/>
    <col min="6908" max="6908" width="16" customWidth="1"/>
    <col min="6909" max="6909" width="21.140625" customWidth="1"/>
    <col min="6910" max="6911" width="18.5703125" customWidth="1"/>
    <col min="6912" max="6912" width="17.7109375" customWidth="1"/>
    <col min="7149" max="7149" width="27.85546875" customWidth="1"/>
    <col min="7150" max="7150" width="42.28515625" customWidth="1"/>
    <col min="7151" max="7151" width="69.140625" customWidth="1"/>
    <col min="7152" max="7152" width="0.28515625" customWidth="1"/>
    <col min="7153" max="7156" width="0" hidden="1" customWidth="1"/>
    <col min="7157" max="7157" width="17.7109375" customWidth="1"/>
    <col min="7158" max="7158" width="16.28515625" customWidth="1"/>
    <col min="7159" max="7159" width="15.28515625" customWidth="1"/>
    <col min="7160" max="7160" width="12" customWidth="1"/>
    <col min="7161" max="7161" width="16.28515625" customWidth="1"/>
    <col min="7162" max="7162" width="14.85546875" customWidth="1"/>
    <col min="7163" max="7163" width="15.28515625" customWidth="1"/>
    <col min="7164" max="7164" width="16" customWidth="1"/>
    <col min="7165" max="7165" width="21.140625" customWidth="1"/>
    <col min="7166" max="7167" width="18.5703125" customWidth="1"/>
    <col min="7168" max="7168" width="17.7109375" customWidth="1"/>
    <col min="7405" max="7405" width="27.85546875" customWidth="1"/>
    <col min="7406" max="7406" width="42.28515625" customWidth="1"/>
    <col min="7407" max="7407" width="69.140625" customWidth="1"/>
    <col min="7408" max="7408" width="0.28515625" customWidth="1"/>
    <col min="7409" max="7412" width="0" hidden="1" customWidth="1"/>
    <col min="7413" max="7413" width="17.7109375" customWidth="1"/>
    <col min="7414" max="7414" width="16.28515625" customWidth="1"/>
    <col min="7415" max="7415" width="15.28515625" customWidth="1"/>
    <col min="7416" max="7416" width="12" customWidth="1"/>
    <col min="7417" max="7417" width="16.28515625" customWidth="1"/>
    <col min="7418" max="7418" width="14.85546875" customWidth="1"/>
    <col min="7419" max="7419" width="15.28515625" customWidth="1"/>
    <col min="7420" max="7420" width="16" customWidth="1"/>
    <col min="7421" max="7421" width="21.140625" customWidth="1"/>
    <col min="7422" max="7423" width="18.5703125" customWidth="1"/>
    <col min="7424" max="7424" width="17.7109375" customWidth="1"/>
    <col min="7661" max="7661" width="27.85546875" customWidth="1"/>
    <col min="7662" max="7662" width="42.28515625" customWidth="1"/>
    <col min="7663" max="7663" width="69.140625" customWidth="1"/>
    <col min="7664" max="7664" width="0.28515625" customWidth="1"/>
    <col min="7665" max="7668" width="0" hidden="1" customWidth="1"/>
    <col min="7669" max="7669" width="17.7109375" customWidth="1"/>
    <col min="7670" max="7670" width="16.28515625" customWidth="1"/>
    <col min="7671" max="7671" width="15.28515625" customWidth="1"/>
    <col min="7672" max="7672" width="12" customWidth="1"/>
    <col min="7673" max="7673" width="16.28515625" customWidth="1"/>
    <col min="7674" max="7674" width="14.85546875" customWidth="1"/>
    <col min="7675" max="7675" width="15.28515625" customWidth="1"/>
    <col min="7676" max="7676" width="16" customWidth="1"/>
    <col min="7677" max="7677" width="21.140625" customWidth="1"/>
    <col min="7678" max="7679" width="18.5703125" customWidth="1"/>
    <col min="7680" max="7680" width="17.7109375" customWidth="1"/>
    <col min="7917" max="7917" width="27.85546875" customWidth="1"/>
    <col min="7918" max="7918" width="42.28515625" customWidth="1"/>
    <col min="7919" max="7919" width="69.140625" customWidth="1"/>
    <col min="7920" max="7920" width="0.28515625" customWidth="1"/>
    <col min="7921" max="7924" width="0" hidden="1" customWidth="1"/>
    <col min="7925" max="7925" width="17.7109375" customWidth="1"/>
    <col min="7926" max="7926" width="16.28515625" customWidth="1"/>
    <col min="7927" max="7927" width="15.28515625" customWidth="1"/>
    <col min="7928" max="7928" width="12" customWidth="1"/>
    <col min="7929" max="7929" width="16.28515625" customWidth="1"/>
    <col min="7930" max="7930" width="14.85546875" customWidth="1"/>
    <col min="7931" max="7931" width="15.28515625" customWidth="1"/>
    <col min="7932" max="7932" width="16" customWidth="1"/>
    <col min="7933" max="7933" width="21.140625" customWidth="1"/>
    <col min="7934" max="7935" width="18.5703125" customWidth="1"/>
    <col min="7936" max="7936" width="17.7109375" customWidth="1"/>
    <col min="8173" max="8173" width="27.85546875" customWidth="1"/>
    <col min="8174" max="8174" width="42.28515625" customWidth="1"/>
    <col min="8175" max="8175" width="69.140625" customWidth="1"/>
    <col min="8176" max="8176" width="0.28515625" customWidth="1"/>
    <col min="8177" max="8180" width="0" hidden="1" customWidth="1"/>
    <col min="8181" max="8181" width="17.7109375" customWidth="1"/>
    <col min="8182" max="8182" width="16.28515625" customWidth="1"/>
    <col min="8183" max="8183" width="15.28515625" customWidth="1"/>
    <col min="8184" max="8184" width="12" customWidth="1"/>
    <col min="8185" max="8185" width="16.28515625" customWidth="1"/>
    <col min="8186" max="8186" width="14.85546875" customWidth="1"/>
    <col min="8187" max="8187" width="15.28515625" customWidth="1"/>
    <col min="8188" max="8188" width="16" customWidth="1"/>
    <col min="8189" max="8189" width="21.140625" customWidth="1"/>
    <col min="8190" max="8191" width="18.5703125" customWidth="1"/>
    <col min="8192" max="8192" width="17.7109375" customWidth="1"/>
    <col min="8429" max="8429" width="27.85546875" customWidth="1"/>
    <col min="8430" max="8430" width="42.28515625" customWidth="1"/>
    <col min="8431" max="8431" width="69.140625" customWidth="1"/>
    <col min="8432" max="8432" width="0.28515625" customWidth="1"/>
    <col min="8433" max="8436" width="0" hidden="1" customWidth="1"/>
    <col min="8437" max="8437" width="17.7109375" customWidth="1"/>
    <col min="8438" max="8438" width="16.28515625" customWidth="1"/>
    <col min="8439" max="8439" width="15.28515625" customWidth="1"/>
    <col min="8440" max="8440" width="12" customWidth="1"/>
    <col min="8441" max="8441" width="16.28515625" customWidth="1"/>
    <col min="8442" max="8442" width="14.85546875" customWidth="1"/>
    <col min="8443" max="8443" width="15.28515625" customWidth="1"/>
    <col min="8444" max="8444" width="16" customWidth="1"/>
    <col min="8445" max="8445" width="21.140625" customWidth="1"/>
    <col min="8446" max="8447" width="18.5703125" customWidth="1"/>
    <col min="8448" max="8448" width="17.7109375" customWidth="1"/>
    <col min="8685" max="8685" width="27.85546875" customWidth="1"/>
    <col min="8686" max="8686" width="42.28515625" customWidth="1"/>
    <col min="8687" max="8687" width="69.140625" customWidth="1"/>
    <col min="8688" max="8688" width="0.28515625" customWidth="1"/>
    <col min="8689" max="8692" width="0" hidden="1" customWidth="1"/>
    <col min="8693" max="8693" width="17.7109375" customWidth="1"/>
    <col min="8694" max="8694" width="16.28515625" customWidth="1"/>
    <col min="8695" max="8695" width="15.28515625" customWidth="1"/>
    <col min="8696" max="8696" width="12" customWidth="1"/>
    <col min="8697" max="8697" width="16.28515625" customWidth="1"/>
    <col min="8698" max="8698" width="14.85546875" customWidth="1"/>
    <col min="8699" max="8699" width="15.28515625" customWidth="1"/>
    <col min="8700" max="8700" width="16" customWidth="1"/>
    <col min="8701" max="8701" width="21.140625" customWidth="1"/>
    <col min="8702" max="8703" width="18.5703125" customWidth="1"/>
    <col min="8704" max="8704" width="17.7109375" customWidth="1"/>
    <col min="8941" max="8941" width="27.85546875" customWidth="1"/>
    <col min="8942" max="8942" width="42.28515625" customWidth="1"/>
    <col min="8943" max="8943" width="69.140625" customWidth="1"/>
    <col min="8944" max="8944" width="0.28515625" customWidth="1"/>
    <col min="8945" max="8948" width="0" hidden="1" customWidth="1"/>
    <col min="8949" max="8949" width="17.7109375" customWidth="1"/>
    <col min="8950" max="8950" width="16.28515625" customWidth="1"/>
    <col min="8951" max="8951" width="15.28515625" customWidth="1"/>
    <col min="8952" max="8952" width="12" customWidth="1"/>
    <col min="8953" max="8953" width="16.28515625" customWidth="1"/>
    <col min="8954" max="8954" width="14.85546875" customWidth="1"/>
    <col min="8955" max="8955" width="15.28515625" customWidth="1"/>
    <col min="8956" max="8956" width="16" customWidth="1"/>
    <col min="8957" max="8957" width="21.140625" customWidth="1"/>
    <col min="8958" max="8959" width="18.5703125" customWidth="1"/>
    <col min="8960" max="8960" width="17.7109375" customWidth="1"/>
    <col min="9197" max="9197" width="27.85546875" customWidth="1"/>
    <col min="9198" max="9198" width="42.28515625" customWidth="1"/>
    <col min="9199" max="9199" width="69.140625" customWidth="1"/>
    <col min="9200" max="9200" width="0.28515625" customWidth="1"/>
    <col min="9201" max="9204" width="0" hidden="1" customWidth="1"/>
    <col min="9205" max="9205" width="17.7109375" customWidth="1"/>
    <col min="9206" max="9206" width="16.28515625" customWidth="1"/>
    <col min="9207" max="9207" width="15.28515625" customWidth="1"/>
    <col min="9208" max="9208" width="12" customWidth="1"/>
    <col min="9209" max="9209" width="16.28515625" customWidth="1"/>
    <col min="9210" max="9210" width="14.85546875" customWidth="1"/>
    <col min="9211" max="9211" width="15.28515625" customWidth="1"/>
    <col min="9212" max="9212" width="16" customWidth="1"/>
    <col min="9213" max="9213" width="21.140625" customWidth="1"/>
    <col min="9214" max="9215" width="18.5703125" customWidth="1"/>
    <col min="9216" max="9216" width="17.7109375" customWidth="1"/>
    <col min="9453" max="9453" width="27.85546875" customWidth="1"/>
    <col min="9454" max="9454" width="42.28515625" customWidth="1"/>
    <col min="9455" max="9455" width="69.140625" customWidth="1"/>
    <col min="9456" max="9456" width="0.28515625" customWidth="1"/>
    <col min="9457" max="9460" width="0" hidden="1" customWidth="1"/>
    <col min="9461" max="9461" width="17.7109375" customWidth="1"/>
    <col min="9462" max="9462" width="16.28515625" customWidth="1"/>
    <col min="9463" max="9463" width="15.28515625" customWidth="1"/>
    <col min="9464" max="9464" width="12" customWidth="1"/>
    <col min="9465" max="9465" width="16.28515625" customWidth="1"/>
    <col min="9466" max="9466" width="14.85546875" customWidth="1"/>
    <col min="9467" max="9467" width="15.28515625" customWidth="1"/>
    <col min="9468" max="9468" width="16" customWidth="1"/>
    <col min="9469" max="9469" width="21.140625" customWidth="1"/>
    <col min="9470" max="9471" width="18.5703125" customWidth="1"/>
    <col min="9472" max="9472" width="17.7109375" customWidth="1"/>
    <col min="9709" max="9709" width="27.85546875" customWidth="1"/>
    <col min="9710" max="9710" width="42.28515625" customWidth="1"/>
    <col min="9711" max="9711" width="69.140625" customWidth="1"/>
    <col min="9712" max="9712" width="0.28515625" customWidth="1"/>
    <col min="9713" max="9716" width="0" hidden="1" customWidth="1"/>
    <col min="9717" max="9717" width="17.7109375" customWidth="1"/>
    <col min="9718" max="9718" width="16.28515625" customWidth="1"/>
    <col min="9719" max="9719" width="15.28515625" customWidth="1"/>
    <col min="9720" max="9720" width="12" customWidth="1"/>
    <col min="9721" max="9721" width="16.28515625" customWidth="1"/>
    <col min="9722" max="9722" width="14.85546875" customWidth="1"/>
    <col min="9723" max="9723" width="15.28515625" customWidth="1"/>
    <col min="9724" max="9724" width="16" customWidth="1"/>
    <col min="9725" max="9725" width="21.140625" customWidth="1"/>
    <col min="9726" max="9727" width="18.5703125" customWidth="1"/>
    <col min="9728" max="9728" width="17.7109375" customWidth="1"/>
    <col min="9965" max="9965" width="27.85546875" customWidth="1"/>
    <col min="9966" max="9966" width="42.28515625" customWidth="1"/>
    <col min="9967" max="9967" width="69.140625" customWidth="1"/>
    <col min="9968" max="9968" width="0.28515625" customWidth="1"/>
    <col min="9969" max="9972" width="0" hidden="1" customWidth="1"/>
    <col min="9973" max="9973" width="17.7109375" customWidth="1"/>
    <col min="9974" max="9974" width="16.28515625" customWidth="1"/>
    <col min="9975" max="9975" width="15.28515625" customWidth="1"/>
    <col min="9976" max="9976" width="12" customWidth="1"/>
    <col min="9977" max="9977" width="16.28515625" customWidth="1"/>
    <col min="9978" max="9978" width="14.85546875" customWidth="1"/>
    <col min="9979" max="9979" width="15.28515625" customWidth="1"/>
    <col min="9980" max="9980" width="16" customWidth="1"/>
    <col min="9981" max="9981" width="21.140625" customWidth="1"/>
    <col min="9982" max="9983" width="18.5703125" customWidth="1"/>
    <col min="9984" max="9984" width="17.7109375" customWidth="1"/>
    <col min="10221" max="10221" width="27.85546875" customWidth="1"/>
    <col min="10222" max="10222" width="42.28515625" customWidth="1"/>
    <col min="10223" max="10223" width="69.140625" customWidth="1"/>
    <col min="10224" max="10224" width="0.28515625" customWidth="1"/>
    <col min="10225" max="10228" width="0" hidden="1" customWidth="1"/>
    <col min="10229" max="10229" width="17.7109375" customWidth="1"/>
    <col min="10230" max="10230" width="16.28515625" customWidth="1"/>
    <col min="10231" max="10231" width="15.28515625" customWidth="1"/>
    <col min="10232" max="10232" width="12" customWidth="1"/>
    <col min="10233" max="10233" width="16.28515625" customWidth="1"/>
    <col min="10234" max="10234" width="14.85546875" customWidth="1"/>
    <col min="10235" max="10235" width="15.28515625" customWidth="1"/>
    <col min="10236" max="10236" width="16" customWidth="1"/>
    <col min="10237" max="10237" width="21.140625" customWidth="1"/>
    <col min="10238" max="10239" width="18.5703125" customWidth="1"/>
    <col min="10240" max="10240" width="17.7109375" customWidth="1"/>
    <col min="10477" max="10477" width="27.85546875" customWidth="1"/>
    <col min="10478" max="10478" width="42.28515625" customWidth="1"/>
    <col min="10479" max="10479" width="69.140625" customWidth="1"/>
    <col min="10480" max="10480" width="0.28515625" customWidth="1"/>
    <col min="10481" max="10484" width="0" hidden="1" customWidth="1"/>
    <col min="10485" max="10485" width="17.7109375" customWidth="1"/>
    <col min="10486" max="10486" width="16.28515625" customWidth="1"/>
    <col min="10487" max="10487" width="15.28515625" customWidth="1"/>
    <col min="10488" max="10488" width="12" customWidth="1"/>
    <col min="10489" max="10489" width="16.28515625" customWidth="1"/>
    <col min="10490" max="10490" width="14.85546875" customWidth="1"/>
    <col min="10491" max="10491" width="15.28515625" customWidth="1"/>
    <col min="10492" max="10492" width="16" customWidth="1"/>
    <col min="10493" max="10493" width="21.140625" customWidth="1"/>
    <col min="10494" max="10495" width="18.5703125" customWidth="1"/>
    <col min="10496" max="10496" width="17.7109375" customWidth="1"/>
    <col min="10733" max="10733" width="27.85546875" customWidth="1"/>
    <col min="10734" max="10734" width="42.28515625" customWidth="1"/>
    <col min="10735" max="10735" width="69.140625" customWidth="1"/>
    <col min="10736" max="10736" width="0.28515625" customWidth="1"/>
    <col min="10737" max="10740" width="0" hidden="1" customWidth="1"/>
    <col min="10741" max="10741" width="17.7109375" customWidth="1"/>
    <col min="10742" max="10742" width="16.28515625" customWidth="1"/>
    <col min="10743" max="10743" width="15.28515625" customWidth="1"/>
    <col min="10744" max="10744" width="12" customWidth="1"/>
    <col min="10745" max="10745" width="16.28515625" customWidth="1"/>
    <col min="10746" max="10746" width="14.85546875" customWidth="1"/>
    <col min="10747" max="10747" width="15.28515625" customWidth="1"/>
    <col min="10748" max="10748" width="16" customWidth="1"/>
    <col min="10749" max="10749" width="21.140625" customWidth="1"/>
    <col min="10750" max="10751" width="18.5703125" customWidth="1"/>
    <col min="10752" max="10752" width="17.7109375" customWidth="1"/>
    <col min="10989" max="10989" width="27.85546875" customWidth="1"/>
    <col min="10990" max="10990" width="42.28515625" customWidth="1"/>
    <col min="10991" max="10991" width="69.140625" customWidth="1"/>
    <col min="10992" max="10992" width="0.28515625" customWidth="1"/>
    <col min="10993" max="10996" width="0" hidden="1" customWidth="1"/>
    <col min="10997" max="10997" width="17.7109375" customWidth="1"/>
    <col min="10998" max="10998" width="16.28515625" customWidth="1"/>
    <col min="10999" max="10999" width="15.28515625" customWidth="1"/>
    <col min="11000" max="11000" width="12" customWidth="1"/>
    <col min="11001" max="11001" width="16.28515625" customWidth="1"/>
    <col min="11002" max="11002" width="14.85546875" customWidth="1"/>
    <col min="11003" max="11003" width="15.28515625" customWidth="1"/>
    <col min="11004" max="11004" width="16" customWidth="1"/>
    <col min="11005" max="11005" width="21.140625" customWidth="1"/>
    <col min="11006" max="11007" width="18.5703125" customWidth="1"/>
    <col min="11008" max="11008" width="17.7109375" customWidth="1"/>
    <col min="11245" max="11245" width="27.85546875" customWidth="1"/>
    <col min="11246" max="11246" width="42.28515625" customWidth="1"/>
    <col min="11247" max="11247" width="69.140625" customWidth="1"/>
    <col min="11248" max="11248" width="0.28515625" customWidth="1"/>
    <col min="11249" max="11252" width="0" hidden="1" customWidth="1"/>
    <col min="11253" max="11253" width="17.7109375" customWidth="1"/>
    <col min="11254" max="11254" width="16.28515625" customWidth="1"/>
    <col min="11255" max="11255" width="15.28515625" customWidth="1"/>
    <col min="11256" max="11256" width="12" customWidth="1"/>
    <col min="11257" max="11257" width="16.28515625" customWidth="1"/>
    <col min="11258" max="11258" width="14.85546875" customWidth="1"/>
    <col min="11259" max="11259" width="15.28515625" customWidth="1"/>
    <col min="11260" max="11260" width="16" customWidth="1"/>
    <col min="11261" max="11261" width="21.140625" customWidth="1"/>
    <col min="11262" max="11263" width="18.5703125" customWidth="1"/>
    <col min="11264" max="11264" width="17.7109375" customWidth="1"/>
    <col min="11501" max="11501" width="27.85546875" customWidth="1"/>
    <col min="11502" max="11502" width="42.28515625" customWidth="1"/>
    <col min="11503" max="11503" width="69.140625" customWidth="1"/>
    <col min="11504" max="11504" width="0.28515625" customWidth="1"/>
    <col min="11505" max="11508" width="0" hidden="1" customWidth="1"/>
    <col min="11509" max="11509" width="17.7109375" customWidth="1"/>
    <col min="11510" max="11510" width="16.28515625" customWidth="1"/>
    <col min="11511" max="11511" width="15.28515625" customWidth="1"/>
    <col min="11512" max="11512" width="12" customWidth="1"/>
    <col min="11513" max="11513" width="16.28515625" customWidth="1"/>
    <col min="11514" max="11514" width="14.85546875" customWidth="1"/>
    <col min="11515" max="11515" width="15.28515625" customWidth="1"/>
    <col min="11516" max="11516" width="16" customWidth="1"/>
    <col min="11517" max="11517" width="21.140625" customWidth="1"/>
    <col min="11518" max="11519" width="18.5703125" customWidth="1"/>
    <col min="11520" max="11520" width="17.7109375" customWidth="1"/>
    <col min="11757" max="11757" width="27.85546875" customWidth="1"/>
    <col min="11758" max="11758" width="42.28515625" customWidth="1"/>
    <col min="11759" max="11759" width="69.140625" customWidth="1"/>
    <col min="11760" max="11760" width="0.28515625" customWidth="1"/>
    <col min="11761" max="11764" width="0" hidden="1" customWidth="1"/>
    <col min="11765" max="11765" width="17.7109375" customWidth="1"/>
    <col min="11766" max="11766" width="16.28515625" customWidth="1"/>
    <col min="11767" max="11767" width="15.28515625" customWidth="1"/>
    <col min="11768" max="11768" width="12" customWidth="1"/>
    <col min="11769" max="11769" width="16.28515625" customWidth="1"/>
    <col min="11770" max="11770" width="14.85546875" customWidth="1"/>
    <col min="11771" max="11771" width="15.28515625" customWidth="1"/>
    <col min="11772" max="11772" width="16" customWidth="1"/>
    <col min="11773" max="11773" width="21.140625" customWidth="1"/>
    <col min="11774" max="11775" width="18.5703125" customWidth="1"/>
    <col min="11776" max="11776" width="17.7109375" customWidth="1"/>
    <col min="12013" max="12013" width="27.85546875" customWidth="1"/>
    <col min="12014" max="12014" width="42.28515625" customWidth="1"/>
    <col min="12015" max="12015" width="69.140625" customWidth="1"/>
    <col min="12016" max="12016" width="0.28515625" customWidth="1"/>
    <col min="12017" max="12020" width="0" hidden="1" customWidth="1"/>
    <col min="12021" max="12021" width="17.7109375" customWidth="1"/>
    <col min="12022" max="12022" width="16.28515625" customWidth="1"/>
    <col min="12023" max="12023" width="15.28515625" customWidth="1"/>
    <col min="12024" max="12024" width="12" customWidth="1"/>
    <col min="12025" max="12025" width="16.28515625" customWidth="1"/>
    <col min="12026" max="12026" width="14.85546875" customWidth="1"/>
    <col min="12027" max="12027" width="15.28515625" customWidth="1"/>
    <col min="12028" max="12028" width="16" customWidth="1"/>
    <col min="12029" max="12029" width="21.140625" customWidth="1"/>
    <col min="12030" max="12031" width="18.5703125" customWidth="1"/>
    <col min="12032" max="12032" width="17.7109375" customWidth="1"/>
    <col min="12269" max="12269" width="27.85546875" customWidth="1"/>
    <col min="12270" max="12270" width="42.28515625" customWidth="1"/>
    <col min="12271" max="12271" width="69.140625" customWidth="1"/>
    <col min="12272" max="12272" width="0.28515625" customWidth="1"/>
    <col min="12273" max="12276" width="0" hidden="1" customWidth="1"/>
    <col min="12277" max="12277" width="17.7109375" customWidth="1"/>
    <col min="12278" max="12278" width="16.28515625" customWidth="1"/>
    <col min="12279" max="12279" width="15.28515625" customWidth="1"/>
    <col min="12280" max="12280" width="12" customWidth="1"/>
    <col min="12281" max="12281" width="16.28515625" customWidth="1"/>
    <col min="12282" max="12282" width="14.85546875" customWidth="1"/>
    <col min="12283" max="12283" width="15.28515625" customWidth="1"/>
    <col min="12284" max="12284" width="16" customWidth="1"/>
    <col min="12285" max="12285" width="21.140625" customWidth="1"/>
    <col min="12286" max="12287" width="18.5703125" customWidth="1"/>
    <col min="12288" max="12288" width="17.7109375" customWidth="1"/>
    <col min="12525" max="12525" width="27.85546875" customWidth="1"/>
    <col min="12526" max="12526" width="42.28515625" customWidth="1"/>
    <col min="12527" max="12527" width="69.140625" customWidth="1"/>
    <col min="12528" max="12528" width="0.28515625" customWidth="1"/>
    <col min="12529" max="12532" width="0" hidden="1" customWidth="1"/>
    <col min="12533" max="12533" width="17.7109375" customWidth="1"/>
    <col min="12534" max="12534" width="16.28515625" customWidth="1"/>
    <col min="12535" max="12535" width="15.28515625" customWidth="1"/>
    <col min="12536" max="12536" width="12" customWidth="1"/>
    <col min="12537" max="12537" width="16.28515625" customWidth="1"/>
    <col min="12538" max="12538" width="14.85546875" customWidth="1"/>
    <col min="12539" max="12539" width="15.28515625" customWidth="1"/>
    <col min="12540" max="12540" width="16" customWidth="1"/>
    <col min="12541" max="12541" width="21.140625" customWidth="1"/>
    <col min="12542" max="12543" width="18.5703125" customWidth="1"/>
    <col min="12544" max="12544" width="17.7109375" customWidth="1"/>
    <col min="12781" max="12781" width="27.85546875" customWidth="1"/>
    <col min="12782" max="12782" width="42.28515625" customWidth="1"/>
    <col min="12783" max="12783" width="69.140625" customWidth="1"/>
    <col min="12784" max="12784" width="0.28515625" customWidth="1"/>
    <col min="12785" max="12788" width="0" hidden="1" customWidth="1"/>
    <col min="12789" max="12789" width="17.7109375" customWidth="1"/>
    <col min="12790" max="12790" width="16.28515625" customWidth="1"/>
    <col min="12791" max="12791" width="15.28515625" customWidth="1"/>
    <col min="12792" max="12792" width="12" customWidth="1"/>
    <col min="12793" max="12793" width="16.28515625" customWidth="1"/>
    <col min="12794" max="12794" width="14.85546875" customWidth="1"/>
    <col min="12795" max="12795" width="15.28515625" customWidth="1"/>
    <col min="12796" max="12796" width="16" customWidth="1"/>
    <col min="12797" max="12797" width="21.140625" customWidth="1"/>
    <col min="12798" max="12799" width="18.5703125" customWidth="1"/>
    <col min="12800" max="12800" width="17.7109375" customWidth="1"/>
    <col min="13037" max="13037" width="27.85546875" customWidth="1"/>
    <col min="13038" max="13038" width="42.28515625" customWidth="1"/>
    <col min="13039" max="13039" width="69.140625" customWidth="1"/>
    <col min="13040" max="13040" width="0.28515625" customWidth="1"/>
    <col min="13041" max="13044" width="0" hidden="1" customWidth="1"/>
    <col min="13045" max="13045" width="17.7109375" customWidth="1"/>
    <col min="13046" max="13046" width="16.28515625" customWidth="1"/>
    <col min="13047" max="13047" width="15.28515625" customWidth="1"/>
    <col min="13048" max="13048" width="12" customWidth="1"/>
    <col min="13049" max="13049" width="16.28515625" customWidth="1"/>
    <col min="13050" max="13050" width="14.85546875" customWidth="1"/>
    <col min="13051" max="13051" width="15.28515625" customWidth="1"/>
    <col min="13052" max="13052" width="16" customWidth="1"/>
    <col min="13053" max="13053" width="21.140625" customWidth="1"/>
    <col min="13054" max="13055" width="18.5703125" customWidth="1"/>
    <col min="13056" max="13056" width="17.7109375" customWidth="1"/>
    <col min="13293" max="13293" width="27.85546875" customWidth="1"/>
    <col min="13294" max="13294" width="42.28515625" customWidth="1"/>
    <col min="13295" max="13295" width="69.140625" customWidth="1"/>
    <col min="13296" max="13296" width="0.28515625" customWidth="1"/>
    <col min="13297" max="13300" width="0" hidden="1" customWidth="1"/>
    <col min="13301" max="13301" width="17.7109375" customWidth="1"/>
    <col min="13302" max="13302" width="16.28515625" customWidth="1"/>
    <col min="13303" max="13303" width="15.28515625" customWidth="1"/>
    <col min="13304" max="13304" width="12" customWidth="1"/>
    <col min="13305" max="13305" width="16.28515625" customWidth="1"/>
    <col min="13306" max="13306" width="14.85546875" customWidth="1"/>
    <col min="13307" max="13307" width="15.28515625" customWidth="1"/>
    <col min="13308" max="13308" width="16" customWidth="1"/>
    <col min="13309" max="13309" width="21.140625" customWidth="1"/>
    <col min="13310" max="13311" width="18.5703125" customWidth="1"/>
    <col min="13312" max="13312" width="17.7109375" customWidth="1"/>
    <col min="13549" max="13549" width="27.85546875" customWidth="1"/>
    <col min="13550" max="13550" width="42.28515625" customWidth="1"/>
    <col min="13551" max="13551" width="69.140625" customWidth="1"/>
    <col min="13552" max="13552" width="0.28515625" customWidth="1"/>
    <col min="13553" max="13556" width="0" hidden="1" customWidth="1"/>
    <col min="13557" max="13557" width="17.7109375" customWidth="1"/>
    <col min="13558" max="13558" width="16.28515625" customWidth="1"/>
    <col min="13559" max="13559" width="15.28515625" customWidth="1"/>
    <col min="13560" max="13560" width="12" customWidth="1"/>
    <col min="13561" max="13561" width="16.28515625" customWidth="1"/>
    <col min="13562" max="13562" width="14.85546875" customWidth="1"/>
    <col min="13563" max="13563" width="15.28515625" customWidth="1"/>
    <col min="13564" max="13564" width="16" customWidth="1"/>
    <col min="13565" max="13565" width="21.140625" customWidth="1"/>
    <col min="13566" max="13567" width="18.5703125" customWidth="1"/>
    <col min="13568" max="13568" width="17.7109375" customWidth="1"/>
    <col min="13805" max="13805" width="27.85546875" customWidth="1"/>
    <col min="13806" max="13806" width="42.28515625" customWidth="1"/>
    <col min="13807" max="13807" width="69.140625" customWidth="1"/>
    <col min="13808" max="13808" width="0.28515625" customWidth="1"/>
    <col min="13809" max="13812" width="0" hidden="1" customWidth="1"/>
    <col min="13813" max="13813" width="17.7109375" customWidth="1"/>
    <col min="13814" max="13814" width="16.28515625" customWidth="1"/>
    <col min="13815" max="13815" width="15.28515625" customWidth="1"/>
    <col min="13816" max="13816" width="12" customWidth="1"/>
    <col min="13817" max="13817" width="16.28515625" customWidth="1"/>
    <col min="13818" max="13818" width="14.85546875" customWidth="1"/>
    <col min="13819" max="13819" width="15.28515625" customWidth="1"/>
    <col min="13820" max="13820" width="16" customWidth="1"/>
    <col min="13821" max="13821" width="21.140625" customWidth="1"/>
    <col min="13822" max="13823" width="18.5703125" customWidth="1"/>
    <col min="13824" max="13824" width="17.7109375" customWidth="1"/>
    <col min="14061" max="14061" width="27.85546875" customWidth="1"/>
    <col min="14062" max="14062" width="42.28515625" customWidth="1"/>
    <col min="14063" max="14063" width="69.140625" customWidth="1"/>
    <col min="14064" max="14064" width="0.28515625" customWidth="1"/>
    <col min="14065" max="14068" width="0" hidden="1" customWidth="1"/>
    <col min="14069" max="14069" width="17.7109375" customWidth="1"/>
    <col min="14070" max="14070" width="16.28515625" customWidth="1"/>
    <col min="14071" max="14071" width="15.28515625" customWidth="1"/>
    <col min="14072" max="14072" width="12" customWidth="1"/>
    <col min="14073" max="14073" width="16.28515625" customWidth="1"/>
    <col min="14074" max="14074" width="14.85546875" customWidth="1"/>
    <col min="14075" max="14075" width="15.28515625" customWidth="1"/>
    <col min="14076" max="14076" width="16" customWidth="1"/>
    <col min="14077" max="14077" width="21.140625" customWidth="1"/>
    <col min="14078" max="14079" width="18.5703125" customWidth="1"/>
    <col min="14080" max="14080" width="17.7109375" customWidth="1"/>
    <col min="14317" max="14317" width="27.85546875" customWidth="1"/>
    <col min="14318" max="14318" width="42.28515625" customWidth="1"/>
    <col min="14319" max="14319" width="69.140625" customWidth="1"/>
    <col min="14320" max="14320" width="0.28515625" customWidth="1"/>
    <col min="14321" max="14324" width="0" hidden="1" customWidth="1"/>
    <col min="14325" max="14325" width="17.7109375" customWidth="1"/>
    <col min="14326" max="14326" width="16.28515625" customWidth="1"/>
    <col min="14327" max="14327" width="15.28515625" customWidth="1"/>
    <col min="14328" max="14328" width="12" customWidth="1"/>
    <col min="14329" max="14329" width="16.28515625" customWidth="1"/>
    <col min="14330" max="14330" width="14.85546875" customWidth="1"/>
    <col min="14331" max="14331" width="15.28515625" customWidth="1"/>
    <col min="14332" max="14332" width="16" customWidth="1"/>
    <col min="14333" max="14333" width="21.140625" customWidth="1"/>
    <col min="14334" max="14335" width="18.5703125" customWidth="1"/>
    <col min="14336" max="14336" width="17.7109375" customWidth="1"/>
    <col min="14573" max="14573" width="27.85546875" customWidth="1"/>
    <col min="14574" max="14574" width="42.28515625" customWidth="1"/>
    <col min="14575" max="14575" width="69.140625" customWidth="1"/>
    <col min="14576" max="14576" width="0.28515625" customWidth="1"/>
    <col min="14577" max="14580" width="0" hidden="1" customWidth="1"/>
    <col min="14581" max="14581" width="17.7109375" customWidth="1"/>
    <col min="14582" max="14582" width="16.28515625" customWidth="1"/>
    <col min="14583" max="14583" width="15.28515625" customWidth="1"/>
    <col min="14584" max="14584" width="12" customWidth="1"/>
    <col min="14585" max="14585" width="16.28515625" customWidth="1"/>
    <col min="14586" max="14586" width="14.85546875" customWidth="1"/>
    <col min="14587" max="14587" width="15.28515625" customWidth="1"/>
    <col min="14588" max="14588" width="16" customWidth="1"/>
    <col min="14589" max="14589" width="21.140625" customWidth="1"/>
    <col min="14590" max="14591" width="18.5703125" customWidth="1"/>
    <col min="14592" max="14592" width="17.7109375" customWidth="1"/>
    <col min="14829" max="14829" width="27.85546875" customWidth="1"/>
    <col min="14830" max="14830" width="42.28515625" customWidth="1"/>
    <col min="14831" max="14831" width="69.140625" customWidth="1"/>
    <col min="14832" max="14832" width="0.28515625" customWidth="1"/>
    <col min="14833" max="14836" width="0" hidden="1" customWidth="1"/>
    <col min="14837" max="14837" width="17.7109375" customWidth="1"/>
    <col min="14838" max="14838" width="16.28515625" customWidth="1"/>
    <col min="14839" max="14839" width="15.28515625" customWidth="1"/>
    <col min="14840" max="14840" width="12" customWidth="1"/>
    <col min="14841" max="14841" width="16.28515625" customWidth="1"/>
    <col min="14842" max="14842" width="14.85546875" customWidth="1"/>
    <col min="14843" max="14843" width="15.28515625" customWidth="1"/>
    <col min="14844" max="14844" width="16" customWidth="1"/>
    <col min="14845" max="14845" width="21.140625" customWidth="1"/>
    <col min="14846" max="14847" width="18.5703125" customWidth="1"/>
    <col min="14848" max="14848" width="17.7109375" customWidth="1"/>
    <col min="15085" max="15085" width="27.85546875" customWidth="1"/>
    <col min="15086" max="15086" width="42.28515625" customWidth="1"/>
    <col min="15087" max="15087" width="69.140625" customWidth="1"/>
    <col min="15088" max="15088" width="0.28515625" customWidth="1"/>
    <col min="15089" max="15092" width="0" hidden="1" customWidth="1"/>
    <col min="15093" max="15093" width="17.7109375" customWidth="1"/>
    <col min="15094" max="15094" width="16.28515625" customWidth="1"/>
    <col min="15095" max="15095" width="15.28515625" customWidth="1"/>
    <col min="15096" max="15096" width="12" customWidth="1"/>
    <col min="15097" max="15097" width="16.28515625" customWidth="1"/>
    <col min="15098" max="15098" width="14.85546875" customWidth="1"/>
    <col min="15099" max="15099" width="15.28515625" customWidth="1"/>
    <col min="15100" max="15100" width="16" customWidth="1"/>
    <col min="15101" max="15101" width="21.140625" customWidth="1"/>
    <col min="15102" max="15103" width="18.5703125" customWidth="1"/>
    <col min="15104" max="15104" width="17.7109375" customWidth="1"/>
    <col min="15341" max="15341" width="27.85546875" customWidth="1"/>
    <col min="15342" max="15342" width="42.28515625" customWidth="1"/>
    <col min="15343" max="15343" width="69.140625" customWidth="1"/>
    <col min="15344" max="15344" width="0.28515625" customWidth="1"/>
    <col min="15345" max="15348" width="0" hidden="1" customWidth="1"/>
    <col min="15349" max="15349" width="17.7109375" customWidth="1"/>
    <col min="15350" max="15350" width="16.28515625" customWidth="1"/>
    <col min="15351" max="15351" width="15.28515625" customWidth="1"/>
    <col min="15352" max="15352" width="12" customWidth="1"/>
    <col min="15353" max="15353" width="16.28515625" customWidth="1"/>
    <col min="15354" max="15354" width="14.85546875" customWidth="1"/>
    <col min="15355" max="15355" width="15.28515625" customWidth="1"/>
    <col min="15356" max="15356" width="16" customWidth="1"/>
    <col min="15357" max="15357" width="21.140625" customWidth="1"/>
    <col min="15358" max="15359" width="18.5703125" customWidth="1"/>
    <col min="15360" max="15360" width="17.7109375" customWidth="1"/>
    <col min="15597" max="15597" width="27.85546875" customWidth="1"/>
    <col min="15598" max="15598" width="42.28515625" customWidth="1"/>
    <col min="15599" max="15599" width="69.140625" customWidth="1"/>
    <col min="15600" max="15600" width="0.28515625" customWidth="1"/>
    <col min="15601" max="15604" width="0" hidden="1" customWidth="1"/>
    <col min="15605" max="15605" width="17.7109375" customWidth="1"/>
    <col min="15606" max="15606" width="16.28515625" customWidth="1"/>
    <col min="15607" max="15607" width="15.28515625" customWidth="1"/>
    <col min="15608" max="15608" width="12" customWidth="1"/>
    <col min="15609" max="15609" width="16.28515625" customWidth="1"/>
    <col min="15610" max="15610" width="14.85546875" customWidth="1"/>
    <col min="15611" max="15611" width="15.28515625" customWidth="1"/>
    <col min="15612" max="15612" width="16" customWidth="1"/>
    <col min="15613" max="15613" width="21.140625" customWidth="1"/>
    <col min="15614" max="15615" width="18.5703125" customWidth="1"/>
    <col min="15616" max="15616" width="17.7109375" customWidth="1"/>
    <col min="15853" max="15853" width="27.85546875" customWidth="1"/>
    <col min="15854" max="15854" width="42.28515625" customWidth="1"/>
    <col min="15855" max="15855" width="69.140625" customWidth="1"/>
    <col min="15856" max="15856" width="0.28515625" customWidth="1"/>
    <col min="15857" max="15860" width="0" hidden="1" customWidth="1"/>
    <col min="15861" max="15861" width="17.7109375" customWidth="1"/>
    <col min="15862" max="15862" width="16.28515625" customWidth="1"/>
    <col min="15863" max="15863" width="15.28515625" customWidth="1"/>
    <col min="15864" max="15864" width="12" customWidth="1"/>
    <col min="15865" max="15865" width="16.28515625" customWidth="1"/>
    <col min="15866" max="15866" width="14.85546875" customWidth="1"/>
    <col min="15867" max="15867" width="15.28515625" customWidth="1"/>
    <col min="15868" max="15868" width="16" customWidth="1"/>
    <col min="15869" max="15869" width="21.140625" customWidth="1"/>
    <col min="15870" max="15871" width="18.5703125" customWidth="1"/>
    <col min="15872" max="15872" width="17.7109375" customWidth="1"/>
    <col min="16109" max="16109" width="27.85546875" customWidth="1"/>
    <col min="16110" max="16110" width="42.28515625" customWidth="1"/>
    <col min="16111" max="16111" width="69.140625" customWidth="1"/>
    <col min="16112" max="16112" width="0.28515625" customWidth="1"/>
    <col min="16113" max="16116" width="0" hidden="1" customWidth="1"/>
    <col min="16117" max="16117" width="17.7109375" customWidth="1"/>
    <col min="16118" max="16118" width="16.28515625" customWidth="1"/>
    <col min="16119" max="16119" width="15.28515625" customWidth="1"/>
    <col min="16120" max="16120" width="12" customWidth="1"/>
    <col min="16121" max="16121" width="16.28515625" customWidth="1"/>
    <col min="16122" max="16122" width="14.85546875" customWidth="1"/>
    <col min="16123" max="16123" width="15.28515625" customWidth="1"/>
    <col min="16124" max="16124" width="16" customWidth="1"/>
    <col min="16125" max="16125" width="21.140625" customWidth="1"/>
    <col min="16126" max="16127" width="18.5703125" customWidth="1"/>
    <col min="16128" max="16128" width="17.7109375" customWidth="1"/>
  </cols>
  <sheetData>
    <row r="1" spans="1:11" s="103" customFormat="1" ht="18.75" x14ac:dyDescent="0.3">
      <c r="A1" s="123"/>
      <c r="B1" s="123"/>
      <c r="C1" s="122"/>
      <c r="D1" s="121"/>
      <c r="E1" s="121"/>
      <c r="F1" s="121"/>
      <c r="G1" s="121"/>
      <c r="H1" s="121"/>
      <c r="I1" s="431" t="s">
        <v>856</v>
      </c>
      <c r="J1" s="372"/>
      <c r="K1" s="372"/>
    </row>
    <row r="2" spans="1:11" ht="50.25" customHeight="1" x14ac:dyDescent="0.3">
      <c r="A2" s="352" t="s">
        <v>862</v>
      </c>
      <c r="B2" s="352"/>
      <c r="C2" s="352"/>
      <c r="D2" s="352"/>
      <c r="E2" s="352"/>
      <c r="F2" s="352"/>
      <c r="G2" s="311"/>
      <c r="H2" s="311"/>
      <c r="I2" s="311"/>
      <c r="J2" s="311"/>
      <c r="K2" s="311"/>
    </row>
    <row r="3" spans="1:11" x14ac:dyDescent="0.25">
      <c r="A3" s="120"/>
      <c r="B3" s="120"/>
      <c r="C3" s="120"/>
      <c r="D3" s="119"/>
      <c r="E3" s="119"/>
      <c r="F3" s="119"/>
      <c r="G3" s="119"/>
      <c r="H3" s="119"/>
      <c r="I3" s="119"/>
      <c r="J3" s="119"/>
      <c r="K3" s="118" t="s">
        <v>90</v>
      </c>
    </row>
    <row r="4" spans="1:11" ht="36.75" customHeight="1" x14ac:dyDescent="0.3">
      <c r="A4" s="353" t="s">
        <v>545</v>
      </c>
      <c r="B4" s="353" t="s">
        <v>544</v>
      </c>
      <c r="C4" s="353" t="s">
        <v>543</v>
      </c>
      <c r="D4" s="360" t="s">
        <v>542</v>
      </c>
      <c r="E4" s="361"/>
      <c r="F4" s="361"/>
      <c r="G4" s="362"/>
      <c r="H4" s="360" t="s">
        <v>523</v>
      </c>
      <c r="I4" s="367"/>
      <c r="J4" s="367"/>
      <c r="K4" s="367"/>
    </row>
    <row r="5" spans="1:11" ht="15.75" customHeight="1" x14ac:dyDescent="0.3">
      <c r="A5" s="354"/>
      <c r="B5" s="356"/>
      <c r="C5" s="358"/>
      <c r="D5" s="363" t="s">
        <v>541</v>
      </c>
      <c r="E5" s="360" t="s">
        <v>540</v>
      </c>
      <c r="F5" s="365"/>
      <c r="G5" s="366"/>
      <c r="H5" s="363" t="s">
        <v>541</v>
      </c>
      <c r="I5" s="360" t="s">
        <v>540</v>
      </c>
      <c r="J5" s="365"/>
      <c r="K5" s="366"/>
    </row>
    <row r="6" spans="1:11" ht="56.25" x14ac:dyDescent="0.25">
      <c r="A6" s="355"/>
      <c r="B6" s="357"/>
      <c r="C6" s="359"/>
      <c r="D6" s="364"/>
      <c r="E6" s="38" t="s">
        <v>602</v>
      </c>
      <c r="F6" s="38" t="s">
        <v>601</v>
      </c>
      <c r="G6" s="38" t="s">
        <v>539</v>
      </c>
      <c r="H6" s="364"/>
      <c r="I6" s="38" t="s">
        <v>602</v>
      </c>
      <c r="J6" s="38" t="s">
        <v>601</v>
      </c>
      <c r="K6" s="38" t="s">
        <v>539</v>
      </c>
    </row>
    <row r="7" spans="1:11" ht="181.5" hidden="1" customHeight="1" x14ac:dyDescent="0.25">
      <c r="A7" s="344" t="s">
        <v>538</v>
      </c>
      <c r="B7" s="114" t="s">
        <v>537</v>
      </c>
      <c r="C7" s="114" t="s">
        <v>536</v>
      </c>
      <c r="D7" s="117">
        <f>SUM(E7:G7)</f>
        <v>0</v>
      </c>
      <c r="E7" s="117"/>
      <c r="F7" s="117"/>
      <c r="G7" s="117"/>
      <c r="H7" s="117"/>
      <c r="I7" s="117"/>
      <c r="J7" s="117"/>
      <c r="K7" s="117"/>
    </row>
    <row r="8" spans="1:11" ht="136.5" customHeight="1" x14ac:dyDescent="0.25">
      <c r="A8" s="345"/>
      <c r="B8" s="114" t="s">
        <v>535</v>
      </c>
      <c r="C8" s="114" t="s">
        <v>534</v>
      </c>
      <c r="D8" s="115">
        <f>SUM(E8:G8)</f>
        <v>782.73</v>
      </c>
      <c r="E8" s="117">
        <v>782.73</v>
      </c>
      <c r="F8" s="117"/>
      <c r="G8" s="117"/>
      <c r="H8" s="117">
        <f>SUM(I8:K8)</f>
        <v>782.73</v>
      </c>
      <c r="I8" s="117">
        <v>782.73</v>
      </c>
      <c r="J8" s="115"/>
      <c r="K8" s="115"/>
    </row>
    <row r="9" spans="1:11" ht="156.75" customHeight="1" x14ac:dyDescent="0.25">
      <c r="A9" s="346"/>
      <c r="B9" s="114" t="s">
        <v>533</v>
      </c>
      <c r="C9" s="114" t="s">
        <v>532</v>
      </c>
      <c r="D9" s="115">
        <f>SUM(E9:G9)</f>
        <v>996.06065999999998</v>
      </c>
      <c r="E9" s="115"/>
      <c r="F9" s="115"/>
      <c r="G9" s="115">
        <v>996.06065999999998</v>
      </c>
      <c r="H9" s="117">
        <f>SUM(I9:K9)</f>
        <v>996.06065999999998</v>
      </c>
      <c r="I9" s="115"/>
      <c r="J9" s="115"/>
      <c r="K9" s="115">
        <v>996.06065999999998</v>
      </c>
    </row>
    <row r="10" spans="1:11" s="110" customFormat="1" ht="18.75" x14ac:dyDescent="0.25">
      <c r="A10" s="347" t="s">
        <v>531</v>
      </c>
      <c r="B10" s="348"/>
      <c r="C10" s="349"/>
      <c r="D10" s="116">
        <f t="shared" ref="D10:K10" si="0">SUM(D7:D9)</f>
        <v>1778.7906600000001</v>
      </c>
      <c r="E10" s="116">
        <f t="shared" si="0"/>
        <v>782.73</v>
      </c>
      <c r="F10" s="116">
        <f t="shared" si="0"/>
        <v>0</v>
      </c>
      <c r="G10" s="116">
        <f t="shared" si="0"/>
        <v>996.06065999999998</v>
      </c>
      <c r="H10" s="116">
        <f t="shared" si="0"/>
        <v>1778.7906600000001</v>
      </c>
      <c r="I10" s="116">
        <f t="shared" si="0"/>
        <v>782.73</v>
      </c>
      <c r="J10" s="116">
        <f t="shared" si="0"/>
        <v>0</v>
      </c>
      <c r="K10" s="116">
        <f t="shared" si="0"/>
        <v>996.06065999999998</v>
      </c>
    </row>
    <row r="11" spans="1:11" ht="207" customHeight="1" x14ac:dyDescent="0.25">
      <c r="A11" s="344" t="s">
        <v>530</v>
      </c>
      <c r="B11" s="114" t="s">
        <v>529</v>
      </c>
      <c r="C11" s="114" t="s">
        <v>527</v>
      </c>
      <c r="D11" s="115">
        <f>SUM(E11:G11)</f>
        <v>2429.6999999999998</v>
      </c>
      <c r="E11" s="115"/>
      <c r="F11" s="115">
        <v>2429.6999999999998</v>
      </c>
      <c r="G11" s="115"/>
      <c r="H11" s="115">
        <f>SUM(I11:K11)</f>
        <v>2429.6999999999998</v>
      </c>
      <c r="I11" s="115"/>
      <c r="J11" s="115">
        <v>2429.6999999999998</v>
      </c>
      <c r="K11" s="115"/>
    </row>
    <row r="12" spans="1:11" ht="140.25" customHeight="1" x14ac:dyDescent="0.25">
      <c r="A12" s="345"/>
      <c r="B12" s="114" t="s">
        <v>528</v>
      </c>
      <c r="C12" s="114" t="s">
        <v>527</v>
      </c>
      <c r="D12" s="113">
        <f>SUM(E12:G12)</f>
        <v>46.627200000000002</v>
      </c>
      <c r="E12" s="113"/>
      <c r="F12" s="113">
        <v>46.627200000000002</v>
      </c>
      <c r="G12" s="113"/>
      <c r="H12" s="115">
        <f>SUM(I12:K12)</f>
        <v>46.627200000000002</v>
      </c>
      <c r="I12" s="113"/>
      <c r="J12" s="113">
        <v>46.627200000000002</v>
      </c>
      <c r="K12" s="113"/>
    </row>
    <row r="13" spans="1:11" s="110" customFormat="1" ht="18.75" x14ac:dyDescent="0.3">
      <c r="A13" s="347" t="s">
        <v>526</v>
      </c>
      <c r="B13" s="348"/>
      <c r="C13" s="349"/>
      <c r="D13" s="112">
        <f t="shared" ref="D13:K13" si="1">SUM(D11:D12)</f>
        <v>2476.3271999999997</v>
      </c>
      <c r="E13" s="112">
        <f t="shared" si="1"/>
        <v>0</v>
      </c>
      <c r="F13" s="112">
        <f t="shared" si="1"/>
        <v>2476.3271999999997</v>
      </c>
      <c r="G13" s="112">
        <f t="shared" si="1"/>
        <v>0</v>
      </c>
      <c r="H13" s="112">
        <f t="shared" si="1"/>
        <v>2476.3271999999997</v>
      </c>
      <c r="I13" s="112">
        <f t="shared" si="1"/>
        <v>0</v>
      </c>
      <c r="J13" s="112">
        <f t="shared" si="1"/>
        <v>2476.3271999999997</v>
      </c>
      <c r="K13" s="111">
        <f t="shared" si="1"/>
        <v>0</v>
      </c>
    </row>
    <row r="14" spans="1:11" ht="18.75" x14ac:dyDescent="0.3">
      <c r="A14" s="350" t="s">
        <v>96</v>
      </c>
      <c r="B14" s="351"/>
      <c r="C14" s="351"/>
      <c r="D14" s="109">
        <f t="shared" ref="D14:K14" si="2">D10+D13</f>
        <v>4255.1178600000003</v>
      </c>
      <c r="E14" s="109">
        <f t="shared" si="2"/>
        <v>782.73</v>
      </c>
      <c r="F14" s="109">
        <f t="shared" si="2"/>
        <v>2476.3271999999997</v>
      </c>
      <c r="G14" s="109">
        <f t="shared" si="2"/>
        <v>996.06065999999998</v>
      </c>
      <c r="H14" s="109">
        <f t="shared" si="2"/>
        <v>4255.1178600000003</v>
      </c>
      <c r="I14" s="109">
        <f t="shared" si="2"/>
        <v>782.73</v>
      </c>
      <c r="J14" s="109">
        <f t="shared" si="2"/>
        <v>2476.3271999999997</v>
      </c>
      <c r="K14" s="109">
        <f t="shared" si="2"/>
        <v>996.06065999999998</v>
      </c>
    </row>
    <row r="15" spans="1:11" ht="18.75" x14ac:dyDescent="0.3">
      <c r="A15" s="108"/>
      <c r="B15" s="108"/>
      <c r="C15" s="107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5">
      <c r="A16" s="103"/>
      <c r="B16" s="105"/>
      <c r="C16" s="104"/>
      <c r="D16" s="103"/>
      <c r="E16" s="103"/>
      <c r="F16" s="103"/>
      <c r="G16" s="103"/>
      <c r="H16" s="103"/>
      <c r="I16" s="103"/>
      <c r="J16" s="103"/>
      <c r="K16" s="103"/>
    </row>
    <row r="25" spans="2:11" ht="15" x14ac:dyDescent="0.25">
      <c r="B25" s="342"/>
      <c r="C25" s="343"/>
      <c r="D25" s="101"/>
      <c r="E25" s="101"/>
      <c r="F25" s="101"/>
      <c r="G25" s="101"/>
      <c r="H25" s="102"/>
      <c r="I25" s="101"/>
      <c r="J25" s="101"/>
      <c r="K25" s="101"/>
    </row>
  </sheetData>
  <mergeCells count="17">
    <mergeCell ref="I1:K1"/>
    <mergeCell ref="A2:K2"/>
    <mergeCell ref="A4:A6"/>
    <mergeCell ref="B4:B6"/>
    <mergeCell ref="C4:C6"/>
    <mergeCell ref="D4:G4"/>
    <mergeCell ref="D5:D6"/>
    <mergeCell ref="E5:G5"/>
    <mergeCell ref="H4:K4"/>
    <mergeCell ref="H5:H6"/>
    <mergeCell ref="I5:K5"/>
    <mergeCell ref="B25:C25"/>
    <mergeCell ref="A7:A9"/>
    <mergeCell ref="A10:C10"/>
    <mergeCell ref="A11:A12"/>
    <mergeCell ref="A13:C13"/>
    <mergeCell ref="A14:C14"/>
  </mergeCells>
  <pageMargins left="0.39370078740157483" right="0" top="0.94488188976377963" bottom="0" header="0" footer="0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view="pageBreakPreview" zoomScale="75" zoomScaleNormal="100" zoomScaleSheetLayoutView="75" workbookViewId="0">
      <selection activeCell="A3" sqref="A3:G3"/>
    </sheetView>
  </sheetViews>
  <sheetFormatPr defaultRowHeight="15" x14ac:dyDescent="0.25"/>
  <cols>
    <col min="1" max="1" width="13" style="35" customWidth="1"/>
    <col min="2" max="2" width="58" style="41" customWidth="1"/>
    <col min="3" max="3" width="14.7109375" style="41" customWidth="1"/>
    <col min="4" max="4" width="15.140625" style="37" customWidth="1"/>
    <col min="5" max="5" width="15.42578125" style="37" customWidth="1"/>
    <col min="6" max="6" width="12.42578125" style="37" customWidth="1"/>
    <col min="7" max="7" width="10.85546875" style="37" customWidth="1"/>
    <col min="8" max="8" width="10.28515625" style="37" customWidth="1"/>
    <col min="9" max="16384" width="9.140625" style="37"/>
  </cols>
  <sheetData>
    <row r="1" spans="1:8" ht="15.75" x14ac:dyDescent="0.25">
      <c r="A1" s="34"/>
      <c r="B1" s="35"/>
      <c r="C1" s="35"/>
      <c r="D1" s="435"/>
      <c r="E1" s="431" t="s">
        <v>857</v>
      </c>
      <c r="F1" s="311"/>
      <c r="G1" s="311"/>
      <c r="H1" s="311"/>
    </row>
    <row r="2" spans="1:8" ht="15.75" x14ac:dyDescent="0.25">
      <c r="A2" s="34"/>
      <c r="B2" s="29"/>
      <c r="C2" s="29"/>
      <c r="D2" s="36"/>
      <c r="E2" s="309"/>
      <c r="F2" s="309"/>
    </row>
    <row r="3" spans="1:8" ht="86.25" customHeight="1" x14ac:dyDescent="0.25">
      <c r="A3" s="369" t="s">
        <v>863</v>
      </c>
      <c r="B3" s="369"/>
      <c r="C3" s="369"/>
      <c r="D3" s="370"/>
      <c r="E3" s="370"/>
      <c r="F3" s="370"/>
      <c r="G3" s="371"/>
    </row>
    <row r="4" spans="1:8" ht="52.5" customHeight="1" x14ac:dyDescent="0.25">
      <c r="A4" s="373" t="s">
        <v>98</v>
      </c>
      <c r="B4" s="373" t="s">
        <v>97</v>
      </c>
      <c r="C4" s="374" t="s">
        <v>598</v>
      </c>
      <c r="D4" s="314" t="s">
        <v>599</v>
      </c>
      <c r="E4" s="376"/>
      <c r="F4" s="376"/>
      <c r="G4" s="377"/>
      <c r="H4" s="313" t="s">
        <v>600</v>
      </c>
    </row>
    <row r="5" spans="1:8" ht="52.5" customHeight="1" x14ac:dyDescent="0.25">
      <c r="A5" s="368"/>
      <c r="B5" s="368"/>
      <c r="C5" s="375"/>
      <c r="D5" s="99" t="s">
        <v>524</v>
      </c>
      <c r="E5" s="99" t="s">
        <v>523</v>
      </c>
      <c r="F5" s="98" t="s">
        <v>522</v>
      </c>
      <c r="G5" s="98" t="s">
        <v>521</v>
      </c>
      <c r="H5" s="368"/>
    </row>
    <row r="6" spans="1:8" ht="61.5" customHeight="1" x14ac:dyDescent="0.25">
      <c r="A6" s="30" t="s">
        <v>11</v>
      </c>
      <c r="B6" s="31" t="s">
        <v>102</v>
      </c>
      <c r="C6" s="296">
        <v>28802.65151</v>
      </c>
      <c r="D6" s="59">
        <f>'прил 7  КЦСР 21г'!E437</f>
        <v>20783.942200000001</v>
      </c>
      <c r="E6" s="59">
        <f>'прил 7  КЦСР 21г'!F437</f>
        <v>20659.168020000001</v>
      </c>
      <c r="F6" s="59">
        <f>E6/D6*100</f>
        <v>99.399660666877722</v>
      </c>
      <c r="G6" s="59">
        <f>E6/$E$16*100</f>
        <v>2.7280373330323426</v>
      </c>
      <c r="H6" s="59">
        <f>E6/C6*100</f>
        <v>71.726618685878066</v>
      </c>
    </row>
    <row r="7" spans="1:8" ht="61.5" customHeight="1" x14ac:dyDescent="0.25">
      <c r="A7" s="30" t="s">
        <v>18</v>
      </c>
      <c r="B7" s="31" t="s">
        <v>103</v>
      </c>
      <c r="C7" s="296">
        <v>58000.804470000003</v>
      </c>
      <c r="D7" s="59">
        <f>'прил 7  КЦСР 21г'!E446</f>
        <v>64252.204539999999</v>
      </c>
      <c r="E7" s="59">
        <f>'прил 7  КЦСР 21г'!F446</f>
        <v>64252.204539999999</v>
      </c>
      <c r="F7" s="59">
        <f t="shared" ref="F7:F16" si="0">E7/D7*100</f>
        <v>100</v>
      </c>
      <c r="G7" s="59">
        <f t="shared" ref="G7:G14" si="1">E7/$E$16*100</f>
        <v>8.484485558424252</v>
      </c>
      <c r="H7" s="59">
        <f t="shared" ref="H7:H16" si="2">E7/C7*100</f>
        <v>110.77812648828593</v>
      </c>
    </row>
    <row r="8" spans="1:8" ht="61.5" hidden="1" customHeight="1" x14ac:dyDescent="0.25">
      <c r="A8" s="30"/>
      <c r="B8" s="32" t="s">
        <v>104</v>
      </c>
      <c r="C8" s="296"/>
      <c r="D8" s="59">
        <f>'прил 7  КЦСР 21г'!E450</f>
        <v>0</v>
      </c>
      <c r="E8" s="59">
        <f>'прил 7  КЦСР 21г'!F450</f>
        <v>0</v>
      </c>
      <c r="F8" s="59" t="e">
        <f t="shared" si="0"/>
        <v>#DIV/0!</v>
      </c>
      <c r="G8" s="59">
        <f t="shared" si="1"/>
        <v>0</v>
      </c>
      <c r="H8" s="59" t="e">
        <f t="shared" si="2"/>
        <v>#DIV/0!</v>
      </c>
    </row>
    <row r="9" spans="1:8" ht="61.5" customHeight="1" x14ac:dyDescent="0.25">
      <c r="A9" s="33" t="s">
        <v>6</v>
      </c>
      <c r="B9" s="32" t="s">
        <v>350</v>
      </c>
      <c r="C9" s="296">
        <v>49594.883240000003</v>
      </c>
      <c r="D9" s="59">
        <f>'прил 7  КЦСР 21г'!E454</f>
        <v>56519.793819999999</v>
      </c>
      <c r="E9" s="59">
        <f>'прил 7  КЦСР 21г'!F454</f>
        <v>56505.926840000007</v>
      </c>
      <c r="F9" s="59">
        <f t="shared" si="0"/>
        <v>99.975465267895075</v>
      </c>
      <c r="G9" s="59">
        <f t="shared" si="1"/>
        <v>7.4615917643867578</v>
      </c>
      <c r="H9" s="59">
        <f t="shared" si="2"/>
        <v>113.93499318580109</v>
      </c>
    </row>
    <row r="10" spans="1:8" ht="61.5" customHeight="1" x14ac:dyDescent="0.25">
      <c r="A10" s="30" t="s">
        <v>39</v>
      </c>
      <c r="B10" s="31" t="s">
        <v>105</v>
      </c>
      <c r="C10" s="296">
        <v>36747.833059999997</v>
      </c>
      <c r="D10" s="59">
        <f>'прил 7  КЦСР 21г'!E463</f>
        <v>51823.29262</v>
      </c>
      <c r="E10" s="59">
        <f>'прил 7  КЦСР 21г'!F463</f>
        <v>43845.515849999996</v>
      </c>
      <c r="F10" s="59">
        <f t="shared" si="0"/>
        <v>84.605808765379052</v>
      </c>
      <c r="G10" s="59">
        <f t="shared" si="1"/>
        <v>5.7897880499865977</v>
      </c>
      <c r="H10" s="59">
        <f t="shared" si="2"/>
        <v>119.31456142845556</v>
      </c>
    </row>
    <row r="11" spans="1:8" ht="61.5" hidden="1" customHeight="1" x14ac:dyDescent="0.25">
      <c r="A11" s="30" t="s">
        <v>23</v>
      </c>
      <c r="B11" s="31" t="s">
        <v>109</v>
      </c>
      <c r="C11" s="296"/>
      <c r="D11" s="59">
        <f>'прил 7  КЦСР 21г'!E465</f>
        <v>0</v>
      </c>
      <c r="E11" s="59">
        <f>'прил 7  КЦСР 21г'!F465</f>
        <v>0</v>
      </c>
      <c r="F11" s="59" t="e">
        <f t="shared" si="0"/>
        <v>#DIV/0!</v>
      </c>
      <c r="G11" s="59">
        <f t="shared" si="1"/>
        <v>0</v>
      </c>
      <c r="H11" s="59" t="e">
        <f t="shared" si="2"/>
        <v>#DIV/0!</v>
      </c>
    </row>
    <row r="12" spans="1:8" ht="61.5" customHeight="1" x14ac:dyDescent="0.25">
      <c r="A12" s="33" t="s">
        <v>35</v>
      </c>
      <c r="B12" s="31" t="s">
        <v>211</v>
      </c>
      <c r="C12" s="296">
        <v>24007.768629999999</v>
      </c>
      <c r="D12" s="59">
        <f>'прил 7  КЦСР 21г'!E476</f>
        <v>31671.120329999998</v>
      </c>
      <c r="E12" s="59">
        <f>'прил 7  КЦСР 21г'!F476</f>
        <v>29879.86865</v>
      </c>
      <c r="F12" s="59">
        <f t="shared" si="0"/>
        <v>94.344211188818406</v>
      </c>
      <c r="G12" s="59">
        <f t="shared" si="1"/>
        <v>3.9456282607503912</v>
      </c>
      <c r="H12" s="59">
        <f t="shared" si="2"/>
        <v>124.45916615783381</v>
      </c>
    </row>
    <row r="13" spans="1:8" ht="61.5" customHeight="1" x14ac:dyDescent="0.25">
      <c r="A13" s="33" t="s">
        <v>46</v>
      </c>
      <c r="B13" s="31" t="s">
        <v>210</v>
      </c>
      <c r="C13" s="296">
        <v>533429.04180000001</v>
      </c>
      <c r="D13" s="59">
        <f>'прил 7  КЦСР 21г'!E472</f>
        <v>532278.11371000006</v>
      </c>
      <c r="E13" s="59">
        <f>'прил 7  КЦСР 21г'!F472</f>
        <v>529335.85612000013</v>
      </c>
      <c r="F13" s="59">
        <f t="shared" si="0"/>
        <v>99.447233032090637</v>
      </c>
      <c r="G13" s="59">
        <f t="shared" si="1"/>
        <v>69.898651088467062</v>
      </c>
      <c r="H13" s="59">
        <f t="shared" si="2"/>
        <v>99.232665385786305</v>
      </c>
    </row>
    <row r="14" spans="1:8" ht="37.5" customHeight="1" x14ac:dyDescent="0.25">
      <c r="A14" s="30"/>
      <c r="B14" s="31" t="s">
        <v>155</v>
      </c>
      <c r="C14" s="296">
        <v>9179.9272500000006</v>
      </c>
      <c r="D14" s="60">
        <f>'прил 7  КЦСР 21г'!E479</f>
        <v>13694.888429999999</v>
      </c>
      <c r="E14" s="60">
        <f>'прил 7  КЦСР 21г'!F479</f>
        <v>12811.976859999999</v>
      </c>
      <c r="F14" s="59">
        <f t="shared" si="0"/>
        <v>93.552984571485112</v>
      </c>
      <c r="G14" s="59">
        <f t="shared" si="1"/>
        <v>1.691817944952581</v>
      </c>
      <c r="H14" s="59">
        <f t="shared" si="2"/>
        <v>139.5651241135925</v>
      </c>
    </row>
    <row r="15" spans="1:8" ht="37.5" hidden="1" customHeight="1" x14ac:dyDescent="0.25">
      <c r="A15" s="30"/>
      <c r="B15" s="31" t="s">
        <v>99</v>
      </c>
      <c r="C15" s="296"/>
      <c r="D15" s="60">
        <f>'прил 7  КЦСР 21г'!E480</f>
        <v>0</v>
      </c>
      <c r="E15" s="60">
        <f>'прил 7  КЦСР 21г'!F480</f>
        <v>0</v>
      </c>
      <c r="F15" s="59" t="e">
        <f t="shared" si="0"/>
        <v>#DIV/0!</v>
      </c>
      <c r="G15" s="259"/>
      <c r="H15" s="258" t="e">
        <f t="shared" si="2"/>
        <v>#DIV/0!</v>
      </c>
    </row>
    <row r="16" spans="1:8" ht="46.5" customHeight="1" x14ac:dyDescent="0.25">
      <c r="A16" s="39"/>
      <c r="B16" s="40" t="s">
        <v>96</v>
      </c>
      <c r="C16" s="297">
        <f>SUM(C6:C14)</f>
        <v>739762.90995999996</v>
      </c>
      <c r="D16" s="61">
        <f>SUM(D6:D15)-0.02</f>
        <v>771023.33565000002</v>
      </c>
      <c r="E16" s="61">
        <f>SUM(E6:E15)</f>
        <v>757290.51688000024</v>
      </c>
      <c r="F16" s="61">
        <f t="shared" si="0"/>
        <v>98.218884158879249</v>
      </c>
      <c r="G16" s="61">
        <f>SUM(G6:G14)</f>
        <v>99.999999999999986</v>
      </c>
      <c r="H16" s="61">
        <f t="shared" si="2"/>
        <v>102.3693546518773</v>
      </c>
    </row>
    <row r="17" spans="1:8" x14ac:dyDescent="0.25">
      <c r="C17" s="41">
        <v>739762.90995999996</v>
      </c>
      <c r="D17" s="20">
        <v>771023.35565000004</v>
      </c>
      <c r="E17" s="48">
        <v>757290.51688000001</v>
      </c>
      <c r="F17" s="51">
        <v>651499.81895999995</v>
      </c>
      <c r="H17" s="257"/>
    </row>
    <row r="18" spans="1:8" x14ac:dyDescent="0.25">
      <c r="D18" s="44">
        <f t="shared" ref="D18:F18" si="3">D17-D16</f>
        <v>2.0000000018626451E-2</v>
      </c>
      <c r="E18" s="44">
        <f t="shared" si="3"/>
        <v>0</v>
      </c>
      <c r="F18" s="44">
        <f t="shared" si="3"/>
        <v>651401.60007584107</v>
      </c>
    </row>
    <row r="21" spans="1:8" ht="18.75" x14ac:dyDescent="0.25">
      <c r="A21" s="37"/>
      <c r="B21" s="42"/>
      <c r="C21" s="42"/>
    </row>
    <row r="35" spans="1:3" x14ac:dyDescent="0.25">
      <c r="A35" s="43"/>
      <c r="B35" s="43"/>
      <c r="C35" s="43"/>
    </row>
    <row r="36" spans="1:3" x14ac:dyDescent="0.25">
      <c r="A36" s="43"/>
      <c r="B36" s="43"/>
      <c r="C36" s="43"/>
    </row>
  </sheetData>
  <mergeCells count="7">
    <mergeCell ref="E1:H1"/>
    <mergeCell ref="H4:H5"/>
    <mergeCell ref="A3:G3"/>
    <mergeCell ref="A4:A5"/>
    <mergeCell ref="B4:B5"/>
    <mergeCell ref="C4:C5"/>
    <mergeCell ref="D4:G4"/>
  </mergeCells>
  <pageMargins left="0.70866141732283472" right="0" top="0.35433070866141736" bottom="0.15748031496062992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9"/>
  <sheetViews>
    <sheetView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64.7109375" style="7" customWidth="1"/>
    <col min="2" max="2" width="16" style="6" customWidth="1"/>
    <col min="3" max="4" width="7.85546875" style="6" customWidth="1"/>
    <col min="5" max="5" width="12.85546875" style="57" customWidth="1"/>
    <col min="6" max="6" width="13.7109375" style="56" customWidth="1"/>
    <col min="7" max="7" width="14.28515625" style="56" customWidth="1"/>
    <col min="8" max="11" width="11.5703125" style="6" customWidth="1"/>
    <col min="12" max="16384" width="9.140625" style="6"/>
  </cols>
  <sheetData>
    <row r="1" spans="1:7" ht="15" x14ac:dyDescent="0.25">
      <c r="B1" s="16"/>
      <c r="C1" s="378" t="s">
        <v>858</v>
      </c>
      <c r="D1" s="378"/>
      <c r="E1" s="379"/>
      <c r="F1" s="379"/>
      <c r="G1" s="379"/>
    </row>
    <row r="2" spans="1:7" s="15" customFormat="1" ht="15" x14ac:dyDescent="0.25">
      <c r="A2" s="18"/>
      <c r="B2" s="17"/>
      <c r="C2" s="392"/>
      <c r="D2" s="392"/>
      <c r="E2" s="379"/>
      <c r="F2" s="379"/>
      <c r="G2" s="379"/>
    </row>
    <row r="3" spans="1:7" s="15" customFormat="1" ht="55.5" customHeight="1" x14ac:dyDescent="0.25">
      <c r="A3" s="380" t="s">
        <v>448</v>
      </c>
      <c r="B3" s="381"/>
      <c r="C3" s="381"/>
      <c r="D3" s="381"/>
      <c r="E3" s="382"/>
      <c r="F3" s="382"/>
      <c r="G3" s="382"/>
    </row>
    <row r="4" spans="1:7" x14ac:dyDescent="0.2">
      <c r="F4" s="58"/>
      <c r="G4" s="58" t="s">
        <v>90</v>
      </c>
    </row>
    <row r="5" spans="1:7" s="11" customFormat="1" ht="12.75" customHeight="1" x14ac:dyDescent="0.2">
      <c r="A5" s="389" t="s">
        <v>95</v>
      </c>
      <c r="B5" s="385" t="s">
        <v>168</v>
      </c>
      <c r="C5" s="386"/>
      <c r="D5" s="90"/>
      <c r="E5" s="383" t="s">
        <v>425</v>
      </c>
      <c r="F5" s="383" t="s">
        <v>519</v>
      </c>
      <c r="G5" s="383" t="s">
        <v>520</v>
      </c>
    </row>
    <row r="6" spans="1:7" s="11" customFormat="1" ht="12.75" customHeight="1" x14ac:dyDescent="0.2">
      <c r="A6" s="390"/>
      <c r="B6" s="387"/>
      <c r="C6" s="388"/>
      <c r="D6" s="91"/>
      <c r="E6" s="384"/>
      <c r="F6" s="384"/>
      <c r="G6" s="384"/>
    </row>
    <row r="7" spans="1:7" s="11" customFormat="1" ht="25.5" x14ac:dyDescent="0.2">
      <c r="A7" s="391"/>
      <c r="B7" s="53" t="s">
        <v>89</v>
      </c>
      <c r="C7" s="53" t="s">
        <v>94</v>
      </c>
      <c r="D7" s="92"/>
      <c r="E7" s="384"/>
      <c r="F7" s="384"/>
      <c r="G7" s="384"/>
    </row>
    <row r="8" spans="1:7" s="12" customFormat="1" ht="11.25" x14ac:dyDescent="0.25">
      <c r="A8" s="14">
        <v>1</v>
      </c>
      <c r="B8" s="14">
        <v>2</v>
      </c>
      <c r="C8" s="14">
        <v>3</v>
      </c>
      <c r="D8" s="14"/>
      <c r="E8" s="13">
        <v>4</v>
      </c>
      <c r="F8" s="13">
        <v>5</v>
      </c>
      <c r="G8" s="13">
        <v>6</v>
      </c>
    </row>
    <row r="9" spans="1:7" s="12" customFormat="1" ht="24" x14ac:dyDescent="0.2">
      <c r="A9" s="3" t="s">
        <v>318</v>
      </c>
      <c r="B9" s="2" t="s">
        <v>4</v>
      </c>
      <c r="C9" s="14"/>
      <c r="D9" s="14"/>
      <c r="E9" s="63">
        <f>E19+E40+E51+E58+E10</f>
        <v>20783.942200000001</v>
      </c>
      <c r="F9" s="63">
        <f>F19+F40+F51+F58+F10</f>
        <v>20659.168019999997</v>
      </c>
      <c r="G9" s="63">
        <f>F9/E9*100</f>
        <v>99.399660666877693</v>
      </c>
    </row>
    <row r="10" spans="1:7" ht="48" x14ac:dyDescent="0.2">
      <c r="A10" s="3" t="s">
        <v>352</v>
      </c>
      <c r="B10" s="2" t="s">
        <v>463</v>
      </c>
      <c r="C10" s="2"/>
      <c r="D10" s="2"/>
      <c r="E10" s="64">
        <f>E11+E17</f>
        <v>16426.969270000001</v>
      </c>
      <c r="F10" s="64">
        <f t="shared" ref="F10" si="0">F11+F17</f>
        <v>16408.599169999998</v>
      </c>
      <c r="G10" s="63">
        <f t="shared" ref="G10:G73" si="1">F10/E10*100</f>
        <v>99.88817109414363</v>
      </c>
    </row>
    <row r="11" spans="1:7" ht="24" x14ac:dyDescent="0.2">
      <c r="A11" s="3" t="s">
        <v>113</v>
      </c>
      <c r="B11" s="2" t="s">
        <v>464</v>
      </c>
      <c r="C11" s="2"/>
      <c r="D11" s="2"/>
      <c r="E11" s="64">
        <f t="shared" ref="E11:F11" si="2">E12+E14</f>
        <v>14243.379270000001</v>
      </c>
      <c r="F11" s="64">
        <f t="shared" si="2"/>
        <v>14225.309119999998</v>
      </c>
      <c r="G11" s="63">
        <f t="shared" si="1"/>
        <v>99.873132985807217</v>
      </c>
    </row>
    <row r="12" spans="1:7" ht="24" x14ac:dyDescent="0.2">
      <c r="A12" s="3" t="s">
        <v>80</v>
      </c>
      <c r="B12" s="2" t="s">
        <v>465</v>
      </c>
      <c r="C12" s="2"/>
      <c r="D12" s="2"/>
      <c r="E12" s="64">
        <f t="shared" ref="E12:F12" si="3">E13</f>
        <v>13560.429270000001</v>
      </c>
      <c r="F12" s="64">
        <f t="shared" si="3"/>
        <v>13548.934999999998</v>
      </c>
      <c r="G12" s="63">
        <f t="shared" si="1"/>
        <v>99.915236680409279</v>
      </c>
    </row>
    <row r="13" spans="1:7" ht="36" x14ac:dyDescent="0.2">
      <c r="A13" s="3" t="s">
        <v>24</v>
      </c>
      <c r="B13" s="2" t="s">
        <v>465</v>
      </c>
      <c r="C13" s="2" t="s">
        <v>22</v>
      </c>
      <c r="D13" s="2"/>
      <c r="E13" s="86">
        <f>10457.00176+88.52+3014.90751</f>
        <v>13560.429270000001</v>
      </c>
      <c r="F13" s="86">
        <f>10457.00176+77.212+3014.72124</f>
        <v>13548.934999999998</v>
      </c>
      <c r="G13" s="63">
        <f t="shared" si="1"/>
        <v>99.915236680409279</v>
      </c>
    </row>
    <row r="14" spans="1:7" x14ac:dyDescent="0.2">
      <c r="A14" s="3" t="s">
        <v>79</v>
      </c>
      <c r="B14" s="2" t="s">
        <v>466</v>
      </c>
      <c r="C14" s="2"/>
      <c r="D14" s="2"/>
      <c r="E14" s="64">
        <f t="shared" ref="E14:F14" si="4">E15+E16</f>
        <v>682.95</v>
      </c>
      <c r="F14" s="64">
        <f t="shared" si="4"/>
        <v>676.37411999999995</v>
      </c>
      <c r="G14" s="63">
        <f t="shared" si="1"/>
        <v>99.037135954315829</v>
      </c>
    </row>
    <row r="15" spans="1:7" ht="24" x14ac:dyDescent="0.2">
      <c r="A15" s="3" t="s">
        <v>31</v>
      </c>
      <c r="B15" s="2" t="s">
        <v>466</v>
      </c>
      <c r="C15" s="2" t="s">
        <v>33</v>
      </c>
      <c r="D15" s="2"/>
      <c r="E15" s="86">
        <v>682.95</v>
      </c>
      <c r="F15" s="86">
        <v>676.37411999999995</v>
      </c>
      <c r="G15" s="63">
        <f t="shared" si="1"/>
        <v>99.037135954315829</v>
      </c>
    </row>
    <row r="16" spans="1:7" ht="16.5" hidden="1" customHeight="1" x14ac:dyDescent="0.2">
      <c r="A16" s="5" t="s">
        <v>43</v>
      </c>
      <c r="B16" s="2" t="s">
        <v>466</v>
      </c>
      <c r="C16" s="2" t="s">
        <v>47</v>
      </c>
      <c r="D16" s="2"/>
      <c r="E16" s="64"/>
      <c r="F16" s="64">
        <f>200-200</f>
        <v>0</v>
      </c>
      <c r="G16" s="63" t="e">
        <f t="shared" si="1"/>
        <v>#DIV/0!</v>
      </c>
    </row>
    <row r="17" spans="1:7" x14ac:dyDescent="0.2">
      <c r="A17" s="3" t="s">
        <v>281</v>
      </c>
      <c r="B17" s="2" t="s">
        <v>467</v>
      </c>
      <c r="C17" s="2"/>
      <c r="D17" s="2"/>
      <c r="E17" s="64">
        <f>E18</f>
        <v>2183.59</v>
      </c>
      <c r="F17" s="64">
        <f t="shared" ref="F17" si="5">F18</f>
        <v>2183.2900500000001</v>
      </c>
      <c r="G17" s="63">
        <f t="shared" si="1"/>
        <v>99.986263446892494</v>
      </c>
    </row>
    <row r="18" spans="1:7" ht="36" x14ac:dyDescent="0.2">
      <c r="A18" s="3" t="s">
        <v>24</v>
      </c>
      <c r="B18" s="2" t="s">
        <v>467</v>
      </c>
      <c r="C18" s="2" t="s">
        <v>22</v>
      </c>
      <c r="D18" s="2"/>
      <c r="E18" s="86">
        <f>1677.10422+506.48578</f>
        <v>2183.59</v>
      </c>
      <c r="F18" s="86">
        <f>1677.10422+506.18583</f>
        <v>2183.2900500000001</v>
      </c>
      <c r="G18" s="63">
        <f t="shared" si="1"/>
        <v>99.986263446892494</v>
      </c>
    </row>
    <row r="19" spans="1:7" ht="36" x14ac:dyDescent="0.2">
      <c r="A19" s="3" t="s">
        <v>118</v>
      </c>
      <c r="B19" s="2" t="s">
        <v>41</v>
      </c>
      <c r="C19" s="2"/>
      <c r="D19" s="2"/>
      <c r="E19" s="65">
        <f>E20+E30+E37</f>
        <v>1319.9965500000001</v>
      </c>
      <c r="F19" s="65">
        <f>F20+F30+F37</f>
        <v>1221.9409500000002</v>
      </c>
      <c r="G19" s="63">
        <f t="shared" si="1"/>
        <v>92.571526039215797</v>
      </c>
    </row>
    <row r="20" spans="1:7" ht="24" x14ac:dyDescent="0.2">
      <c r="A20" s="3" t="s">
        <v>62</v>
      </c>
      <c r="B20" s="2" t="s">
        <v>127</v>
      </c>
      <c r="C20" s="2"/>
      <c r="D20" s="2"/>
      <c r="E20" s="65">
        <f>E21+E26+E28+E24</f>
        <v>823.5</v>
      </c>
      <c r="F20" s="65">
        <f t="shared" ref="F20" si="6">F21+F26+F28+F24</f>
        <v>725.44440000000009</v>
      </c>
      <c r="G20" s="63">
        <f t="shared" si="1"/>
        <v>88.092823315118409</v>
      </c>
    </row>
    <row r="21" spans="1:7" x14ac:dyDescent="0.2">
      <c r="A21" s="3" t="s">
        <v>128</v>
      </c>
      <c r="B21" s="2" t="s">
        <v>61</v>
      </c>
      <c r="C21" s="2"/>
      <c r="D21" s="2"/>
      <c r="E21" s="65">
        <f t="shared" ref="E21:F21" si="7">E22+E23</f>
        <v>210</v>
      </c>
      <c r="F21" s="65">
        <f t="shared" si="7"/>
        <v>210</v>
      </c>
      <c r="G21" s="63">
        <f t="shared" si="1"/>
        <v>100</v>
      </c>
    </row>
    <row r="22" spans="1:7" ht="24" x14ac:dyDescent="0.2">
      <c r="A22" s="3" t="s">
        <v>31</v>
      </c>
      <c r="B22" s="2" t="s">
        <v>61</v>
      </c>
      <c r="C22" s="2">
        <v>200</v>
      </c>
      <c r="D22" s="2"/>
      <c r="E22" s="82">
        <v>210</v>
      </c>
      <c r="F22" s="82">
        <v>210</v>
      </c>
      <c r="G22" s="63">
        <f t="shared" si="1"/>
        <v>100</v>
      </c>
    </row>
    <row r="23" spans="1:7" ht="21.75" hidden="1" customHeight="1" x14ac:dyDescent="0.2">
      <c r="A23" s="5" t="s">
        <v>43</v>
      </c>
      <c r="B23" s="2" t="s">
        <v>61</v>
      </c>
      <c r="C23" s="2" t="s">
        <v>47</v>
      </c>
      <c r="D23" s="2"/>
      <c r="E23" s="65"/>
      <c r="F23" s="65"/>
      <c r="G23" s="63" t="e">
        <f t="shared" si="1"/>
        <v>#DIV/0!</v>
      </c>
    </row>
    <row r="24" spans="1:7" ht="36" hidden="1" x14ac:dyDescent="0.2">
      <c r="A24" s="5" t="s">
        <v>385</v>
      </c>
      <c r="B24" s="2" t="s">
        <v>384</v>
      </c>
      <c r="C24" s="2"/>
      <c r="D24" s="2"/>
      <c r="E24" s="65">
        <f>E25</f>
        <v>0</v>
      </c>
      <c r="F24" s="65">
        <f t="shared" ref="F24" si="8">F25</f>
        <v>0</v>
      </c>
      <c r="G24" s="63" t="e">
        <f t="shared" si="1"/>
        <v>#DIV/0!</v>
      </c>
    </row>
    <row r="25" spans="1:7" ht="24" hidden="1" x14ac:dyDescent="0.2">
      <c r="A25" s="3" t="s">
        <v>31</v>
      </c>
      <c r="B25" s="2" t="s">
        <v>384</v>
      </c>
      <c r="C25" s="2" t="s">
        <v>33</v>
      </c>
      <c r="D25" s="2"/>
      <c r="E25" s="65"/>
      <c r="F25" s="65"/>
      <c r="G25" s="63" t="e">
        <f t="shared" si="1"/>
        <v>#DIV/0!</v>
      </c>
    </row>
    <row r="26" spans="1:7" ht="60" x14ac:dyDescent="0.2">
      <c r="A26" s="3" t="s">
        <v>164</v>
      </c>
      <c r="B26" s="2" t="s">
        <v>60</v>
      </c>
      <c r="C26" s="2"/>
      <c r="D26" s="2"/>
      <c r="E26" s="65">
        <f t="shared" ref="E26:F26" si="9">E27</f>
        <v>191.8</v>
      </c>
      <c r="F26" s="65">
        <f t="shared" si="9"/>
        <v>109.8</v>
      </c>
      <c r="G26" s="63">
        <f t="shared" si="1"/>
        <v>57.247132429614176</v>
      </c>
    </row>
    <row r="27" spans="1:7" ht="24" x14ac:dyDescent="0.2">
      <c r="A27" s="3" t="s">
        <v>31</v>
      </c>
      <c r="B27" s="2" t="s">
        <v>60</v>
      </c>
      <c r="C27" s="2" t="s">
        <v>33</v>
      </c>
      <c r="D27" s="2"/>
      <c r="E27" s="82">
        <v>191.8</v>
      </c>
      <c r="F27" s="82">
        <v>109.8</v>
      </c>
      <c r="G27" s="63">
        <f t="shared" si="1"/>
        <v>57.247132429614176</v>
      </c>
    </row>
    <row r="28" spans="1:7" ht="24" x14ac:dyDescent="0.2">
      <c r="A28" s="3" t="s">
        <v>165</v>
      </c>
      <c r="B28" s="2" t="s">
        <v>59</v>
      </c>
      <c r="C28" s="2"/>
      <c r="D28" s="2"/>
      <c r="E28" s="82">
        <f t="shared" ref="E28:F28" si="10">E29</f>
        <v>421.7</v>
      </c>
      <c r="F28" s="82">
        <f t="shared" si="10"/>
        <v>405.64440000000002</v>
      </c>
      <c r="G28" s="63">
        <f t="shared" si="1"/>
        <v>96.192648802466223</v>
      </c>
    </row>
    <row r="29" spans="1:7" ht="24" x14ac:dyDescent="0.2">
      <c r="A29" s="3" t="s">
        <v>31</v>
      </c>
      <c r="B29" s="2" t="s">
        <v>59</v>
      </c>
      <c r="C29" s="2" t="s">
        <v>33</v>
      </c>
      <c r="D29" s="2"/>
      <c r="E29" s="82">
        <v>421.7</v>
      </c>
      <c r="F29" s="82">
        <v>405.64440000000002</v>
      </c>
      <c r="G29" s="63">
        <f t="shared" si="1"/>
        <v>96.192648802466223</v>
      </c>
    </row>
    <row r="30" spans="1:7" x14ac:dyDescent="0.2">
      <c r="A30" s="3" t="s">
        <v>51</v>
      </c>
      <c r="B30" s="2" t="s">
        <v>135</v>
      </c>
      <c r="C30" s="2"/>
      <c r="D30" s="2"/>
      <c r="E30" s="65">
        <f>E35+E31+E33</f>
        <v>496.49655000000001</v>
      </c>
      <c r="F30" s="65">
        <f t="shared" ref="F30" si="11">F35+F31+F33</f>
        <v>496.49655000000001</v>
      </c>
      <c r="G30" s="63">
        <f t="shared" si="1"/>
        <v>100</v>
      </c>
    </row>
    <row r="31" spans="1:7" ht="24" hidden="1" x14ac:dyDescent="0.2">
      <c r="A31" s="3" t="s">
        <v>201</v>
      </c>
      <c r="B31" s="2" t="s">
        <v>255</v>
      </c>
      <c r="C31" s="2"/>
      <c r="D31" s="2"/>
      <c r="E31" s="66">
        <f t="shared" ref="E31:F31" si="12">E32</f>
        <v>0</v>
      </c>
      <c r="F31" s="66">
        <f t="shared" si="12"/>
        <v>0</v>
      </c>
      <c r="G31" s="63" t="e">
        <f t="shared" si="1"/>
        <v>#DIV/0!</v>
      </c>
    </row>
    <row r="32" spans="1:7" hidden="1" x14ac:dyDescent="0.2">
      <c r="A32" s="3" t="s">
        <v>42</v>
      </c>
      <c r="B32" s="2" t="s">
        <v>255</v>
      </c>
      <c r="C32" s="2">
        <v>400</v>
      </c>
      <c r="D32" s="2"/>
      <c r="E32" s="55"/>
      <c r="F32" s="66"/>
      <c r="G32" s="63" t="e">
        <f t="shared" si="1"/>
        <v>#DIV/0!</v>
      </c>
    </row>
    <row r="33" spans="1:7" ht="24" hidden="1" x14ac:dyDescent="0.2">
      <c r="A33" s="3" t="s">
        <v>201</v>
      </c>
      <c r="B33" s="2" t="s">
        <v>381</v>
      </c>
      <c r="C33" s="2"/>
      <c r="D33" s="2"/>
      <c r="E33" s="66">
        <f t="shared" ref="E33:F33" si="13">E34</f>
        <v>0</v>
      </c>
      <c r="F33" s="66">
        <f t="shared" si="13"/>
        <v>0</v>
      </c>
      <c r="G33" s="63" t="e">
        <f t="shared" si="1"/>
        <v>#DIV/0!</v>
      </c>
    </row>
    <row r="34" spans="1:7" hidden="1" x14ac:dyDescent="0.2">
      <c r="A34" s="3" t="s">
        <v>42</v>
      </c>
      <c r="B34" s="2" t="s">
        <v>381</v>
      </c>
      <c r="C34" s="2">
        <v>400</v>
      </c>
      <c r="D34" s="2"/>
      <c r="E34" s="55"/>
      <c r="F34" s="66"/>
      <c r="G34" s="63" t="e">
        <f t="shared" si="1"/>
        <v>#DIV/0!</v>
      </c>
    </row>
    <row r="35" spans="1:7" s="8" customFormat="1" ht="36" x14ac:dyDescent="0.2">
      <c r="A35" s="3" t="s">
        <v>205</v>
      </c>
      <c r="B35" s="2" t="s">
        <v>383</v>
      </c>
      <c r="C35" s="2"/>
      <c r="D35" s="2"/>
      <c r="E35" s="65">
        <f t="shared" ref="E35:F35" si="14">E36</f>
        <v>496.49655000000001</v>
      </c>
      <c r="F35" s="65">
        <f t="shared" si="14"/>
        <v>496.49655000000001</v>
      </c>
      <c r="G35" s="63">
        <f t="shared" si="1"/>
        <v>100</v>
      </c>
    </row>
    <row r="36" spans="1:7" s="8" customFormat="1" x14ac:dyDescent="0.2">
      <c r="A36" s="3" t="s">
        <v>29</v>
      </c>
      <c r="B36" s="2" t="s">
        <v>383</v>
      </c>
      <c r="C36" s="2" t="s">
        <v>27</v>
      </c>
      <c r="D36" s="2"/>
      <c r="E36" s="82">
        <v>496.49655000000001</v>
      </c>
      <c r="F36" s="82">
        <v>496.49655000000001</v>
      </c>
      <c r="G36" s="63">
        <f t="shared" si="1"/>
        <v>100</v>
      </c>
    </row>
    <row r="37" spans="1:7" s="8" customFormat="1" ht="24" hidden="1" x14ac:dyDescent="0.2">
      <c r="A37" s="3" t="s">
        <v>428</v>
      </c>
      <c r="B37" s="2" t="s">
        <v>429</v>
      </c>
      <c r="C37" s="2"/>
      <c r="D37" s="2"/>
      <c r="E37" s="65">
        <f>E38</f>
        <v>0</v>
      </c>
      <c r="F37" s="65">
        <f t="shared" ref="F37" si="15">F38</f>
        <v>0</v>
      </c>
      <c r="G37" s="63" t="e">
        <f t="shared" si="1"/>
        <v>#DIV/0!</v>
      </c>
    </row>
    <row r="38" spans="1:7" s="8" customFormat="1" hidden="1" x14ac:dyDescent="0.2">
      <c r="A38" s="3" t="s">
        <v>431</v>
      </c>
      <c r="B38" s="2" t="s">
        <v>430</v>
      </c>
      <c r="C38" s="2"/>
      <c r="D38" s="2"/>
      <c r="E38" s="66">
        <f t="shared" ref="E38:F38" si="16">E39</f>
        <v>0</v>
      </c>
      <c r="F38" s="66">
        <f t="shared" si="16"/>
        <v>0</v>
      </c>
      <c r="G38" s="63" t="e">
        <f t="shared" si="1"/>
        <v>#DIV/0!</v>
      </c>
    </row>
    <row r="39" spans="1:7" s="8" customFormat="1" hidden="1" x14ac:dyDescent="0.2">
      <c r="A39" s="3" t="s">
        <v>42</v>
      </c>
      <c r="B39" s="2" t="s">
        <v>430</v>
      </c>
      <c r="C39" s="49">
        <v>400</v>
      </c>
      <c r="D39" s="49"/>
      <c r="E39" s="55"/>
      <c r="F39" s="66"/>
      <c r="G39" s="63" t="e">
        <f t="shared" si="1"/>
        <v>#DIV/0!</v>
      </c>
    </row>
    <row r="40" spans="1:7" ht="36" x14ac:dyDescent="0.2">
      <c r="A40" s="3" t="s">
        <v>119</v>
      </c>
      <c r="B40" s="2" t="s">
        <v>21</v>
      </c>
      <c r="C40" s="2"/>
      <c r="D40" s="2"/>
      <c r="E40" s="65">
        <f>E41+E45+E48</f>
        <v>266.41638</v>
      </c>
      <c r="F40" s="65">
        <f t="shared" ref="F40" si="17">F41+F45+F48</f>
        <v>258.06790000000001</v>
      </c>
      <c r="G40" s="63">
        <f t="shared" si="1"/>
        <v>96.866378861539971</v>
      </c>
    </row>
    <row r="41" spans="1:7" ht="36" x14ac:dyDescent="0.2">
      <c r="A41" s="3" t="s">
        <v>120</v>
      </c>
      <c r="B41" s="2" t="s">
        <v>121</v>
      </c>
      <c r="C41" s="2"/>
      <c r="D41" s="2"/>
      <c r="E41" s="65">
        <f t="shared" ref="E41:F41" si="18">E42</f>
        <v>57.800000000000004</v>
      </c>
      <c r="F41" s="65">
        <f t="shared" si="18"/>
        <v>57.800000000000004</v>
      </c>
      <c r="G41" s="63">
        <f t="shared" si="1"/>
        <v>100</v>
      </c>
    </row>
    <row r="42" spans="1:7" ht="24" x14ac:dyDescent="0.2">
      <c r="A42" s="3" t="s">
        <v>70</v>
      </c>
      <c r="B42" s="2" t="s">
        <v>69</v>
      </c>
      <c r="C42" s="2"/>
      <c r="D42" s="2"/>
      <c r="E42" s="65">
        <f>E44+E43</f>
        <v>57.800000000000004</v>
      </c>
      <c r="F42" s="65">
        <f t="shared" ref="F42" si="19">F44+F43</f>
        <v>57.800000000000004</v>
      </c>
      <c r="G42" s="63">
        <f t="shared" si="1"/>
        <v>100</v>
      </c>
    </row>
    <row r="43" spans="1:7" ht="36" x14ac:dyDescent="0.2">
      <c r="A43" s="3" t="s">
        <v>24</v>
      </c>
      <c r="B43" s="2" t="s">
        <v>69</v>
      </c>
      <c r="C43" s="2" t="s">
        <v>22</v>
      </c>
      <c r="D43" s="2"/>
      <c r="E43" s="82">
        <f>42.56528+12.85472</f>
        <v>55.42</v>
      </c>
      <c r="F43" s="82">
        <f>42.56528+12.85472</f>
        <v>55.42</v>
      </c>
      <c r="G43" s="63">
        <f t="shared" si="1"/>
        <v>100</v>
      </c>
    </row>
    <row r="44" spans="1:7" ht="24" x14ac:dyDescent="0.2">
      <c r="A44" s="3" t="s">
        <v>31</v>
      </c>
      <c r="B44" s="2" t="s">
        <v>69</v>
      </c>
      <c r="C44" s="2">
        <v>200</v>
      </c>
      <c r="D44" s="2"/>
      <c r="E44" s="82">
        <v>2.38</v>
      </c>
      <c r="F44" s="82">
        <f>2.38</f>
        <v>2.38</v>
      </c>
      <c r="G44" s="63">
        <f t="shared" si="1"/>
        <v>100</v>
      </c>
    </row>
    <row r="45" spans="1:7" s="8" customFormat="1" ht="24" hidden="1" x14ac:dyDescent="0.2">
      <c r="A45" s="3" t="s">
        <v>20</v>
      </c>
      <c r="B45" s="2" t="s">
        <v>143</v>
      </c>
      <c r="C45" s="2"/>
      <c r="D45" s="2"/>
      <c r="E45" s="65">
        <f t="shared" ref="E45:F46" si="20">E46</f>
        <v>0</v>
      </c>
      <c r="F45" s="65">
        <f t="shared" si="20"/>
        <v>0</v>
      </c>
      <c r="G45" s="63" t="e">
        <f t="shared" si="1"/>
        <v>#DIV/0!</v>
      </c>
    </row>
    <row r="46" spans="1:7" s="8" customFormat="1" ht="24" hidden="1" x14ac:dyDescent="0.2">
      <c r="A46" s="3" t="s">
        <v>144</v>
      </c>
      <c r="B46" s="2" t="s">
        <v>145</v>
      </c>
      <c r="C46" s="2"/>
      <c r="D46" s="2"/>
      <c r="E46" s="65">
        <f t="shared" si="20"/>
        <v>0</v>
      </c>
      <c r="F46" s="65">
        <f t="shared" si="20"/>
        <v>0</v>
      </c>
      <c r="G46" s="63" t="e">
        <f t="shared" si="1"/>
        <v>#DIV/0!</v>
      </c>
    </row>
    <row r="47" spans="1:7" s="8" customFormat="1" ht="25.5" hidden="1" x14ac:dyDescent="0.2">
      <c r="A47" s="1" t="s">
        <v>19</v>
      </c>
      <c r="B47" s="2" t="s">
        <v>145</v>
      </c>
      <c r="C47" s="2" t="s">
        <v>17</v>
      </c>
      <c r="D47" s="2"/>
      <c r="E47" s="65"/>
      <c r="F47" s="65"/>
      <c r="G47" s="63" t="e">
        <f t="shared" si="1"/>
        <v>#DIV/0!</v>
      </c>
    </row>
    <row r="48" spans="1:7" s="8" customFormat="1" ht="24" x14ac:dyDescent="0.2">
      <c r="A48" s="3" t="s">
        <v>272</v>
      </c>
      <c r="B48" s="2" t="s">
        <v>273</v>
      </c>
      <c r="C48" s="2"/>
      <c r="D48" s="2"/>
      <c r="E48" s="65">
        <f>E49</f>
        <v>208.61637999999999</v>
      </c>
      <c r="F48" s="65">
        <f t="shared" ref="F48" si="21">F49</f>
        <v>200.2679</v>
      </c>
      <c r="G48" s="63">
        <f t="shared" si="1"/>
        <v>95.998166586919027</v>
      </c>
    </row>
    <row r="49" spans="1:7" s="8" customFormat="1" x14ac:dyDescent="0.2">
      <c r="A49" s="3" t="s">
        <v>271</v>
      </c>
      <c r="B49" s="2" t="s">
        <v>274</v>
      </c>
      <c r="C49" s="2"/>
      <c r="D49" s="2"/>
      <c r="E49" s="65">
        <f>E50</f>
        <v>208.61637999999999</v>
      </c>
      <c r="F49" s="65">
        <f t="shared" ref="F49" si="22">F50</f>
        <v>200.2679</v>
      </c>
      <c r="G49" s="63">
        <f t="shared" si="1"/>
        <v>95.998166586919027</v>
      </c>
    </row>
    <row r="50" spans="1:7" s="8" customFormat="1" ht="24" x14ac:dyDescent="0.2">
      <c r="A50" s="3" t="s">
        <v>31</v>
      </c>
      <c r="B50" s="2" t="s">
        <v>274</v>
      </c>
      <c r="C50" s="2" t="s">
        <v>33</v>
      </c>
      <c r="D50" s="2"/>
      <c r="E50" s="82">
        <f>208.61638</f>
        <v>208.61637999999999</v>
      </c>
      <c r="F50" s="82">
        <v>200.2679</v>
      </c>
      <c r="G50" s="63">
        <f t="shared" si="1"/>
        <v>95.998166586919027</v>
      </c>
    </row>
    <row r="51" spans="1:7" ht="36" x14ac:dyDescent="0.2">
      <c r="A51" s="3" t="s">
        <v>129</v>
      </c>
      <c r="B51" s="2" t="s">
        <v>58</v>
      </c>
      <c r="C51" s="2"/>
      <c r="D51" s="2"/>
      <c r="E51" s="67">
        <f>E52+E55</f>
        <v>415</v>
      </c>
      <c r="F51" s="67">
        <f>F52+F55</f>
        <v>415</v>
      </c>
      <c r="G51" s="63">
        <f t="shared" si="1"/>
        <v>100</v>
      </c>
    </row>
    <row r="52" spans="1:7" ht="24" x14ac:dyDescent="0.2">
      <c r="A52" s="3" t="s">
        <v>92</v>
      </c>
      <c r="B52" s="2" t="s">
        <v>130</v>
      </c>
      <c r="C52" s="2"/>
      <c r="D52" s="2"/>
      <c r="E52" s="67">
        <f>E53</f>
        <v>400</v>
      </c>
      <c r="F52" s="67">
        <f t="shared" ref="F52" si="23">F53</f>
        <v>400</v>
      </c>
      <c r="G52" s="63">
        <f t="shared" si="1"/>
        <v>100</v>
      </c>
    </row>
    <row r="53" spans="1:7" ht="48" x14ac:dyDescent="0.2">
      <c r="A53" s="5" t="s">
        <v>504</v>
      </c>
      <c r="B53" s="2" t="s">
        <v>57</v>
      </c>
      <c r="C53" s="2"/>
      <c r="D53" s="2"/>
      <c r="E53" s="67">
        <f>E54</f>
        <v>400</v>
      </c>
      <c r="F53" s="67">
        <f>F54</f>
        <v>400</v>
      </c>
      <c r="G53" s="63">
        <f t="shared" si="1"/>
        <v>100</v>
      </c>
    </row>
    <row r="54" spans="1:7" ht="24" x14ac:dyDescent="0.2">
      <c r="A54" s="3" t="s">
        <v>43</v>
      </c>
      <c r="B54" s="2" t="s">
        <v>57</v>
      </c>
      <c r="C54" s="2" t="s">
        <v>47</v>
      </c>
      <c r="D54" s="2"/>
      <c r="E54" s="78">
        <v>400</v>
      </c>
      <c r="F54" s="78">
        <v>400</v>
      </c>
      <c r="G54" s="63">
        <f t="shared" si="1"/>
        <v>100</v>
      </c>
    </row>
    <row r="55" spans="1:7" ht="24" x14ac:dyDescent="0.2">
      <c r="A55" s="3" t="s">
        <v>133</v>
      </c>
      <c r="B55" s="2" t="s">
        <v>131</v>
      </c>
      <c r="C55" s="2"/>
      <c r="D55" s="2"/>
      <c r="E55" s="67">
        <f t="shared" ref="E55:F56" si="24">E56</f>
        <v>15</v>
      </c>
      <c r="F55" s="67">
        <f t="shared" si="24"/>
        <v>15</v>
      </c>
      <c r="G55" s="63">
        <f t="shared" si="1"/>
        <v>100</v>
      </c>
    </row>
    <row r="56" spans="1:7" x14ac:dyDescent="0.2">
      <c r="A56" s="3" t="s">
        <v>134</v>
      </c>
      <c r="B56" s="2" t="s">
        <v>132</v>
      </c>
      <c r="C56" s="2"/>
      <c r="D56" s="2"/>
      <c r="E56" s="67">
        <f t="shared" si="24"/>
        <v>15</v>
      </c>
      <c r="F56" s="67">
        <f t="shared" si="24"/>
        <v>15</v>
      </c>
      <c r="G56" s="63">
        <f t="shared" si="1"/>
        <v>100</v>
      </c>
    </row>
    <row r="57" spans="1:7" ht="24" x14ac:dyDescent="0.2">
      <c r="A57" s="3" t="s">
        <v>31</v>
      </c>
      <c r="B57" s="2" t="s">
        <v>132</v>
      </c>
      <c r="C57" s="2" t="s">
        <v>33</v>
      </c>
      <c r="D57" s="2"/>
      <c r="E57" s="78">
        <v>15</v>
      </c>
      <c r="F57" s="78">
        <v>15</v>
      </c>
      <c r="G57" s="63">
        <f t="shared" si="1"/>
        <v>100</v>
      </c>
    </row>
    <row r="58" spans="1:7" ht="36" x14ac:dyDescent="0.2">
      <c r="A58" s="3" t="s">
        <v>295</v>
      </c>
      <c r="B58" s="2" t="s">
        <v>296</v>
      </c>
      <c r="C58" s="2"/>
      <c r="D58" s="2"/>
      <c r="E58" s="65">
        <f t="shared" ref="E58:F60" si="25">E59</f>
        <v>2355.56</v>
      </c>
      <c r="F58" s="65">
        <f t="shared" si="25"/>
        <v>2355.56</v>
      </c>
      <c r="G58" s="63">
        <f t="shared" si="1"/>
        <v>100</v>
      </c>
    </row>
    <row r="59" spans="1:7" ht="24" x14ac:dyDescent="0.2">
      <c r="A59" s="3" t="s">
        <v>293</v>
      </c>
      <c r="B59" s="2" t="s">
        <v>297</v>
      </c>
      <c r="C59" s="2"/>
      <c r="D59" s="2"/>
      <c r="E59" s="65">
        <f>E60+E62</f>
        <v>2355.56</v>
      </c>
      <c r="F59" s="65">
        <f t="shared" ref="F59" si="26">F60+F62</f>
        <v>2355.56</v>
      </c>
      <c r="G59" s="63">
        <f t="shared" si="1"/>
        <v>100</v>
      </c>
    </row>
    <row r="60" spans="1:7" ht="24" x14ac:dyDescent="0.2">
      <c r="A60" s="3" t="s">
        <v>294</v>
      </c>
      <c r="B60" s="2" t="s">
        <v>298</v>
      </c>
      <c r="C60" s="2"/>
      <c r="D60" s="2"/>
      <c r="E60" s="65">
        <f t="shared" si="25"/>
        <v>1929.32</v>
      </c>
      <c r="F60" s="65">
        <f t="shared" si="25"/>
        <v>1929.32</v>
      </c>
      <c r="G60" s="63">
        <f t="shared" si="1"/>
        <v>100</v>
      </c>
    </row>
    <row r="61" spans="1:7" ht="24" x14ac:dyDescent="0.2">
      <c r="A61" s="3" t="s">
        <v>19</v>
      </c>
      <c r="B61" s="2" t="s">
        <v>298</v>
      </c>
      <c r="C61" s="2" t="s">
        <v>17</v>
      </c>
      <c r="D61" s="2"/>
      <c r="E61" s="82">
        <v>1929.32</v>
      </c>
      <c r="F61" s="82">
        <v>1929.32</v>
      </c>
      <c r="G61" s="63">
        <f t="shared" si="1"/>
        <v>100</v>
      </c>
    </row>
    <row r="62" spans="1:7" x14ac:dyDescent="0.2">
      <c r="A62" s="3" t="s">
        <v>281</v>
      </c>
      <c r="B62" s="2" t="s">
        <v>333</v>
      </c>
      <c r="C62" s="2"/>
      <c r="D62" s="2"/>
      <c r="E62" s="65">
        <f>E63</f>
        <v>426.24</v>
      </c>
      <c r="F62" s="65">
        <f t="shared" ref="F62" si="27">F63</f>
        <v>426.24</v>
      </c>
      <c r="G62" s="63">
        <f t="shared" si="1"/>
        <v>100</v>
      </c>
    </row>
    <row r="63" spans="1:7" ht="24" x14ac:dyDescent="0.2">
      <c r="A63" s="3" t="s">
        <v>19</v>
      </c>
      <c r="B63" s="2" t="s">
        <v>333</v>
      </c>
      <c r="C63" s="2" t="s">
        <v>17</v>
      </c>
      <c r="D63" s="2"/>
      <c r="E63" s="82">
        <v>426.24</v>
      </c>
      <c r="F63" s="82">
        <v>426.24</v>
      </c>
      <c r="G63" s="63">
        <f t="shared" si="1"/>
        <v>100</v>
      </c>
    </row>
    <row r="64" spans="1:7" ht="24" x14ac:dyDescent="0.2">
      <c r="A64" s="3" t="s">
        <v>316</v>
      </c>
      <c r="B64" s="2" t="s">
        <v>3</v>
      </c>
      <c r="C64" s="2"/>
      <c r="D64" s="2"/>
      <c r="E64" s="65">
        <f>E71+E82+E114+E128+E65</f>
        <v>64252.204539999992</v>
      </c>
      <c r="F64" s="65">
        <f>F71+F82+F114+F128+F65</f>
        <v>64252.204539999992</v>
      </c>
      <c r="G64" s="63">
        <f t="shared" si="1"/>
        <v>100</v>
      </c>
    </row>
    <row r="65" spans="1:7" s="8" customFormat="1" ht="50.25" customHeight="1" x14ac:dyDescent="0.2">
      <c r="A65" s="5" t="s">
        <v>366</v>
      </c>
      <c r="B65" s="2" t="s">
        <v>468</v>
      </c>
      <c r="C65" s="2"/>
      <c r="D65" s="2"/>
      <c r="E65" s="55">
        <f>E66+E69</f>
        <v>1769.52</v>
      </c>
      <c r="F65" s="55">
        <f t="shared" ref="F65" si="28">F66+F69</f>
        <v>1769.52</v>
      </c>
      <c r="G65" s="63">
        <f t="shared" si="1"/>
        <v>100</v>
      </c>
    </row>
    <row r="66" spans="1:7" s="8" customFormat="1" ht="24" x14ac:dyDescent="0.2">
      <c r="A66" s="5" t="s">
        <v>149</v>
      </c>
      <c r="B66" s="2" t="s">
        <v>469</v>
      </c>
      <c r="C66" s="2"/>
      <c r="D66" s="2"/>
      <c r="E66" s="55">
        <f t="shared" ref="E66:F67" si="29">E67</f>
        <v>1587.76</v>
      </c>
      <c r="F66" s="55">
        <f t="shared" si="29"/>
        <v>1587.76</v>
      </c>
      <c r="G66" s="63">
        <f t="shared" si="1"/>
        <v>100</v>
      </c>
    </row>
    <row r="67" spans="1:7" s="8" customFormat="1" ht="24" x14ac:dyDescent="0.2">
      <c r="A67" s="3" t="s">
        <v>44</v>
      </c>
      <c r="B67" s="2" t="s">
        <v>470</v>
      </c>
      <c r="C67" s="2"/>
      <c r="D67" s="2"/>
      <c r="E67" s="68">
        <f t="shared" si="29"/>
        <v>1587.76</v>
      </c>
      <c r="F67" s="68">
        <f t="shared" si="29"/>
        <v>1587.76</v>
      </c>
      <c r="G67" s="63">
        <f t="shared" si="1"/>
        <v>100</v>
      </c>
    </row>
    <row r="68" spans="1:7" s="8" customFormat="1" ht="36" x14ac:dyDescent="0.2">
      <c r="A68" s="3" t="s">
        <v>24</v>
      </c>
      <c r="B68" s="2" t="s">
        <v>470</v>
      </c>
      <c r="C68" s="2" t="s">
        <v>22</v>
      </c>
      <c r="D68" s="2"/>
      <c r="E68" s="81">
        <v>1587.76</v>
      </c>
      <c r="F68" s="81">
        <f>1219.47725+368.28275</f>
        <v>1587.76</v>
      </c>
      <c r="G68" s="63">
        <f t="shared" si="1"/>
        <v>100</v>
      </c>
    </row>
    <row r="69" spans="1:7" s="8" customFormat="1" x14ac:dyDescent="0.2">
      <c r="A69" s="3" t="s">
        <v>281</v>
      </c>
      <c r="B69" s="2" t="s">
        <v>471</v>
      </c>
      <c r="C69" s="2"/>
      <c r="D69" s="2"/>
      <c r="E69" s="68">
        <f>E70</f>
        <v>181.76</v>
      </c>
      <c r="F69" s="68">
        <f t="shared" ref="F69" si="30">F70</f>
        <v>181.76</v>
      </c>
      <c r="G69" s="63">
        <f t="shared" si="1"/>
        <v>100</v>
      </c>
    </row>
    <row r="70" spans="1:7" s="8" customFormat="1" ht="36" x14ac:dyDescent="0.2">
      <c r="A70" s="3" t="s">
        <v>24</v>
      </c>
      <c r="B70" s="2" t="s">
        <v>471</v>
      </c>
      <c r="C70" s="2" t="s">
        <v>22</v>
      </c>
      <c r="D70" s="2"/>
      <c r="E70" s="81">
        <f>139.6+42.16</f>
        <v>181.76</v>
      </c>
      <c r="F70" s="81">
        <f>139.6+42.16</f>
        <v>181.76</v>
      </c>
      <c r="G70" s="63">
        <f t="shared" si="1"/>
        <v>100</v>
      </c>
    </row>
    <row r="71" spans="1:7" s="8" customFormat="1" ht="36" x14ac:dyDescent="0.2">
      <c r="A71" s="3" t="s">
        <v>367</v>
      </c>
      <c r="B71" s="2" t="s">
        <v>286</v>
      </c>
      <c r="C71" s="2"/>
      <c r="D71" s="2"/>
      <c r="E71" s="55">
        <f>E72+E78+E80</f>
        <v>9353.0800500000005</v>
      </c>
      <c r="F71" s="55">
        <f t="shared" ref="F71" si="31">F72+F78+F80</f>
        <v>9353.0800500000005</v>
      </c>
      <c r="G71" s="63">
        <f t="shared" si="1"/>
        <v>100</v>
      </c>
    </row>
    <row r="72" spans="1:7" s="8" customFormat="1" ht="36" x14ac:dyDescent="0.2">
      <c r="A72" s="3" t="s">
        <v>368</v>
      </c>
      <c r="B72" s="2" t="s">
        <v>287</v>
      </c>
      <c r="C72" s="2"/>
      <c r="D72" s="2"/>
      <c r="E72" s="55">
        <f>E73+E75</f>
        <v>6335.0800500000005</v>
      </c>
      <c r="F72" s="55">
        <f>F73+F75</f>
        <v>6335.0800500000005</v>
      </c>
      <c r="G72" s="63">
        <f t="shared" si="1"/>
        <v>100</v>
      </c>
    </row>
    <row r="73" spans="1:7" s="8" customFormat="1" ht="36" x14ac:dyDescent="0.2">
      <c r="A73" s="3" t="s">
        <v>369</v>
      </c>
      <c r="B73" s="2" t="s">
        <v>288</v>
      </c>
      <c r="C73" s="2"/>
      <c r="D73" s="2"/>
      <c r="E73" s="55">
        <f>E74</f>
        <v>4271.51</v>
      </c>
      <c r="F73" s="55">
        <f>F74</f>
        <v>4271.51</v>
      </c>
      <c r="G73" s="63">
        <f t="shared" si="1"/>
        <v>100</v>
      </c>
    </row>
    <row r="74" spans="1:7" s="8" customFormat="1" ht="36" x14ac:dyDescent="0.2">
      <c r="A74" s="3" t="s">
        <v>24</v>
      </c>
      <c r="B74" s="2" t="s">
        <v>288</v>
      </c>
      <c r="C74" s="2" t="s">
        <v>22</v>
      </c>
      <c r="D74" s="2"/>
      <c r="E74" s="45">
        <f>3280.729+990.781</f>
        <v>4271.51</v>
      </c>
      <c r="F74" s="45">
        <f>3280.729+990.781</f>
        <v>4271.51</v>
      </c>
      <c r="G74" s="63">
        <f t="shared" ref="G74:G135" si="32">F74/E74*100</f>
        <v>100</v>
      </c>
    </row>
    <row r="75" spans="1:7" s="8" customFormat="1" ht="36" x14ac:dyDescent="0.2">
      <c r="A75" s="5" t="s">
        <v>370</v>
      </c>
      <c r="B75" s="2" t="s">
        <v>289</v>
      </c>
      <c r="C75" s="2"/>
      <c r="D75" s="2"/>
      <c r="E75" s="55">
        <f>E76+E77</f>
        <v>2063.5700500000003</v>
      </c>
      <c r="F75" s="55">
        <f>F76+F77</f>
        <v>2063.5700499999998</v>
      </c>
      <c r="G75" s="63">
        <f t="shared" si="32"/>
        <v>99.999999999999972</v>
      </c>
    </row>
    <row r="76" spans="1:7" s="8" customFormat="1" ht="24" x14ac:dyDescent="0.2">
      <c r="A76" s="3" t="s">
        <v>31</v>
      </c>
      <c r="B76" s="2" t="s">
        <v>289</v>
      </c>
      <c r="C76" s="2" t="s">
        <v>33</v>
      </c>
      <c r="D76" s="2"/>
      <c r="E76" s="45">
        <v>2025.7600500000001</v>
      </c>
      <c r="F76" s="45">
        <f>1942.38799+83.37206</f>
        <v>2025.7600499999999</v>
      </c>
      <c r="G76" s="63">
        <f t="shared" si="32"/>
        <v>99.999999999999986</v>
      </c>
    </row>
    <row r="77" spans="1:7" s="8" customFormat="1" ht="18" customHeight="1" x14ac:dyDescent="0.2">
      <c r="A77" s="5" t="s">
        <v>43</v>
      </c>
      <c r="B77" s="2" t="s">
        <v>289</v>
      </c>
      <c r="C77" s="2" t="s">
        <v>47</v>
      </c>
      <c r="D77" s="2"/>
      <c r="E77" s="45">
        <v>37.81</v>
      </c>
      <c r="F77" s="45">
        <f>12.079+11.731+14</f>
        <v>37.81</v>
      </c>
      <c r="G77" s="63">
        <f t="shared" si="32"/>
        <v>100</v>
      </c>
    </row>
    <row r="78" spans="1:7" s="8" customFormat="1" x14ac:dyDescent="0.2">
      <c r="A78" s="5" t="s">
        <v>281</v>
      </c>
      <c r="B78" s="2" t="s">
        <v>290</v>
      </c>
      <c r="C78" s="2"/>
      <c r="D78" s="2"/>
      <c r="E78" s="55">
        <f>E79</f>
        <v>2978.9</v>
      </c>
      <c r="F78" s="55">
        <f>F79</f>
        <v>2978.9</v>
      </c>
      <c r="G78" s="63">
        <f t="shared" si="32"/>
        <v>100</v>
      </c>
    </row>
    <row r="79" spans="1:7" s="8" customFormat="1" ht="36" x14ac:dyDescent="0.2">
      <c r="A79" s="3" t="s">
        <v>24</v>
      </c>
      <c r="B79" s="2" t="s">
        <v>290</v>
      </c>
      <c r="C79" s="2" t="s">
        <v>22</v>
      </c>
      <c r="D79" s="2"/>
      <c r="E79" s="45">
        <v>2978.9</v>
      </c>
      <c r="F79" s="45">
        <f>2287.942+690.958</f>
        <v>2978.9</v>
      </c>
      <c r="G79" s="63">
        <f t="shared" si="32"/>
        <v>100</v>
      </c>
    </row>
    <row r="80" spans="1:7" s="8" customFormat="1" ht="36" x14ac:dyDescent="0.2">
      <c r="A80" s="3" t="s">
        <v>509</v>
      </c>
      <c r="B80" s="2" t="s">
        <v>514</v>
      </c>
      <c r="C80" s="2"/>
      <c r="D80" s="2"/>
      <c r="E80" s="65">
        <f>E81</f>
        <v>39.1</v>
      </c>
      <c r="F80" s="65">
        <f t="shared" ref="F80" si="33">F81</f>
        <v>39.1</v>
      </c>
      <c r="G80" s="63">
        <f t="shared" si="32"/>
        <v>100</v>
      </c>
    </row>
    <row r="81" spans="1:7" s="8" customFormat="1" ht="24" x14ac:dyDescent="0.2">
      <c r="A81" s="3" t="s">
        <v>31</v>
      </c>
      <c r="B81" s="2" t="s">
        <v>514</v>
      </c>
      <c r="C81" s="2" t="s">
        <v>33</v>
      </c>
      <c r="D81" s="2"/>
      <c r="E81" s="82">
        <v>39.1</v>
      </c>
      <c r="F81" s="82">
        <v>39.1</v>
      </c>
      <c r="G81" s="63">
        <f t="shared" si="32"/>
        <v>100</v>
      </c>
    </row>
    <row r="82" spans="1:7" s="8" customFormat="1" ht="24" x14ac:dyDescent="0.2">
      <c r="A82" s="3" t="s">
        <v>182</v>
      </c>
      <c r="B82" s="2" t="s">
        <v>26</v>
      </c>
      <c r="C82" s="2"/>
      <c r="D82" s="2"/>
      <c r="E82" s="68">
        <f>E83+E97+E101+E108+E111</f>
        <v>48636.703159999997</v>
      </c>
      <c r="F82" s="68">
        <f>F83+F97+F101+F108+F111</f>
        <v>48636.703159999997</v>
      </c>
      <c r="G82" s="63">
        <f t="shared" si="32"/>
        <v>100</v>
      </c>
    </row>
    <row r="83" spans="1:7" s="27" customFormat="1" ht="24" x14ac:dyDescent="0.2">
      <c r="A83" s="3" t="s">
        <v>363</v>
      </c>
      <c r="B83" s="2" t="s">
        <v>142</v>
      </c>
      <c r="C83" s="2"/>
      <c r="D83" s="2"/>
      <c r="E83" s="68">
        <f>E84+E88+E95+E86+E90+E92</f>
        <v>30153.993779999997</v>
      </c>
      <c r="F83" s="68">
        <f>F84+F88+F95+F86+F90+F92</f>
        <v>30153.993779999997</v>
      </c>
      <c r="G83" s="63">
        <f t="shared" si="32"/>
        <v>100</v>
      </c>
    </row>
    <row r="84" spans="1:7" s="27" customFormat="1" x14ac:dyDescent="0.2">
      <c r="A84" s="3" t="s">
        <v>364</v>
      </c>
      <c r="B84" s="2" t="s">
        <v>25</v>
      </c>
      <c r="C84" s="2"/>
      <c r="D84" s="2"/>
      <c r="E84" s="68">
        <f>E85</f>
        <v>23410.000919999999</v>
      </c>
      <c r="F84" s="68">
        <f>F85</f>
        <v>23410.000919999999</v>
      </c>
      <c r="G84" s="63">
        <f t="shared" si="32"/>
        <v>100</v>
      </c>
    </row>
    <row r="85" spans="1:7" s="27" customFormat="1" ht="24" x14ac:dyDescent="0.2">
      <c r="A85" s="3" t="s">
        <v>19</v>
      </c>
      <c r="B85" s="2" t="s">
        <v>25</v>
      </c>
      <c r="C85" s="2" t="s">
        <v>17</v>
      </c>
      <c r="D85" s="2"/>
      <c r="E85" s="81">
        <v>23410.000919999999</v>
      </c>
      <c r="F85" s="81">
        <f>23152.00092+258</f>
        <v>23410.000919999999</v>
      </c>
      <c r="G85" s="63">
        <f t="shared" si="32"/>
        <v>100</v>
      </c>
    </row>
    <row r="86" spans="1:7" s="27" customFormat="1" hidden="1" x14ac:dyDescent="0.2">
      <c r="A86" s="3" t="s">
        <v>334</v>
      </c>
      <c r="B86" s="2" t="s">
        <v>335</v>
      </c>
      <c r="C86" s="2"/>
      <c r="D86" s="2"/>
      <c r="E86" s="68">
        <f>E87</f>
        <v>0</v>
      </c>
      <c r="F86" s="68">
        <f>F87</f>
        <v>0</v>
      </c>
      <c r="G86" s="63" t="e">
        <f t="shared" si="32"/>
        <v>#DIV/0!</v>
      </c>
    </row>
    <row r="87" spans="1:7" s="27" customFormat="1" ht="24" hidden="1" x14ac:dyDescent="0.2">
      <c r="A87" s="3" t="s">
        <v>31</v>
      </c>
      <c r="B87" s="2" t="s">
        <v>335</v>
      </c>
      <c r="C87" s="2" t="s">
        <v>33</v>
      </c>
      <c r="D87" s="2"/>
      <c r="E87" s="68"/>
      <c r="F87" s="68"/>
      <c r="G87" s="63" t="e">
        <f t="shared" si="32"/>
        <v>#DIV/0!</v>
      </c>
    </row>
    <row r="88" spans="1:7" s="8" customFormat="1" ht="24" x14ac:dyDescent="0.2">
      <c r="A88" s="3" t="s">
        <v>256</v>
      </c>
      <c r="B88" s="2" t="s">
        <v>257</v>
      </c>
      <c r="C88" s="2"/>
      <c r="D88" s="2"/>
      <c r="E88" s="55">
        <f>E89</f>
        <v>1290.7770499999999</v>
      </c>
      <c r="F88" s="55">
        <f>F89</f>
        <v>1290.7770499999999</v>
      </c>
      <c r="G88" s="63">
        <f t="shared" si="32"/>
        <v>100</v>
      </c>
    </row>
    <row r="89" spans="1:7" s="8" customFormat="1" ht="24" x14ac:dyDescent="0.2">
      <c r="A89" s="3" t="s">
        <v>19</v>
      </c>
      <c r="B89" s="2" t="s">
        <v>257</v>
      </c>
      <c r="C89" s="2" t="s">
        <v>17</v>
      </c>
      <c r="D89" s="2"/>
      <c r="E89" s="45">
        <v>1290.7770499999999</v>
      </c>
      <c r="F89" s="79">
        <v>1290.7770499999999</v>
      </c>
      <c r="G89" s="63">
        <f t="shared" si="32"/>
        <v>100</v>
      </c>
    </row>
    <row r="90" spans="1:7" s="8" customFormat="1" hidden="1" x14ac:dyDescent="0.2">
      <c r="A90" s="5" t="s">
        <v>481</v>
      </c>
      <c r="B90" s="2" t="s">
        <v>480</v>
      </c>
      <c r="C90" s="2"/>
      <c r="D90" s="2"/>
      <c r="E90" s="55">
        <f>E91</f>
        <v>0</v>
      </c>
      <c r="F90" s="55">
        <f t="shared" ref="F90" si="34">F91</f>
        <v>0</v>
      </c>
      <c r="G90" s="63" t="e">
        <f t="shared" si="32"/>
        <v>#DIV/0!</v>
      </c>
    </row>
    <row r="91" spans="1:7" s="8" customFormat="1" ht="24" hidden="1" x14ac:dyDescent="0.2">
      <c r="A91" s="3" t="s">
        <v>31</v>
      </c>
      <c r="B91" s="2" t="s">
        <v>480</v>
      </c>
      <c r="C91" s="2" t="s">
        <v>33</v>
      </c>
      <c r="D91" s="2"/>
      <c r="E91" s="55"/>
      <c r="F91" s="55"/>
      <c r="G91" s="63" t="e">
        <f t="shared" si="32"/>
        <v>#DIV/0!</v>
      </c>
    </row>
    <row r="92" spans="1:7" s="8" customFormat="1" x14ac:dyDescent="0.2">
      <c r="A92" s="5" t="s">
        <v>416</v>
      </c>
      <c r="B92" s="2" t="s">
        <v>417</v>
      </c>
      <c r="C92" s="2"/>
      <c r="D92" s="2"/>
      <c r="E92" s="55">
        <f>E94+E93</f>
        <v>4919.3458099999998</v>
      </c>
      <c r="F92" s="55">
        <f t="shared" ref="F92" si="35">F94+F93</f>
        <v>4919.3458099999998</v>
      </c>
      <c r="G92" s="63">
        <f t="shared" si="32"/>
        <v>100</v>
      </c>
    </row>
    <row r="93" spans="1:7" s="8" customFormat="1" x14ac:dyDescent="0.2">
      <c r="A93" s="3" t="s">
        <v>7</v>
      </c>
      <c r="B93" s="2" t="s">
        <v>417</v>
      </c>
      <c r="C93" s="2" t="s">
        <v>5</v>
      </c>
      <c r="D93" s="2"/>
      <c r="E93" s="45">
        <v>289.25049999999999</v>
      </c>
      <c r="F93" s="45">
        <v>289.25049999999999</v>
      </c>
      <c r="G93" s="63">
        <f t="shared" si="32"/>
        <v>100</v>
      </c>
    </row>
    <row r="94" spans="1:7" s="8" customFormat="1" ht="24" x14ac:dyDescent="0.2">
      <c r="A94" s="3" t="s">
        <v>19</v>
      </c>
      <c r="B94" s="2" t="s">
        <v>417</v>
      </c>
      <c r="C94" s="2" t="s">
        <v>17</v>
      </c>
      <c r="D94" s="2"/>
      <c r="E94" s="81">
        <v>4630.0953099999997</v>
      </c>
      <c r="F94" s="81">
        <v>4630.0953099999997</v>
      </c>
      <c r="G94" s="63">
        <f t="shared" si="32"/>
        <v>100</v>
      </c>
    </row>
    <row r="95" spans="1:7" s="8" customFormat="1" x14ac:dyDescent="0.2">
      <c r="A95" s="3" t="s">
        <v>281</v>
      </c>
      <c r="B95" s="2" t="s">
        <v>291</v>
      </c>
      <c r="C95" s="2"/>
      <c r="D95" s="2"/>
      <c r="E95" s="55">
        <f>E96</f>
        <v>533.87</v>
      </c>
      <c r="F95" s="55">
        <f t="shared" ref="F95" si="36">F96</f>
        <v>533.87</v>
      </c>
      <c r="G95" s="63">
        <f t="shared" si="32"/>
        <v>100</v>
      </c>
    </row>
    <row r="96" spans="1:7" s="8" customFormat="1" ht="24" x14ac:dyDescent="0.2">
      <c r="A96" s="3" t="s">
        <v>19</v>
      </c>
      <c r="B96" s="2" t="s">
        <v>291</v>
      </c>
      <c r="C96" s="2" t="s">
        <v>17</v>
      </c>
      <c r="D96" s="2"/>
      <c r="E96" s="45">
        <v>533.87</v>
      </c>
      <c r="F96" s="79">
        <v>533.87</v>
      </c>
      <c r="G96" s="63">
        <f t="shared" si="32"/>
        <v>100</v>
      </c>
    </row>
    <row r="97" spans="1:7" s="27" customFormat="1" ht="24" x14ac:dyDescent="0.2">
      <c r="A97" s="3" t="s">
        <v>154</v>
      </c>
      <c r="B97" s="2" t="s">
        <v>122</v>
      </c>
      <c r="C97" s="2"/>
      <c r="D97" s="2"/>
      <c r="E97" s="65">
        <f>E98</f>
        <v>867.80000000000007</v>
      </c>
      <c r="F97" s="65">
        <f t="shared" ref="F97" si="37">F98</f>
        <v>867.80000000000007</v>
      </c>
      <c r="G97" s="63">
        <f t="shared" si="32"/>
        <v>100</v>
      </c>
    </row>
    <row r="98" spans="1:7" s="27" customFormat="1" ht="48" x14ac:dyDescent="0.2">
      <c r="A98" s="3" t="s">
        <v>183</v>
      </c>
      <c r="B98" s="2" t="s">
        <v>68</v>
      </c>
      <c r="C98" s="2"/>
      <c r="D98" s="2"/>
      <c r="E98" s="65">
        <f t="shared" ref="E98:F98" si="38">E99+E100</f>
        <v>867.80000000000007</v>
      </c>
      <c r="F98" s="65">
        <f t="shared" si="38"/>
        <v>867.80000000000007</v>
      </c>
      <c r="G98" s="63">
        <f t="shared" si="32"/>
        <v>100</v>
      </c>
    </row>
    <row r="99" spans="1:7" s="27" customFormat="1" ht="36" x14ac:dyDescent="0.2">
      <c r="A99" s="3" t="s">
        <v>24</v>
      </c>
      <c r="B99" s="2" t="s">
        <v>68</v>
      </c>
      <c r="C99" s="2" t="s">
        <v>22</v>
      </c>
      <c r="D99" s="2"/>
      <c r="E99" s="82">
        <v>833.86656000000005</v>
      </c>
      <c r="F99" s="82">
        <f>640.49526+2.436+190.9353</f>
        <v>833.86656000000005</v>
      </c>
      <c r="G99" s="63">
        <f t="shared" si="32"/>
        <v>100</v>
      </c>
    </row>
    <row r="100" spans="1:7" s="27" customFormat="1" ht="24" x14ac:dyDescent="0.2">
      <c r="A100" s="3" t="s">
        <v>31</v>
      </c>
      <c r="B100" s="2" t="s">
        <v>68</v>
      </c>
      <c r="C100" s="2" t="s">
        <v>33</v>
      </c>
      <c r="D100" s="2"/>
      <c r="E100" s="82">
        <v>33.933439999999997</v>
      </c>
      <c r="F100" s="82">
        <v>33.933439999999997</v>
      </c>
      <c r="G100" s="63">
        <f t="shared" si="32"/>
        <v>100</v>
      </c>
    </row>
    <row r="101" spans="1:7" s="27" customFormat="1" ht="24" x14ac:dyDescent="0.2">
      <c r="A101" s="3" t="s">
        <v>108</v>
      </c>
      <c r="B101" s="2" t="s">
        <v>147</v>
      </c>
      <c r="C101" s="2"/>
      <c r="D101" s="2"/>
      <c r="E101" s="68">
        <f>E102+E106+E104</f>
        <v>17511.83785</v>
      </c>
      <c r="F101" s="68">
        <f t="shared" ref="F101" si="39">F102+F106+F104</f>
        <v>17511.83785</v>
      </c>
      <c r="G101" s="63">
        <f t="shared" si="32"/>
        <v>100</v>
      </c>
    </row>
    <row r="102" spans="1:7" s="27" customFormat="1" x14ac:dyDescent="0.2">
      <c r="A102" s="3" t="s">
        <v>365</v>
      </c>
      <c r="B102" s="2" t="s">
        <v>148</v>
      </c>
      <c r="C102" s="2"/>
      <c r="D102" s="2"/>
      <c r="E102" s="68">
        <f>E103</f>
        <v>15532.56594</v>
      </c>
      <c r="F102" s="68">
        <f t="shared" ref="F102" si="40">F103</f>
        <v>15532.56594</v>
      </c>
      <c r="G102" s="63">
        <f t="shared" si="32"/>
        <v>100</v>
      </c>
    </row>
    <row r="103" spans="1:7" s="27" customFormat="1" ht="24" x14ac:dyDescent="0.2">
      <c r="A103" s="3" t="s">
        <v>19</v>
      </c>
      <c r="B103" s="2" t="s">
        <v>148</v>
      </c>
      <c r="C103" s="2" t="s">
        <v>17</v>
      </c>
      <c r="D103" s="2"/>
      <c r="E103" s="81">
        <v>15532.56594</v>
      </c>
      <c r="F103" s="81">
        <f>13483.38194+2049.184</f>
        <v>15532.56594</v>
      </c>
      <c r="G103" s="63">
        <f t="shared" si="32"/>
        <v>100</v>
      </c>
    </row>
    <row r="104" spans="1:7" s="27" customFormat="1" x14ac:dyDescent="0.2">
      <c r="A104" s="5" t="s">
        <v>416</v>
      </c>
      <c r="B104" s="2" t="s">
        <v>422</v>
      </c>
      <c r="C104" s="2"/>
      <c r="D104" s="2"/>
      <c r="E104" s="68">
        <f t="shared" ref="E104:F104" si="41">E105</f>
        <v>1872.0904</v>
      </c>
      <c r="F104" s="68">
        <f t="shared" si="41"/>
        <v>1872.0904</v>
      </c>
      <c r="G104" s="63">
        <f t="shared" si="32"/>
        <v>100</v>
      </c>
    </row>
    <row r="105" spans="1:7" s="27" customFormat="1" ht="24" x14ac:dyDescent="0.2">
      <c r="A105" s="3" t="s">
        <v>19</v>
      </c>
      <c r="B105" s="2" t="s">
        <v>422</v>
      </c>
      <c r="C105" s="2" t="s">
        <v>17</v>
      </c>
      <c r="D105" s="2"/>
      <c r="E105" s="81">
        <v>1872.0904</v>
      </c>
      <c r="F105" s="81">
        <v>1872.0904</v>
      </c>
      <c r="G105" s="63">
        <f t="shared" si="32"/>
        <v>100</v>
      </c>
    </row>
    <row r="106" spans="1:7" s="8" customFormat="1" ht="24" x14ac:dyDescent="0.2">
      <c r="A106" s="5" t="s">
        <v>503</v>
      </c>
      <c r="B106" s="2" t="s">
        <v>502</v>
      </c>
      <c r="C106" s="2"/>
      <c r="D106" s="2"/>
      <c r="E106" s="55">
        <f>E107</f>
        <v>107.18151</v>
      </c>
      <c r="F106" s="55">
        <f t="shared" ref="F106" si="42">F107</f>
        <v>107.18151</v>
      </c>
      <c r="G106" s="63">
        <f t="shared" si="32"/>
        <v>100</v>
      </c>
    </row>
    <row r="107" spans="1:7" s="8" customFormat="1" ht="24" x14ac:dyDescent="0.2">
      <c r="A107" s="5" t="s">
        <v>19</v>
      </c>
      <c r="B107" s="2" t="s">
        <v>502</v>
      </c>
      <c r="C107" s="2" t="s">
        <v>17</v>
      </c>
      <c r="D107" s="2"/>
      <c r="E107" s="45">
        <v>107.18151</v>
      </c>
      <c r="F107" s="79">
        <v>107.18151</v>
      </c>
      <c r="G107" s="63">
        <f t="shared" si="32"/>
        <v>100</v>
      </c>
    </row>
    <row r="108" spans="1:7" s="8" customFormat="1" hidden="1" x14ac:dyDescent="0.2">
      <c r="A108" s="3" t="s">
        <v>433</v>
      </c>
      <c r="B108" s="2" t="s">
        <v>432</v>
      </c>
      <c r="C108" s="2"/>
      <c r="D108" s="2"/>
      <c r="E108" s="69">
        <f t="shared" ref="E108:E109" si="43">E109</f>
        <v>0</v>
      </c>
      <c r="F108" s="69">
        <f t="shared" ref="F108:F109" si="44">F109</f>
        <v>0</v>
      </c>
      <c r="G108" s="63" t="e">
        <f t="shared" si="32"/>
        <v>#DIV/0!</v>
      </c>
    </row>
    <row r="109" spans="1:7" s="8" customFormat="1" ht="24" hidden="1" x14ac:dyDescent="0.2">
      <c r="A109" s="3" t="s">
        <v>435</v>
      </c>
      <c r="B109" s="2" t="s">
        <v>434</v>
      </c>
      <c r="C109" s="2"/>
      <c r="D109" s="2"/>
      <c r="E109" s="69">
        <f t="shared" si="43"/>
        <v>0</v>
      </c>
      <c r="F109" s="69">
        <f t="shared" si="44"/>
        <v>0</v>
      </c>
      <c r="G109" s="63" t="e">
        <f t="shared" si="32"/>
        <v>#DIV/0!</v>
      </c>
    </row>
    <row r="110" spans="1:7" s="8" customFormat="1" hidden="1" x14ac:dyDescent="0.2">
      <c r="A110" s="3" t="s">
        <v>7</v>
      </c>
      <c r="B110" s="2" t="s">
        <v>434</v>
      </c>
      <c r="C110" s="2" t="s">
        <v>5</v>
      </c>
      <c r="D110" s="2"/>
      <c r="E110" s="69">
        <v>0</v>
      </c>
      <c r="F110" s="69">
        <v>0</v>
      </c>
      <c r="G110" s="63" t="e">
        <f t="shared" si="32"/>
        <v>#DIV/0!</v>
      </c>
    </row>
    <row r="111" spans="1:7" s="8" customFormat="1" x14ac:dyDescent="0.2">
      <c r="A111" s="5" t="s">
        <v>483</v>
      </c>
      <c r="B111" s="2" t="s">
        <v>484</v>
      </c>
      <c r="C111" s="2"/>
      <c r="D111" s="2"/>
      <c r="E111" s="55">
        <f>E112</f>
        <v>103.07153</v>
      </c>
      <c r="F111" s="55">
        <f t="shared" ref="F111:F112" si="45">F112</f>
        <v>103.07153</v>
      </c>
      <c r="G111" s="63">
        <f t="shared" si="32"/>
        <v>100</v>
      </c>
    </row>
    <row r="112" spans="1:7" s="8" customFormat="1" x14ac:dyDescent="0.2">
      <c r="A112" s="3" t="s">
        <v>443</v>
      </c>
      <c r="B112" s="2" t="s">
        <v>482</v>
      </c>
      <c r="C112" s="2"/>
      <c r="D112" s="2"/>
      <c r="E112" s="55">
        <f>E113</f>
        <v>103.07153</v>
      </c>
      <c r="F112" s="55">
        <f t="shared" si="45"/>
        <v>103.07153</v>
      </c>
      <c r="G112" s="63">
        <f t="shared" si="32"/>
        <v>100</v>
      </c>
    </row>
    <row r="113" spans="1:7" s="8" customFormat="1" ht="24" x14ac:dyDescent="0.2">
      <c r="A113" s="3" t="s">
        <v>19</v>
      </c>
      <c r="B113" s="2" t="s">
        <v>482</v>
      </c>
      <c r="C113" s="2" t="s">
        <v>17</v>
      </c>
      <c r="D113" s="2"/>
      <c r="E113" s="45">
        <v>103.07153</v>
      </c>
      <c r="F113" s="79">
        <v>103.07153</v>
      </c>
      <c r="G113" s="63">
        <f t="shared" si="32"/>
        <v>100</v>
      </c>
    </row>
    <row r="114" spans="1:7" ht="36" x14ac:dyDescent="0.2">
      <c r="A114" s="5" t="s">
        <v>114</v>
      </c>
      <c r="B114" s="2" t="s">
        <v>38</v>
      </c>
      <c r="C114" s="2"/>
      <c r="D114" s="2"/>
      <c r="E114" s="70">
        <f t="shared" ref="E114:F114" si="46">E115+E122+E126</f>
        <v>1992.39066</v>
      </c>
      <c r="F114" s="70">
        <f t="shared" si="46"/>
        <v>1992.39066</v>
      </c>
      <c r="G114" s="63">
        <f t="shared" si="32"/>
        <v>100</v>
      </c>
    </row>
    <row r="115" spans="1:7" s="8" customFormat="1" ht="24" x14ac:dyDescent="0.2">
      <c r="A115" s="3" t="s">
        <v>36</v>
      </c>
      <c r="B115" s="2" t="s">
        <v>115</v>
      </c>
      <c r="C115" s="2"/>
      <c r="D115" s="2"/>
      <c r="E115" s="55">
        <f>E116+E118+E120</f>
        <v>996.33</v>
      </c>
      <c r="F115" s="55">
        <f t="shared" ref="F115" si="47">F116+F118+F120</f>
        <v>996.33</v>
      </c>
      <c r="G115" s="63">
        <f t="shared" si="32"/>
        <v>100</v>
      </c>
    </row>
    <row r="116" spans="1:7" s="8" customFormat="1" ht="24" x14ac:dyDescent="0.2">
      <c r="A116" s="3" t="s">
        <v>150</v>
      </c>
      <c r="B116" s="2" t="s">
        <v>34</v>
      </c>
      <c r="C116" s="2"/>
      <c r="D116" s="2"/>
      <c r="E116" s="55">
        <f t="shared" ref="E116:F116" si="48">E117</f>
        <v>125</v>
      </c>
      <c r="F116" s="55">
        <f t="shared" si="48"/>
        <v>125</v>
      </c>
      <c r="G116" s="63">
        <f t="shared" si="32"/>
        <v>100</v>
      </c>
    </row>
    <row r="117" spans="1:7" s="8" customFormat="1" ht="24" x14ac:dyDescent="0.2">
      <c r="A117" s="3" t="s">
        <v>31</v>
      </c>
      <c r="B117" s="2" t="s">
        <v>34</v>
      </c>
      <c r="C117" s="2" t="s">
        <v>33</v>
      </c>
      <c r="D117" s="2"/>
      <c r="E117" s="45">
        <v>125</v>
      </c>
      <c r="F117" s="45">
        <v>125</v>
      </c>
      <c r="G117" s="63">
        <f t="shared" si="32"/>
        <v>100</v>
      </c>
    </row>
    <row r="118" spans="1:7" ht="23.25" customHeight="1" x14ac:dyDescent="0.2">
      <c r="A118" s="3" t="s">
        <v>161</v>
      </c>
      <c r="B118" s="2" t="s">
        <v>37</v>
      </c>
      <c r="C118" s="2"/>
      <c r="D118" s="2"/>
      <c r="E118" s="70">
        <f t="shared" ref="E118:F118" si="49">E119</f>
        <v>88.6</v>
      </c>
      <c r="F118" s="70">
        <f t="shared" si="49"/>
        <v>88.6</v>
      </c>
      <c r="G118" s="63">
        <f t="shared" si="32"/>
        <v>100</v>
      </c>
    </row>
    <row r="119" spans="1:7" ht="36" x14ac:dyDescent="0.2">
      <c r="A119" s="3" t="s">
        <v>24</v>
      </c>
      <c r="B119" s="2" t="s">
        <v>37</v>
      </c>
      <c r="C119" s="2" t="s">
        <v>22</v>
      </c>
      <c r="D119" s="2"/>
      <c r="E119" s="88">
        <f>68.04912+20.55088</f>
        <v>88.6</v>
      </c>
      <c r="F119" s="88">
        <f>68.04912+20.55088</f>
        <v>88.6</v>
      </c>
      <c r="G119" s="63">
        <f t="shared" si="32"/>
        <v>100</v>
      </c>
    </row>
    <row r="120" spans="1:7" ht="24" x14ac:dyDescent="0.2">
      <c r="A120" s="3" t="s">
        <v>485</v>
      </c>
      <c r="B120" s="2" t="s">
        <v>426</v>
      </c>
      <c r="C120" s="2"/>
      <c r="D120" s="2"/>
      <c r="E120" s="55">
        <f>E121</f>
        <v>782.73</v>
      </c>
      <c r="F120" s="55">
        <f t="shared" ref="F120" si="50">F121</f>
        <v>782.73</v>
      </c>
      <c r="G120" s="63">
        <f t="shared" si="32"/>
        <v>100</v>
      </c>
    </row>
    <row r="121" spans="1:7" x14ac:dyDescent="0.2">
      <c r="A121" s="3" t="s">
        <v>29</v>
      </c>
      <c r="B121" s="2" t="s">
        <v>426</v>
      </c>
      <c r="C121" s="2" t="s">
        <v>27</v>
      </c>
      <c r="D121" s="2"/>
      <c r="E121" s="45">
        <v>782.73</v>
      </c>
      <c r="F121" s="45">
        <v>782.73</v>
      </c>
      <c r="G121" s="63">
        <f t="shared" si="32"/>
        <v>100</v>
      </c>
    </row>
    <row r="122" spans="1:7" ht="24" x14ac:dyDescent="0.2">
      <c r="A122" s="3" t="s">
        <v>111</v>
      </c>
      <c r="B122" s="2" t="s">
        <v>139</v>
      </c>
      <c r="C122" s="2"/>
      <c r="D122" s="2"/>
      <c r="E122" s="64">
        <f>E123</f>
        <v>996.06065999999998</v>
      </c>
      <c r="F122" s="64">
        <f t="shared" ref="F122" si="51">F123</f>
        <v>996.06065999999998</v>
      </c>
      <c r="G122" s="63">
        <f t="shared" si="32"/>
        <v>100</v>
      </c>
    </row>
    <row r="123" spans="1:7" ht="24" x14ac:dyDescent="0.2">
      <c r="A123" s="5" t="s">
        <v>140</v>
      </c>
      <c r="B123" s="2" t="s">
        <v>141</v>
      </c>
      <c r="C123" s="2"/>
      <c r="D123" s="2"/>
      <c r="E123" s="55">
        <f t="shared" ref="E123:F123" si="52">E124</f>
        <v>996.06065999999998</v>
      </c>
      <c r="F123" s="55">
        <f t="shared" si="52"/>
        <v>996.06065999999998</v>
      </c>
      <c r="G123" s="63">
        <f t="shared" si="32"/>
        <v>100</v>
      </c>
    </row>
    <row r="124" spans="1:7" x14ac:dyDescent="0.2">
      <c r="A124" s="5" t="s">
        <v>29</v>
      </c>
      <c r="B124" s="2" t="s">
        <v>141</v>
      </c>
      <c r="C124" s="2" t="s">
        <v>27</v>
      </c>
      <c r="D124" s="2"/>
      <c r="E124" s="81">
        <v>996.06065999999998</v>
      </c>
      <c r="F124" s="81">
        <v>996.06065999999998</v>
      </c>
      <c r="G124" s="63">
        <f t="shared" si="32"/>
        <v>100</v>
      </c>
    </row>
    <row r="125" spans="1:7" s="8" customFormat="1" ht="24" hidden="1" x14ac:dyDescent="0.2">
      <c r="A125" s="3" t="s">
        <v>264</v>
      </c>
      <c r="B125" s="2" t="s">
        <v>265</v>
      </c>
      <c r="C125" s="2"/>
      <c r="D125" s="2"/>
      <c r="E125" s="55">
        <f>E126</f>
        <v>0</v>
      </c>
      <c r="F125" s="55">
        <f t="shared" ref="F125:F126" si="53">F126</f>
        <v>0</v>
      </c>
      <c r="G125" s="63" t="e">
        <f t="shared" si="32"/>
        <v>#DIV/0!</v>
      </c>
    </row>
    <row r="126" spans="1:7" s="8" customFormat="1" hidden="1" x14ac:dyDescent="0.2">
      <c r="A126" s="3" t="s">
        <v>328</v>
      </c>
      <c r="B126" s="2" t="s">
        <v>266</v>
      </c>
      <c r="C126" s="2"/>
      <c r="D126" s="2"/>
      <c r="E126" s="55">
        <f>E127</f>
        <v>0</v>
      </c>
      <c r="F126" s="55">
        <f t="shared" si="53"/>
        <v>0</v>
      </c>
      <c r="G126" s="63" t="e">
        <f t="shared" si="32"/>
        <v>#DIV/0!</v>
      </c>
    </row>
    <row r="127" spans="1:7" s="8" customFormat="1" ht="24" hidden="1" x14ac:dyDescent="0.2">
      <c r="A127" s="3" t="s">
        <v>19</v>
      </c>
      <c r="B127" s="2" t="s">
        <v>266</v>
      </c>
      <c r="C127" s="2" t="s">
        <v>17</v>
      </c>
      <c r="D127" s="2"/>
      <c r="E127" s="55"/>
      <c r="F127" s="55"/>
      <c r="G127" s="63" t="e">
        <f t="shared" si="32"/>
        <v>#DIV/0!</v>
      </c>
    </row>
    <row r="128" spans="1:7" ht="36" x14ac:dyDescent="0.2">
      <c r="A128" s="3" t="s">
        <v>207</v>
      </c>
      <c r="B128" s="2" t="s">
        <v>238</v>
      </c>
      <c r="C128" s="2"/>
      <c r="D128" s="2"/>
      <c r="E128" s="65">
        <f>E129+E135+E139</f>
        <v>2500.5106700000001</v>
      </c>
      <c r="F128" s="65">
        <f>F129+F135+F139</f>
        <v>2500.5106700000001</v>
      </c>
      <c r="G128" s="63">
        <f t="shared" si="32"/>
        <v>100</v>
      </c>
    </row>
    <row r="129" spans="1:7" x14ac:dyDescent="0.2">
      <c r="A129" s="26" t="s">
        <v>208</v>
      </c>
      <c r="B129" s="2" t="s">
        <v>239</v>
      </c>
      <c r="C129" s="2"/>
      <c r="D129" s="2"/>
      <c r="E129" s="55">
        <f>E130+E133</f>
        <v>925.66539999999998</v>
      </c>
      <c r="F129" s="55">
        <f t="shared" ref="F129" si="54">F130+F133</f>
        <v>925.66539999999998</v>
      </c>
      <c r="G129" s="63">
        <f t="shared" si="32"/>
        <v>100</v>
      </c>
    </row>
    <row r="130" spans="1:7" ht="13.5" customHeight="1" x14ac:dyDescent="0.2">
      <c r="A130" s="3" t="s">
        <v>146</v>
      </c>
      <c r="B130" s="2" t="s">
        <v>240</v>
      </c>
      <c r="C130" s="2"/>
      <c r="D130" s="2"/>
      <c r="E130" s="68">
        <f>E132+E131</f>
        <v>100</v>
      </c>
      <c r="F130" s="68">
        <f t="shared" ref="F130" si="55">F132+F131</f>
        <v>100</v>
      </c>
      <c r="G130" s="63">
        <f t="shared" si="32"/>
        <v>100</v>
      </c>
    </row>
    <row r="131" spans="1:7" ht="36" x14ac:dyDescent="0.2">
      <c r="A131" s="3" t="s">
        <v>24</v>
      </c>
      <c r="B131" s="2" t="s">
        <v>240</v>
      </c>
      <c r="C131" s="2" t="s">
        <v>22</v>
      </c>
      <c r="D131" s="2"/>
      <c r="E131" s="81">
        <v>5</v>
      </c>
      <c r="F131" s="81">
        <v>5</v>
      </c>
      <c r="G131" s="63">
        <f t="shared" si="32"/>
        <v>100</v>
      </c>
    </row>
    <row r="132" spans="1:7" ht="24" x14ac:dyDescent="0.2">
      <c r="A132" s="3" t="s">
        <v>31</v>
      </c>
      <c r="B132" s="2" t="s">
        <v>240</v>
      </c>
      <c r="C132" s="2" t="s">
        <v>33</v>
      </c>
      <c r="D132" s="2"/>
      <c r="E132" s="81">
        <v>95</v>
      </c>
      <c r="F132" s="81">
        <v>95</v>
      </c>
      <c r="G132" s="63">
        <f t="shared" si="32"/>
        <v>100</v>
      </c>
    </row>
    <row r="133" spans="1:7" x14ac:dyDescent="0.2">
      <c r="A133" s="26" t="s">
        <v>262</v>
      </c>
      <c r="B133" s="2" t="s">
        <v>263</v>
      </c>
      <c r="C133" s="2"/>
      <c r="D133" s="2"/>
      <c r="E133" s="55">
        <f>E134</f>
        <v>825.66539999999998</v>
      </c>
      <c r="F133" s="55">
        <f t="shared" ref="F133" si="56">F134</f>
        <v>825.66539999999998</v>
      </c>
      <c r="G133" s="63">
        <f t="shared" si="32"/>
        <v>100</v>
      </c>
    </row>
    <row r="134" spans="1:7" x14ac:dyDescent="0.2">
      <c r="A134" s="5" t="s">
        <v>29</v>
      </c>
      <c r="B134" s="2" t="s">
        <v>263</v>
      </c>
      <c r="C134" s="2" t="s">
        <v>27</v>
      </c>
      <c r="D134" s="2"/>
      <c r="E134" s="45">
        <v>825.66539999999998</v>
      </c>
      <c r="F134" s="82">
        <v>825.66539999999998</v>
      </c>
      <c r="G134" s="63">
        <f t="shared" si="32"/>
        <v>100</v>
      </c>
    </row>
    <row r="135" spans="1:7" ht="24" x14ac:dyDescent="0.2">
      <c r="A135" s="5" t="s">
        <v>32</v>
      </c>
      <c r="B135" s="2" t="s">
        <v>241</v>
      </c>
      <c r="C135" s="2"/>
      <c r="D135" s="2"/>
      <c r="E135" s="65">
        <f>E136</f>
        <v>1574.84527</v>
      </c>
      <c r="F135" s="65">
        <f>F136</f>
        <v>1574.84527</v>
      </c>
      <c r="G135" s="63">
        <f t="shared" si="32"/>
        <v>100</v>
      </c>
    </row>
    <row r="136" spans="1:7" ht="36" x14ac:dyDescent="0.2">
      <c r="A136" s="3" t="s">
        <v>371</v>
      </c>
      <c r="B136" s="2" t="s">
        <v>242</v>
      </c>
      <c r="C136" s="2"/>
      <c r="D136" s="2"/>
      <c r="E136" s="65">
        <f t="shared" ref="E136:F136" si="57">E137+E138</f>
        <v>1574.84527</v>
      </c>
      <c r="F136" s="65">
        <f t="shared" si="57"/>
        <v>1574.84527</v>
      </c>
      <c r="G136" s="63">
        <f t="shared" ref="G136:G191" si="58">F136/E136*100</f>
        <v>100</v>
      </c>
    </row>
    <row r="137" spans="1:7" ht="36" x14ac:dyDescent="0.2">
      <c r="A137" s="3" t="s">
        <v>24</v>
      </c>
      <c r="B137" s="2" t="s">
        <v>242</v>
      </c>
      <c r="C137" s="2">
        <v>100</v>
      </c>
      <c r="D137" s="2"/>
      <c r="E137" s="82">
        <v>71.632999999999996</v>
      </c>
      <c r="F137" s="82">
        <v>71.632999999999996</v>
      </c>
      <c r="G137" s="63">
        <f t="shared" si="58"/>
        <v>100</v>
      </c>
    </row>
    <row r="138" spans="1:7" ht="24" x14ac:dyDescent="0.2">
      <c r="A138" s="3" t="s">
        <v>31</v>
      </c>
      <c r="B138" s="2" t="s">
        <v>242</v>
      </c>
      <c r="C138" s="2">
        <v>200</v>
      </c>
      <c r="D138" s="2"/>
      <c r="E138" s="82">
        <v>1503.21227</v>
      </c>
      <c r="F138" s="82">
        <v>1503.21227</v>
      </c>
      <c r="G138" s="63">
        <f t="shared" si="58"/>
        <v>100</v>
      </c>
    </row>
    <row r="139" spans="1:7" ht="24" hidden="1" x14ac:dyDescent="0.2">
      <c r="A139" s="3" t="s">
        <v>329</v>
      </c>
      <c r="B139" s="2" t="s">
        <v>331</v>
      </c>
      <c r="C139" s="2"/>
      <c r="D139" s="2"/>
      <c r="E139" s="68">
        <f>E142+E140</f>
        <v>0</v>
      </c>
      <c r="F139" s="68">
        <f t="shared" ref="F139" si="59">F142+F140</f>
        <v>0</v>
      </c>
      <c r="G139" s="63" t="e">
        <f t="shared" si="58"/>
        <v>#DIV/0!</v>
      </c>
    </row>
    <row r="140" spans="1:7" hidden="1" x14ac:dyDescent="0.2">
      <c r="A140" s="2" t="s">
        <v>336</v>
      </c>
      <c r="B140" s="2" t="s">
        <v>337</v>
      </c>
      <c r="C140" s="2"/>
      <c r="D140" s="2"/>
      <c r="E140" s="68">
        <f>E141</f>
        <v>0</v>
      </c>
      <c r="F140" s="68">
        <f t="shared" ref="F140:F142" si="60">F141</f>
        <v>0</v>
      </c>
      <c r="G140" s="63" t="e">
        <f t="shared" si="58"/>
        <v>#DIV/0!</v>
      </c>
    </row>
    <row r="141" spans="1:7" ht="24" hidden="1" x14ac:dyDescent="0.2">
      <c r="A141" s="3" t="s">
        <v>31</v>
      </c>
      <c r="B141" s="2" t="s">
        <v>337</v>
      </c>
      <c r="C141" s="2" t="s">
        <v>33</v>
      </c>
      <c r="D141" s="2"/>
      <c r="E141" s="68"/>
      <c r="F141" s="68"/>
      <c r="G141" s="63" t="e">
        <f t="shared" si="58"/>
        <v>#DIV/0!</v>
      </c>
    </row>
    <row r="142" spans="1:7" ht="24" hidden="1" x14ac:dyDescent="0.2">
      <c r="A142" s="3" t="s">
        <v>330</v>
      </c>
      <c r="B142" s="2" t="s">
        <v>332</v>
      </c>
      <c r="C142" s="2"/>
      <c r="D142" s="2"/>
      <c r="E142" s="68">
        <f>E143</f>
        <v>0</v>
      </c>
      <c r="F142" s="68">
        <f t="shared" si="60"/>
        <v>0</v>
      </c>
      <c r="G142" s="63" t="e">
        <f t="shared" si="58"/>
        <v>#DIV/0!</v>
      </c>
    </row>
    <row r="143" spans="1:7" ht="24" hidden="1" x14ac:dyDescent="0.2">
      <c r="A143" s="3" t="s">
        <v>31</v>
      </c>
      <c r="B143" s="2" t="s">
        <v>332</v>
      </c>
      <c r="C143" s="2" t="s">
        <v>33</v>
      </c>
      <c r="D143" s="2"/>
      <c r="E143" s="68">
        <v>0</v>
      </c>
      <c r="F143" s="68"/>
      <c r="G143" s="63" t="e">
        <f t="shared" si="58"/>
        <v>#DIV/0!</v>
      </c>
    </row>
    <row r="144" spans="1:7" ht="24" x14ac:dyDescent="0.2">
      <c r="A144" s="3" t="s">
        <v>351</v>
      </c>
      <c r="B144" s="2" t="s">
        <v>2</v>
      </c>
      <c r="C144" s="2"/>
      <c r="D144" s="2"/>
      <c r="E144" s="65">
        <f>E153+E145</f>
        <v>56519.793819999999</v>
      </c>
      <c r="F144" s="65">
        <f>F153+F145</f>
        <v>56505.926840000007</v>
      </c>
      <c r="G144" s="63">
        <f t="shared" si="58"/>
        <v>99.975465267895075</v>
      </c>
    </row>
    <row r="145" spans="1:9" ht="36" x14ac:dyDescent="0.2">
      <c r="A145" s="3" t="s">
        <v>177</v>
      </c>
      <c r="B145" s="2" t="s">
        <v>459</v>
      </c>
      <c r="C145" s="2"/>
      <c r="D145" s="2"/>
      <c r="E145" s="55">
        <f>E146+E151</f>
        <v>6040.5990099999999</v>
      </c>
      <c r="F145" s="55">
        <f>F146+F151</f>
        <v>6036.1320299999998</v>
      </c>
      <c r="G145" s="63">
        <f t="shared" si="58"/>
        <v>99.926050711318453</v>
      </c>
    </row>
    <row r="146" spans="1:9" ht="24" x14ac:dyDescent="0.2">
      <c r="A146" s="3" t="s">
        <v>360</v>
      </c>
      <c r="B146" s="2" t="s">
        <v>460</v>
      </c>
      <c r="C146" s="2"/>
      <c r="D146" s="2"/>
      <c r="E146" s="55">
        <f t="shared" ref="E146:F146" si="61">E147+E149</f>
        <v>5955.1990100000003</v>
      </c>
      <c r="F146" s="55">
        <f t="shared" si="61"/>
        <v>5950.9600300000002</v>
      </c>
      <c r="G146" s="63">
        <f t="shared" si="58"/>
        <v>99.928818835560634</v>
      </c>
    </row>
    <row r="147" spans="1:9" ht="24" x14ac:dyDescent="0.2">
      <c r="A147" s="3" t="s">
        <v>359</v>
      </c>
      <c r="B147" s="2" t="s">
        <v>461</v>
      </c>
      <c r="C147" s="2"/>
      <c r="D147" s="2"/>
      <c r="E147" s="55">
        <f t="shared" ref="E147:F147" si="62">E148</f>
        <v>5045.8256099999999</v>
      </c>
      <c r="F147" s="55">
        <f t="shared" si="62"/>
        <v>5042.1743999999999</v>
      </c>
      <c r="G147" s="63">
        <f t="shared" si="58"/>
        <v>99.927638997416722</v>
      </c>
    </row>
    <row r="148" spans="1:9" ht="36" x14ac:dyDescent="0.2">
      <c r="A148" s="3" t="s">
        <v>24</v>
      </c>
      <c r="B148" s="2" t="s">
        <v>461</v>
      </c>
      <c r="C148" s="2" t="s">
        <v>22</v>
      </c>
      <c r="D148" s="2"/>
      <c r="E148" s="45">
        <v>5045.8256099999999</v>
      </c>
      <c r="F148" s="45">
        <f>3882.06639+2.7+1157.40801</f>
        <v>5042.1743999999999</v>
      </c>
      <c r="G148" s="63">
        <f t="shared" si="58"/>
        <v>99.927638997416722</v>
      </c>
    </row>
    <row r="149" spans="1:9" x14ac:dyDescent="0.2">
      <c r="A149" s="3" t="s">
        <v>361</v>
      </c>
      <c r="B149" s="2" t="s">
        <v>462</v>
      </c>
      <c r="C149" s="2"/>
      <c r="D149" s="2"/>
      <c r="E149" s="45">
        <f>E150</f>
        <v>909.37339999999995</v>
      </c>
      <c r="F149" s="45">
        <f>F150</f>
        <v>908.78562999999997</v>
      </c>
      <c r="G149" s="63">
        <f t="shared" si="58"/>
        <v>99.935365384560399</v>
      </c>
    </row>
    <row r="150" spans="1:9" ht="24" x14ac:dyDescent="0.2">
      <c r="A150" s="3" t="s">
        <v>31</v>
      </c>
      <c r="B150" s="2" t="s">
        <v>462</v>
      </c>
      <c r="C150" s="2" t="s">
        <v>33</v>
      </c>
      <c r="D150" s="2"/>
      <c r="E150" s="45">
        <v>909.37339999999995</v>
      </c>
      <c r="F150" s="45">
        <f>908.78563</f>
        <v>908.78562999999997</v>
      </c>
      <c r="G150" s="63">
        <f t="shared" si="58"/>
        <v>99.935365384560399</v>
      </c>
    </row>
    <row r="151" spans="1:9" ht="27.75" customHeight="1" x14ac:dyDescent="0.2">
      <c r="A151" s="5" t="s">
        <v>509</v>
      </c>
      <c r="B151" s="2" t="s">
        <v>510</v>
      </c>
      <c r="C151" s="2"/>
      <c r="D151" s="2"/>
      <c r="E151" s="55">
        <f t="shared" ref="E151:F151" si="63">E152</f>
        <v>85.4</v>
      </c>
      <c r="F151" s="55">
        <f t="shared" si="63"/>
        <v>85.171999999999997</v>
      </c>
      <c r="G151" s="63">
        <f t="shared" si="58"/>
        <v>99.733021077283354</v>
      </c>
    </row>
    <row r="152" spans="1:9" ht="20.25" customHeight="1" x14ac:dyDescent="0.2">
      <c r="A152" s="5" t="s">
        <v>31</v>
      </c>
      <c r="B152" s="2" t="s">
        <v>510</v>
      </c>
      <c r="C152" s="2" t="s">
        <v>33</v>
      </c>
      <c r="D152" s="2"/>
      <c r="E152" s="45">
        <v>85.4</v>
      </c>
      <c r="F152" s="45">
        <v>85.171999999999997</v>
      </c>
      <c r="G152" s="63">
        <f t="shared" si="58"/>
        <v>99.733021077283354</v>
      </c>
    </row>
    <row r="153" spans="1:9" ht="36" x14ac:dyDescent="0.2">
      <c r="A153" s="3" t="s">
        <v>178</v>
      </c>
      <c r="B153" s="2" t="s">
        <v>10</v>
      </c>
      <c r="C153" s="2"/>
      <c r="D153" s="2"/>
      <c r="E153" s="68">
        <f>E154</f>
        <v>50479.194810000001</v>
      </c>
      <c r="F153" s="68">
        <f t="shared" ref="F153" si="64">F154</f>
        <v>50469.794810000007</v>
      </c>
      <c r="G153" s="63">
        <f t="shared" si="58"/>
        <v>99.981378466840894</v>
      </c>
    </row>
    <row r="154" spans="1:9" ht="24" x14ac:dyDescent="0.2">
      <c r="A154" s="3" t="s">
        <v>9</v>
      </c>
      <c r="B154" s="2" t="s">
        <v>8</v>
      </c>
      <c r="C154" s="2"/>
      <c r="D154" s="2"/>
      <c r="E154" s="68">
        <f>E155+E157+E161+E163+E165+E167+E159+E169</f>
        <v>50479.194810000001</v>
      </c>
      <c r="F154" s="68">
        <f t="shared" ref="F154" si="65">F155+F157+F161+F163+F165+F167+F159+F169</f>
        <v>50469.794810000007</v>
      </c>
      <c r="G154" s="63">
        <f t="shared" si="58"/>
        <v>99.981378466840894</v>
      </c>
    </row>
    <row r="155" spans="1:9" x14ac:dyDescent="0.2">
      <c r="A155" s="3" t="s">
        <v>179</v>
      </c>
      <c r="B155" s="2" t="s">
        <v>16</v>
      </c>
      <c r="C155" s="2"/>
      <c r="D155" s="2"/>
      <c r="E155" s="81">
        <f t="shared" ref="E155:F155" si="66">E156</f>
        <v>0.11099000000000001</v>
      </c>
      <c r="F155" s="81">
        <f t="shared" si="66"/>
        <v>0.11099000000000001</v>
      </c>
      <c r="G155" s="63">
        <f t="shared" si="58"/>
        <v>100</v>
      </c>
    </row>
    <row r="156" spans="1:9" x14ac:dyDescent="0.2">
      <c r="A156" s="3" t="s">
        <v>15</v>
      </c>
      <c r="B156" s="2" t="s">
        <v>16</v>
      </c>
      <c r="C156" s="2" t="s">
        <v>14</v>
      </c>
      <c r="D156" s="2"/>
      <c r="E156" s="81">
        <v>0.11099000000000001</v>
      </c>
      <c r="F156" s="81">
        <v>0.11099000000000001</v>
      </c>
      <c r="G156" s="63">
        <f t="shared" si="58"/>
        <v>100</v>
      </c>
    </row>
    <row r="157" spans="1:9" ht="24" x14ac:dyDescent="0.2">
      <c r="A157" s="3" t="s">
        <v>362</v>
      </c>
      <c r="B157" s="2" t="s">
        <v>12</v>
      </c>
      <c r="C157" s="2"/>
      <c r="D157" s="2"/>
      <c r="E157" s="68">
        <f t="shared" ref="E157:F157" si="67">E158</f>
        <v>25893.9</v>
      </c>
      <c r="F157" s="68">
        <f t="shared" si="67"/>
        <v>25893.9</v>
      </c>
      <c r="G157" s="63">
        <f t="shared" si="58"/>
        <v>100</v>
      </c>
    </row>
    <row r="158" spans="1:9" x14ac:dyDescent="0.2">
      <c r="A158" s="3" t="s">
        <v>7</v>
      </c>
      <c r="B158" s="2" t="s">
        <v>12</v>
      </c>
      <c r="C158" s="2" t="s">
        <v>5</v>
      </c>
      <c r="D158" s="2"/>
      <c r="E158" s="81">
        <v>25893.9</v>
      </c>
      <c r="F158" s="81">
        <v>25893.9</v>
      </c>
      <c r="G158" s="63">
        <f t="shared" si="58"/>
        <v>100</v>
      </c>
    </row>
    <row r="159" spans="1:9" x14ac:dyDescent="0.2">
      <c r="A159" s="3" t="s">
        <v>339</v>
      </c>
      <c r="B159" s="2" t="s">
        <v>338</v>
      </c>
      <c r="C159" s="2"/>
      <c r="D159" s="2"/>
      <c r="E159" s="68">
        <f t="shared" ref="E159:F159" si="68">E160</f>
        <v>10596.13982</v>
      </c>
      <c r="F159" s="68">
        <f t="shared" si="68"/>
        <v>10596.13982</v>
      </c>
      <c r="G159" s="63">
        <f t="shared" si="58"/>
        <v>100</v>
      </c>
      <c r="H159" s="94">
        <v>1862.0344</v>
      </c>
      <c r="I159" s="94">
        <v>1862.0344</v>
      </c>
    </row>
    <row r="160" spans="1:9" x14ac:dyDescent="0.2">
      <c r="A160" s="3" t="s">
        <v>7</v>
      </c>
      <c r="B160" s="2" t="s">
        <v>338</v>
      </c>
      <c r="C160" s="2" t="s">
        <v>5</v>
      </c>
      <c r="D160" s="2"/>
      <c r="E160" s="81">
        <v>10596.13982</v>
      </c>
      <c r="F160" s="81">
        <v>10596.13982</v>
      </c>
      <c r="G160" s="63">
        <f t="shared" si="58"/>
        <v>100</v>
      </c>
      <c r="H160" s="94">
        <v>8734.1054199999999</v>
      </c>
      <c r="I160" s="94">
        <v>8734.1054199999999</v>
      </c>
    </row>
    <row r="161" spans="1:7" ht="24" x14ac:dyDescent="0.2">
      <c r="A161" s="3" t="s">
        <v>162</v>
      </c>
      <c r="B161" s="2" t="s">
        <v>184</v>
      </c>
      <c r="C161" s="2"/>
      <c r="D161" s="2"/>
      <c r="E161" s="65">
        <f t="shared" ref="E161:F161" si="69">E162</f>
        <v>51.5</v>
      </c>
      <c r="F161" s="65">
        <f t="shared" si="69"/>
        <v>51.5</v>
      </c>
      <c r="G161" s="63">
        <f t="shared" si="58"/>
        <v>100</v>
      </c>
    </row>
    <row r="162" spans="1:7" ht="24" x14ac:dyDescent="0.2">
      <c r="A162" s="3" t="s">
        <v>31</v>
      </c>
      <c r="B162" s="2" t="s">
        <v>184</v>
      </c>
      <c r="C162" s="2" t="s">
        <v>33</v>
      </c>
      <c r="D162" s="2"/>
      <c r="E162" s="82">
        <v>51.5</v>
      </c>
      <c r="F162" s="82">
        <v>51.5</v>
      </c>
      <c r="G162" s="63">
        <f t="shared" si="58"/>
        <v>100</v>
      </c>
    </row>
    <row r="163" spans="1:7" ht="38.25" customHeight="1" x14ac:dyDescent="0.2">
      <c r="A163" s="3" t="s">
        <v>163</v>
      </c>
      <c r="B163" s="2" t="s">
        <v>185</v>
      </c>
      <c r="C163" s="2"/>
      <c r="D163" s="2"/>
      <c r="E163" s="65">
        <f t="shared" ref="E163:F163" si="70">E164</f>
        <v>245.2</v>
      </c>
      <c r="F163" s="65">
        <f t="shared" si="70"/>
        <v>245.2</v>
      </c>
      <c r="G163" s="63">
        <f t="shared" si="58"/>
        <v>100</v>
      </c>
    </row>
    <row r="164" spans="1:7" ht="36" x14ac:dyDescent="0.2">
      <c r="A164" s="3" t="s">
        <v>24</v>
      </c>
      <c r="B164" s="2" t="s">
        <v>185</v>
      </c>
      <c r="C164" s="2" t="s">
        <v>22</v>
      </c>
      <c r="D164" s="2"/>
      <c r="E164" s="82">
        <f>188.32566+56.87434</f>
        <v>245.2</v>
      </c>
      <c r="F164" s="82">
        <f>188.32566+56.87434</f>
        <v>245.2</v>
      </c>
      <c r="G164" s="63">
        <f t="shared" si="58"/>
        <v>100</v>
      </c>
    </row>
    <row r="165" spans="1:7" ht="36" x14ac:dyDescent="0.2">
      <c r="A165" s="3" t="s">
        <v>67</v>
      </c>
      <c r="B165" s="2" t="s">
        <v>243</v>
      </c>
      <c r="C165" s="2"/>
      <c r="D165" s="2"/>
      <c r="E165" s="65">
        <f t="shared" ref="E165:F165" si="71">E166</f>
        <v>9.4</v>
      </c>
      <c r="F165" s="65">
        <f t="shared" si="71"/>
        <v>0</v>
      </c>
      <c r="G165" s="63">
        <f t="shared" si="58"/>
        <v>0</v>
      </c>
    </row>
    <row r="166" spans="1:7" ht="24" x14ac:dyDescent="0.2">
      <c r="A166" s="3" t="s">
        <v>31</v>
      </c>
      <c r="B166" s="2" t="s">
        <v>243</v>
      </c>
      <c r="C166" s="2" t="s">
        <v>33</v>
      </c>
      <c r="D166" s="2"/>
      <c r="E166" s="65">
        <v>9.4</v>
      </c>
      <c r="F166" s="65"/>
      <c r="G166" s="63">
        <f t="shared" si="58"/>
        <v>0</v>
      </c>
    </row>
    <row r="167" spans="1:7" x14ac:dyDescent="0.2">
      <c r="A167" s="5" t="s">
        <v>281</v>
      </c>
      <c r="B167" s="2" t="s">
        <v>285</v>
      </c>
      <c r="C167" s="2"/>
      <c r="D167" s="2"/>
      <c r="E167" s="68">
        <f>E168</f>
        <v>13364.944</v>
      </c>
      <c r="F167" s="68">
        <f>F168</f>
        <v>13364.944</v>
      </c>
      <c r="G167" s="63">
        <f t="shared" si="58"/>
        <v>100</v>
      </c>
    </row>
    <row r="168" spans="1:7" x14ac:dyDescent="0.2">
      <c r="A168" s="3" t="s">
        <v>7</v>
      </c>
      <c r="B168" s="2" t="s">
        <v>285</v>
      </c>
      <c r="C168" s="2" t="s">
        <v>5</v>
      </c>
      <c r="D168" s="2"/>
      <c r="E168" s="81">
        <v>13364.944</v>
      </c>
      <c r="F168" s="81">
        <v>13364.944</v>
      </c>
      <c r="G168" s="63">
        <f t="shared" si="58"/>
        <v>100</v>
      </c>
    </row>
    <row r="169" spans="1:7" ht="36" x14ac:dyDescent="0.2">
      <c r="A169" s="3" t="s">
        <v>509</v>
      </c>
      <c r="B169" s="2" t="s">
        <v>511</v>
      </c>
      <c r="C169" s="2"/>
      <c r="D169" s="2"/>
      <c r="E169" s="55">
        <f t="shared" ref="E169:F169" si="72">E170</f>
        <v>318</v>
      </c>
      <c r="F169" s="55">
        <f t="shared" si="72"/>
        <v>318</v>
      </c>
      <c r="G169" s="63">
        <f t="shared" si="58"/>
        <v>100</v>
      </c>
    </row>
    <row r="170" spans="1:7" x14ac:dyDescent="0.2">
      <c r="A170" s="3" t="s">
        <v>7</v>
      </c>
      <c r="B170" s="2" t="s">
        <v>511</v>
      </c>
      <c r="C170" s="2" t="s">
        <v>5</v>
      </c>
      <c r="D170" s="2"/>
      <c r="E170" s="45">
        <v>318</v>
      </c>
      <c r="F170" s="45">
        <v>318</v>
      </c>
      <c r="G170" s="63">
        <f t="shared" si="58"/>
        <v>100</v>
      </c>
    </row>
    <row r="171" spans="1:7" ht="24" x14ac:dyDescent="0.2">
      <c r="A171" s="5" t="s">
        <v>105</v>
      </c>
      <c r="B171" s="2" t="s">
        <v>1</v>
      </c>
      <c r="C171" s="2"/>
      <c r="D171" s="2"/>
      <c r="E171" s="55">
        <f>E172+E188+E199+E235+E245+E249+E180</f>
        <v>51823.29262</v>
      </c>
      <c r="F171" s="55">
        <f>F172+F188+F199+F235+F245+F249+F180</f>
        <v>43845.515849999989</v>
      </c>
      <c r="G171" s="63">
        <f t="shared" si="58"/>
        <v>84.605808765379038</v>
      </c>
    </row>
    <row r="172" spans="1:7" ht="36" x14ac:dyDescent="0.2">
      <c r="A172" s="3" t="s">
        <v>156</v>
      </c>
      <c r="B172" s="2" t="s">
        <v>107</v>
      </c>
      <c r="C172" s="2"/>
      <c r="D172" s="2"/>
      <c r="E172" s="68">
        <f t="shared" ref="E172:F172" si="73">E173+E178</f>
        <v>4680.76</v>
      </c>
      <c r="F172" s="68">
        <f t="shared" si="73"/>
        <v>4662.20903</v>
      </c>
      <c r="G172" s="63">
        <f t="shared" si="58"/>
        <v>99.603676112426186</v>
      </c>
    </row>
    <row r="173" spans="1:7" x14ac:dyDescent="0.2">
      <c r="A173" s="3" t="s">
        <v>157</v>
      </c>
      <c r="B173" s="2" t="s">
        <v>66</v>
      </c>
      <c r="C173" s="2"/>
      <c r="D173" s="2"/>
      <c r="E173" s="68">
        <f t="shared" ref="E173:F173" si="74">E174+E176</f>
        <v>3395.67</v>
      </c>
      <c r="F173" s="68">
        <f t="shared" si="74"/>
        <v>3377.1190300000003</v>
      </c>
      <c r="G173" s="63">
        <f t="shared" si="58"/>
        <v>99.453687490244931</v>
      </c>
    </row>
    <row r="174" spans="1:7" x14ac:dyDescent="0.2">
      <c r="A174" s="3" t="s">
        <v>100</v>
      </c>
      <c r="B174" s="2" t="s">
        <v>65</v>
      </c>
      <c r="C174" s="2"/>
      <c r="D174" s="2"/>
      <c r="E174" s="68">
        <f t="shared" ref="E174:F174" si="75">E175</f>
        <v>3123.54</v>
      </c>
      <c r="F174" s="68">
        <f t="shared" si="75"/>
        <v>3104.9895900000001</v>
      </c>
      <c r="G174" s="63">
        <f t="shared" si="58"/>
        <v>99.406109414318379</v>
      </c>
    </row>
    <row r="175" spans="1:7" ht="36.75" x14ac:dyDescent="0.25">
      <c r="A175" s="3" t="s">
        <v>24</v>
      </c>
      <c r="B175" s="2" t="s">
        <v>65</v>
      </c>
      <c r="C175" s="2">
        <v>100</v>
      </c>
      <c r="D175" s="2"/>
      <c r="E175" s="83">
        <f>2399.03197+724.50803</f>
        <v>3123.54</v>
      </c>
      <c r="F175" s="83">
        <f>2395.06864+709.92095</f>
        <v>3104.9895900000001</v>
      </c>
      <c r="G175" s="63">
        <f t="shared" si="58"/>
        <v>99.406109414318379</v>
      </c>
    </row>
    <row r="176" spans="1:7" x14ac:dyDescent="0.2">
      <c r="A176" s="3" t="s">
        <v>101</v>
      </c>
      <c r="B176" s="2" t="s">
        <v>64</v>
      </c>
      <c r="C176" s="2"/>
      <c r="D176" s="2"/>
      <c r="E176" s="68">
        <f>E177</f>
        <v>272.13</v>
      </c>
      <c r="F176" s="68">
        <f t="shared" ref="F176" si="76">F177</f>
        <v>272.12943999999999</v>
      </c>
      <c r="G176" s="63">
        <f t="shared" si="58"/>
        <v>99.9997942159997</v>
      </c>
    </row>
    <row r="177" spans="1:7" ht="24.75" x14ac:dyDescent="0.25">
      <c r="A177" s="3" t="s">
        <v>31</v>
      </c>
      <c r="B177" s="2" t="s">
        <v>64</v>
      </c>
      <c r="C177" s="2" t="s">
        <v>33</v>
      </c>
      <c r="D177" s="2"/>
      <c r="E177" s="83">
        <v>272.13</v>
      </c>
      <c r="F177" s="83">
        <v>272.12943999999999</v>
      </c>
      <c r="G177" s="63">
        <f t="shared" si="58"/>
        <v>99.9997942159997</v>
      </c>
    </row>
    <row r="178" spans="1:7" ht="15" x14ac:dyDescent="0.25">
      <c r="A178" s="3" t="s">
        <v>281</v>
      </c>
      <c r="B178" s="2" t="s">
        <v>284</v>
      </c>
      <c r="C178" s="2"/>
      <c r="D178" s="2"/>
      <c r="E178" s="71">
        <f>E179</f>
        <v>1285.0899999999999</v>
      </c>
      <c r="F178" s="71">
        <f t="shared" ref="F178" si="77">F179</f>
        <v>1285.0899999999999</v>
      </c>
      <c r="G178" s="63">
        <f t="shared" si="58"/>
        <v>100</v>
      </c>
    </row>
    <row r="179" spans="1:7" ht="36.75" x14ac:dyDescent="0.25">
      <c r="A179" s="3" t="s">
        <v>24</v>
      </c>
      <c r="B179" s="2" t="s">
        <v>284</v>
      </c>
      <c r="C179" s="2" t="s">
        <v>22</v>
      </c>
      <c r="D179" s="2"/>
      <c r="E179" s="83">
        <f>987.01195+298.07805</f>
        <v>1285.0899999999999</v>
      </c>
      <c r="F179" s="83">
        <f>987.01195+298.07805</f>
        <v>1285.0899999999999</v>
      </c>
      <c r="G179" s="63">
        <f t="shared" si="58"/>
        <v>100</v>
      </c>
    </row>
    <row r="180" spans="1:7" ht="48" x14ac:dyDescent="0.2">
      <c r="A180" s="3" t="s">
        <v>495</v>
      </c>
      <c r="B180" s="2" t="s">
        <v>492</v>
      </c>
      <c r="C180" s="2"/>
      <c r="D180" s="2"/>
      <c r="E180" s="65">
        <f>E181+E186</f>
        <v>2199.433</v>
      </c>
      <c r="F180" s="65">
        <f t="shared" ref="F180" si="78">F181+F186</f>
        <v>1400.5934199999999</v>
      </c>
      <c r="G180" s="63">
        <f t="shared" si="58"/>
        <v>63.67974928083737</v>
      </c>
    </row>
    <row r="181" spans="1:7" ht="24" x14ac:dyDescent="0.2">
      <c r="A181" s="3" t="s">
        <v>496</v>
      </c>
      <c r="B181" s="2" t="s">
        <v>494</v>
      </c>
      <c r="C181" s="2"/>
      <c r="D181" s="2"/>
      <c r="E181" s="65">
        <f>E182+E184</f>
        <v>2144.433</v>
      </c>
      <c r="F181" s="65">
        <f t="shared" ref="F181" si="79">F182+F184</f>
        <v>1355.5934199999999</v>
      </c>
      <c r="G181" s="63">
        <f t="shared" si="58"/>
        <v>63.21453829520437</v>
      </c>
    </row>
    <row r="182" spans="1:7" x14ac:dyDescent="0.2">
      <c r="A182" s="3" t="s">
        <v>497</v>
      </c>
      <c r="B182" s="2" t="s">
        <v>493</v>
      </c>
      <c r="C182" s="2"/>
      <c r="D182" s="2"/>
      <c r="E182" s="65">
        <f>E183</f>
        <v>1391.3330000000001</v>
      </c>
      <c r="F182" s="65">
        <f t="shared" ref="F182" si="80">F183</f>
        <v>975.59341999999992</v>
      </c>
      <c r="G182" s="63">
        <f t="shared" si="58"/>
        <v>70.119333042485138</v>
      </c>
    </row>
    <row r="183" spans="1:7" ht="36" x14ac:dyDescent="0.2">
      <c r="A183" s="3" t="s">
        <v>24</v>
      </c>
      <c r="B183" s="2" t="s">
        <v>493</v>
      </c>
      <c r="C183" s="2" t="s">
        <v>22</v>
      </c>
      <c r="D183" s="2"/>
      <c r="E183" s="82">
        <v>1391.3330000000001</v>
      </c>
      <c r="F183" s="82">
        <f>749.30369+226.28973</f>
        <v>975.59341999999992</v>
      </c>
      <c r="G183" s="63">
        <f t="shared" si="58"/>
        <v>70.119333042485138</v>
      </c>
    </row>
    <row r="184" spans="1:7" x14ac:dyDescent="0.2">
      <c r="A184" s="3" t="s">
        <v>498</v>
      </c>
      <c r="B184" s="2" t="s">
        <v>499</v>
      </c>
      <c r="C184" s="2"/>
      <c r="D184" s="2"/>
      <c r="E184" s="82">
        <f>E185</f>
        <v>753.1</v>
      </c>
      <c r="F184" s="82">
        <f t="shared" ref="F184" si="81">F185</f>
        <v>380</v>
      </c>
      <c r="G184" s="63">
        <f t="shared" si="58"/>
        <v>50.458106493161594</v>
      </c>
    </row>
    <row r="185" spans="1:7" ht="24" x14ac:dyDescent="0.2">
      <c r="A185" s="3" t="s">
        <v>31</v>
      </c>
      <c r="B185" s="2" t="s">
        <v>499</v>
      </c>
      <c r="C185" s="2" t="s">
        <v>33</v>
      </c>
      <c r="D185" s="2"/>
      <c r="E185" s="82">
        <v>753.1</v>
      </c>
      <c r="F185" s="82">
        <v>380</v>
      </c>
      <c r="G185" s="63">
        <f t="shared" si="58"/>
        <v>50.458106493161594</v>
      </c>
    </row>
    <row r="186" spans="1:7" ht="36" x14ac:dyDescent="0.2">
      <c r="A186" s="3" t="s">
        <v>509</v>
      </c>
      <c r="B186" s="2" t="s">
        <v>513</v>
      </c>
      <c r="C186" s="2"/>
      <c r="D186" s="2"/>
      <c r="E186" s="65">
        <f>E187</f>
        <v>55</v>
      </c>
      <c r="F186" s="65">
        <f t="shared" ref="F186" si="82">F187</f>
        <v>45</v>
      </c>
      <c r="G186" s="63">
        <f t="shared" si="58"/>
        <v>81.818181818181827</v>
      </c>
    </row>
    <row r="187" spans="1:7" ht="24" x14ac:dyDescent="0.2">
      <c r="A187" s="3" t="s">
        <v>31</v>
      </c>
      <c r="B187" s="2" t="s">
        <v>513</v>
      </c>
      <c r="C187" s="2" t="s">
        <v>33</v>
      </c>
      <c r="D187" s="2"/>
      <c r="E187" s="82">
        <v>55</v>
      </c>
      <c r="F187" s="82">
        <v>45</v>
      </c>
      <c r="G187" s="63">
        <f t="shared" si="58"/>
        <v>81.818181818181827</v>
      </c>
    </row>
    <row r="188" spans="1:7" ht="36" x14ac:dyDescent="0.2">
      <c r="A188" s="5" t="s">
        <v>123</v>
      </c>
      <c r="B188" s="2" t="s">
        <v>54</v>
      </c>
      <c r="C188" s="2"/>
      <c r="D188" s="2"/>
      <c r="E188" s="68">
        <f>E189+E192+E196</f>
        <v>1787.0245</v>
      </c>
      <c r="F188" s="68">
        <f>F189+F192+F196</f>
        <v>1787.0245</v>
      </c>
      <c r="G188" s="63">
        <f t="shared" si="58"/>
        <v>100</v>
      </c>
    </row>
    <row r="189" spans="1:7" ht="36" x14ac:dyDescent="0.2">
      <c r="A189" s="3" t="s">
        <v>124</v>
      </c>
      <c r="B189" s="2" t="s">
        <v>125</v>
      </c>
      <c r="C189" s="2"/>
      <c r="D189" s="2"/>
      <c r="E189" s="68">
        <f>E190</f>
        <v>14.9575</v>
      </c>
      <c r="F189" s="68">
        <f>F190</f>
        <v>14.9575</v>
      </c>
      <c r="G189" s="63">
        <f t="shared" si="58"/>
        <v>100</v>
      </c>
    </row>
    <row r="190" spans="1:7" ht="15" x14ac:dyDescent="0.25">
      <c r="A190" s="3" t="s">
        <v>126</v>
      </c>
      <c r="B190" s="2" t="s">
        <v>63</v>
      </c>
      <c r="C190" s="2"/>
      <c r="D190" s="2"/>
      <c r="E190" s="73">
        <f t="shared" ref="E190:F190" si="83">E191</f>
        <v>14.9575</v>
      </c>
      <c r="F190" s="73">
        <f t="shared" si="83"/>
        <v>14.9575</v>
      </c>
      <c r="G190" s="63">
        <f t="shared" si="58"/>
        <v>100</v>
      </c>
    </row>
    <row r="191" spans="1:7" ht="24.75" x14ac:dyDescent="0.25">
      <c r="A191" s="3" t="s">
        <v>31</v>
      </c>
      <c r="B191" s="2" t="s">
        <v>63</v>
      </c>
      <c r="C191" s="2">
        <v>200</v>
      </c>
      <c r="D191" s="2"/>
      <c r="E191" s="83">
        <v>14.9575</v>
      </c>
      <c r="F191" s="83">
        <v>14.9575</v>
      </c>
      <c r="G191" s="63">
        <f t="shared" si="58"/>
        <v>100</v>
      </c>
    </row>
    <row r="192" spans="1:7" ht="24" x14ac:dyDescent="0.25">
      <c r="A192" s="5" t="s">
        <v>116</v>
      </c>
      <c r="B192" s="2" t="s">
        <v>180</v>
      </c>
      <c r="C192" s="2"/>
      <c r="D192" s="2"/>
      <c r="E192" s="75">
        <f t="shared" ref="E192:F192" si="84">E193</f>
        <v>1316.2</v>
      </c>
      <c r="F192" s="75">
        <f t="shared" si="84"/>
        <v>1316.2</v>
      </c>
      <c r="G192" s="63">
        <f t="shared" ref="G192:G244" si="85">F192/E192*100</f>
        <v>100</v>
      </c>
    </row>
    <row r="193" spans="1:7" ht="24" x14ac:dyDescent="0.25">
      <c r="A193" s="5" t="s">
        <v>117</v>
      </c>
      <c r="B193" s="2" t="s">
        <v>181</v>
      </c>
      <c r="C193" s="2"/>
      <c r="D193" s="2"/>
      <c r="E193" s="75">
        <f t="shared" ref="E193:F193" si="86">E194+E195</f>
        <v>1316.2</v>
      </c>
      <c r="F193" s="75">
        <f t="shared" si="86"/>
        <v>1316.2</v>
      </c>
      <c r="G193" s="63">
        <f t="shared" si="85"/>
        <v>100</v>
      </c>
    </row>
    <row r="194" spans="1:7" ht="36" x14ac:dyDescent="0.25">
      <c r="A194" s="5" t="s">
        <v>24</v>
      </c>
      <c r="B194" s="2" t="s">
        <v>181</v>
      </c>
      <c r="C194" s="2" t="s">
        <v>22</v>
      </c>
      <c r="D194" s="2"/>
      <c r="E194" s="89">
        <v>1155.04727</v>
      </c>
      <c r="F194" s="89">
        <f>232.99385+69.15615+650.70145+8.1+194.09582</f>
        <v>1155.04727</v>
      </c>
      <c r="G194" s="63">
        <f t="shared" si="85"/>
        <v>100</v>
      </c>
    </row>
    <row r="195" spans="1:7" ht="24" x14ac:dyDescent="0.25">
      <c r="A195" s="5" t="s">
        <v>31</v>
      </c>
      <c r="B195" s="2" t="s">
        <v>181</v>
      </c>
      <c r="C195" s="2" t="s">
        <v>33</v>
      </c>
      <c r="D195" s="2"/>
      <c r="E195" s="89">
        <v>161.15272999999999</v>
      </c>
      <c r="F195" s="89">
        <v>161.15272999999999</v>
      </c>
      <c r="G195" s="63">
        <f t="shared" si="85"/>
        <v>100</v>
      </c>
    </row>
    <row r="196" spans="1:7" ht="48.75" x14ac:dyDescent="0.25">
      <c r="A196" s="3" t="s">
        <v>340</v>
      </c>
      <c r="B196" s="2" t="s">
        <v>341</v>
      </c>
      <c r="C196" s="2"/>
      <c r="D196" s="2"/>
      <c r="E196" s="74">
        <f t="shared" ref="E196:F196" si="87">E197</f>
        <v>455.86700000000002</v>
      </c>
      <c r="F196" s="74">
        <f t="shared" si="87"/>
        <v>455.86700000000002</v>
      </c>
      <c r="G196" s="63">
        <f t="shared" si="85"/>
        <v>100</v>
      </c>
    </row>
    <row r="197" spans="1:7" ht="36.75" x14ac:dyDescent="0.25">
      <c r="A197" s="3" t="s">
        <v>349</v>
      </c>
      <c r="B197" s="2" t="s">
        <v>342</v>
      </c>
      <c r="C197" s="2"/>
      <c r="D197" s="2"/>
      <c r="E197" s="74">
        <f>E198</f>
        <v>455.86700000000002</v>
      </c>
      <c r="F197" s="74">
        <f>F198</f>
        <v>455.86700000000002</v>
      </c>
      <c r="G197" s="63">
        <f t="shared" si="85"/>
        <v>100</v>
      </c>
    </row>
    <row r="198" spans="1:7" ht="24.75" x14ac:dyDescent="0.25">
      <c r="A198" s="3" t="s">
        <v>31</v>
      </c>
      <c r="B198" s="2" t="s">
        <v>342</v>
      </c>
      <c r="C198" s="2" t="s">
        <v>33</v>
      </c>
      <c r="D198" s="2"/>
      <c r="E198" s="52">
        <v>455.86700000000002</v>
      </c>
      <c r="F198" s="85">
        <v>455.86700000000002</v>
      </c>
      <c r="G198" s="63">
        <f t="shared" si="85"/>
        <v>100</v>
      </c>
    </row>
    <row r="199" spans="1:7" ht="36.75" x14ac:dyDescent="0.25">
      <c r="A199" s="3" t="s">
        <v>377</v>
      </c>
      <c r="B199" s="2" t="s">
        <v>52</v>
      </c>
      <c r="C199" s="2"/>
      <c r="D199" s="2"/>
      <c r="E199" s="76">
        <f>E203+E200+E214+E223+E220+E229+E232</f>
        <v>18398.156940000001</v>
      </c>
      <c r="F199" s="76">
        <f>F203+F200+F214+F223+F220+F229+F232</f>
        <v>15752.017399999999</v>
      </c>
      <c r="G199" s="63">
        <f t="shared" si="85"/>
        <v>85.61736619255079</v>
      </c>
    </row>
    <row r="200" spans="1:7" ht="24.75" x14ac:dyDescent="0.25">
      <c r="A200" s="3" t="s">
        <v>267</v>
      </c>
      <c r="B200" s="2" t="s">
        <v>269</v>
      </c>
      <c r="C200" s="2"/>
      <c r="D200" s="2"/>
      <c r="E200" s="75">
        <f>E201</f>
        <v>0.3</v>
      </c>
      <c r="F200" s="75">
        <f>F201</f>
        <v>0</v>
      </c>
      <c r="G200" s="63">
        <f t="shared" si="85"/>
        <v>0</v>
      </c>
    </row>
    <row r="201" spans="1:7" ht="36.75" x14ac:dyDescent="0.25">
      <c r="A201" s="3" t="s">
        <v>268</v>
      </c>
      <c r="B201" s="2" t="s">
        <v>270</v>
      </c>
      <c r="C201" s="2"/>
      <c r="D201" s="2"/>
      <c r="E201" s="75">
        <f>E202</f>
        <v>0.3</v>
      </c>
      <c r="F201" s="75">
        <f t="shared" ref="F201" si="88">F202</f>
        <v>0</v>
      </c>
      <c r="G201" s="63">
        <f t="shared" si="85"/>
        <v>0</v>
      </c>
    </row>
    <row r="202" spans="1:7" ht="24.75" x14ac:dyDescent="0.25">
      <c r="A202" s="3" t="s">
        <v>31</v>
      </c>
      <c r="B202" s="2" t="s">
        <v>270</v>
      </c>
      <c r="C202" s="2" t="s">
        <v>33</v>
      </c>
      <c r="D202" s="2"/>
      <c r="E202" s="89">
        <v>0.3</v>
      </c>
      <c r="F202" s="89">
        <v>0</v>
      </c>
      <c r="G202" s="63">
        <f t="shared" si="85"/>
        <v>0</v>
      </c>
    </row>
    <row r="203" spans="1:7" ht="24.75" x14ac:dyDescent="0.25">
      <c r="A203" s="3" t="s">
        <v>137</v>
      </c>
      <c r="B203" s="2" t="s">
        <v>138</v>
      </c>
      <c r="C203" s="2"/>
      <c r="D203" s="2"/>
      <c r="E203" s="76">
        <f>E204+E209+E212+E207</f>
        <v>8871.8389999999999</v>
      </c>
      <c r="F203" s="76">
        <f>F204+F209+F212+F207</f>
        <v>8840.6180000000004</v>
      </c>
      <c r="G203" s="63">
        <f t="shared" si="85"/>
        <v>99.648088744622171</v>
      </c>
    </row>
    <row r="204" spans="1:7" ht="15" x14ac:dyDescent="0.25">
      <c r="A204" s="3" t="s">
        <v>444</v>
      </c>
      <c r="B204" s="2" t="s">
        <v>445</v>
      </c>
      <c r="C204" s="2"/>
      <c r="D204" s="2"/>
      <c r="E204" s="76">
        <f>E206+E205</f>
        <v>746.51700000000005</v>
      </c>
      <c r="F204" s="76">
        <f t="shared" ref="F204" si="89">F206+F205</f>
        <v>715.29600000000005</v>
      </c>
      <c r="G204" s="63">
        <f t="shared" si="85"/>
        <v>95.81777775991705</v>
      </c>
    </row>
    <row r="205" spans="1:7" ht="24.75" x14ac:dyDescent="0.25">
      <c r="A205" s="3" t="s">
        <v>31</v>
      </c>
      <c r="B205" s="2" t="s">
        <v>445</v>
      </c>
      <c r="C205" s="2" t="s">
        <v>33</v>
      </c>
      <c r="D205" s="2"/>
      <c r="E205" s="84">
        <v>493.03399999999999</v>
      </c>
      <c r="F205" s="84">
        <v>461.81299999999999</v>
      </c>
      <c r="G205" s="63">
        <f t="shared" si="85"/>
        <v>93.667576678281819</v>
      </c>
    </row>
    <row r="206" spans="1:7" ht="24.75" x14ac:dyDescent="0.25">
      <c r="A206" s="3" t="s">
        <v>43</v>
      </c>
      <c r="B206" s="2" t="s">
        <v>445</v>
      </c>
      <c r="C206" s="2" t="s">
        <v>47</v>
      </c>
      <c r="D206" s="2"/>
      <c r="E206" s="84">
        <v>253.483</v>
      </c>
      <c r="F206" s="84">
        <v>253.483</v>
      </c>
      <c r="G206" s="63">
        <f t="shared" si="85"/>
        <v>100</v>
      </c>
    </row>
    <row r="207" spans="1:7" ht="36" x14ac:dyDescent="0.25">
      <c r="A207" s="5" t="s">
        <v>501</v>
      </c>
      <c r="B207" s="2" t="s">
        <v>500</v>
      </c>
      <c r="C207" s="2"/>
      <c r="D207" s="2"/>
      <c r="E207" s="76">
        <f>E208</f>
        <v>5000</v>
      </c>
      <c r="F207" s="76">
        <f t="shared" ref="F207" si="90">F208</f>
        <v>5000</v>
      </c>
      <c r="G207" s="63">
        <f t="shared" si="85"/>
        <v>100</v>
      </c>
    </row>
    <row r="208" spans="1:7" ht="24" x14ac:dyDescent="0.25">
      <c r="A208" s="5" t="s">
        <v>43</v>
      </c>
      <c r="B208" s="2" t="s">
        <v>500</v>
      </c>
      <c r="C208" s="2" t="s">
        <v>47</v>
      </c>
      <c r="D208" s="2"/>
      <c r="E208" s="84">
        <v>5000</v>
      </c>
      <c r="F208" s="84">
        <v>5000</v>
      </c>
      <c r="G208" s="63">
        <f t="shared" si="85"/>
        <v>100</v>
      </c>
    </row>
    <row r="209" spans="1:7" ht="36" x14ac:dyDescent="0.2">
      <c r="A209" s="5" t="s">
        <v>167</v>
      </c>
      <c r="B209" s="2" t="s">
        <v>246</v>
      </c>
      <c r="C209" s="2"/>
      <c r="D209" s="2"/>
      <c r="E209" s="65">
        <f>E210+E211</f>
        <v>3125.3220000000001</v>
      </c>
      <c r="F209" s="65">
        <f t="shared" ref="F209" si="91">F210+F211</f>
        <v>3125.3220000000001</v>
      </c>
      <c r="G209" s="63">
        <f t="shared" si="85"/>
        <v>100</v>
      </c>
    </row>
    <row r="210" spans="1:7" ht="15" x14ac:dyDescent="0.25">
      <c r="A210" s="3" t="s">
        <v>42</v>
      </c>
      <c r="B210" s="2" t="s">
        <v>246</v>
      </c>
      <c r="C210" s="2" t="s">
        <v>33</v>
      </c>
      <c r="D210" s="2"/>
      <c r="E210" s="84">
        <v>1734.7070000000001</v>
      </c>
      <c r="F210" s="84">
        <v>1734.7070000000001</v>
      </c>
      <c r="G210" s="63">
        <f t="shared" si="85"/>
        <v>100</v>
      </c>
    </row>
    <row r="211" spans="1:7" ht="15" customHeight="1" x14ac:dyDescent="0.25">
      <c r="A211" s="5" t="s">
        <v>43</v>
      </c>
      <c r="B211" s="2" t="s">
        <v>246</v>
      </c>
      <c r="C211" s="2" t="s">
        <v>47</v>
      </c>
      <c r="D211" s="2"/>
      <c r="E211" s="84">
        <v>1390.615</v>
      </c>
      <c r="F211" s="84">
        <v>1390.615</v>
      </c>
      <c r="G211" s="63">
        <f t="shared" si="85"/>
        <v>100</v>
      </c>
    </row>
    <row r="212" spans="1:7" ht="24" hidden="1" x14ac:dyDescent="0.25">
      <c r="A212" s="5" t="s">
        <v>423</v>
      </c>
      <c r="B212" s="2" t="s">
        <v>424</v>
      </c>
      <c r="C212" s="2"/>
      <c r="D212" s="2"/>
      <c r="E212" s="76">
        <f>E213</f>
        <v>0</v>
      </c>
      <c r="F212" s="76">
        <f t="shared" ref="F212" si="92">F213</f>
        <v>0</v>
      </c>
      <c r="G212" s="63" t="e">
        <f t="shared" si="85"/>
        <v>#DIV/0!</v>
      </c>
    </row>
    <row r="213" spans="1:7" ht="24.75" hidden="1" x14ac:dyDescent="0.25">
      <c r="A213" s="3" t="s">
        <v>43</v>
      </c>
      <c r="B213" s="2" t="s">
        <v>424</v>
      </c>
      <c r="C213" s="2" t="s">
        <v>47</v>
      </c>
      <c r="D213" s="2"/>
      <c r="E213" s="76"/>
      <c r="F213" s="76"/>
      <c r="G213" s="63" t="e">
        <f t="shared" si="85"/>
        <v>#DIV/0!</v>
      </c>
    </row>
    <row r="214" spans="1:7" ht="18" customHeight="1" x14ac:dyDescent="0.25">
      <c r="A214" s="3" t="s">
        <v>302</v>
      </c>
      <c r="B214" s="2" t="s">
        <v>303</v>
      </c>
      <c r="C214" s="2"/>
      <c r="D214" s="2"/>
      <c r="E214" s="74">
        <f>E215+E218</f>
        <v>2344.9295999999999</v>
      </c>
      <c r="F214" s="74">
        <f t="shared" ref="F214" si="93">F215+F218</f>
        <v>1788.1982499999999</v>
      </c>
      <c r="G214" s="63">
        <f t="shared" si="85"/>
        <v>76.258078280900193</v>
      </c>
    </row>
    <row r="215" spans="1:7" ht="24.75" x14ac:dyDescent="0.25">
      <c r="A215" s="3" t="s">
        <v>306</v>
      </c>
      <c r="B215" s="2" t="s">
        <v>307</v>
      </c>
      <c r="C215" s="2"/>
      <c r="D215" s="2"/>
      <c r="E215" s="74">
        <f>E216+E217</f>
        <v>1515.9295999999999</v>
      </c>
      <c r="F215" s="74">
        <f t="shared" ref="F215" si="94">F216+F217</f>
        <v>959.19825000000003</v>
      </c>
      <c r="G215" s="63">
        <f t="shared" si="85"/>
        <v>63.274590719780136</v>
      </c>
    </row>
    <row r="216" spans="1:7" ht="24.75" x14ac:dyDescent="0.25">
      <c r="A216" s="3" t="s">
        <v>31</v>
      </c>
      <c r="B216" s="2" t="s">
        <v>307</v>
      </c>
      <c r="C216" s="2" t="s">
        <v>33</v>
      </c>
      <c r="D216" s="2"/>
      <c r="E216" s="52">
        <v>1086.6813500000001</v>
      </c>
      <c r="F216" s="85">
        <v>529.95000000000005</v>
      </c>
      <c r="G216" s="63">
        <f t="shared" si="85"/>
        <v>48.767745945027954</v>
      </c>
    </row>
    <row r="217" spans="1:7" ht="15" x14ac:dyDescent="0.25">
      <c r="A217" s="3" t="s">
        <v>7</v>
      </c>
      <c r="B217" s="2" t="s">
        <v>307</v>
      </c>
      <c r="C217" s="2" t="s">
        <v>5</v>
      </c>
      <c r="D217" s="2"/>
      <c r="E217" s="52">
        <v>429.24824999999998</v>
      </c>
      <c r="F217" s="85">
        <v>429.24824999999998</v>
      </c>
      <c r="G217" s="63">
        <f t="shared" si="85"/>
        <v>100</v>
      </c>
    </row>
    <row r="218" spans="1:7" ht="15" x14ac:dyDescent="0.25">
      <c r="A218" s="3" t="s">
        <v>304</v>
      </c>
      <c r="B218" s="2" t="s">
        <v>305</v>
      </c>
      <c r="C218" s="2"/>
      <c r="D218" s="2"/>
      <c r="E218" s="74">
        <f>E219</f>
        <v>829</v>
      </c>
      <c r="F218" s="74">
        <f t="shared" ref="F218" si="95">F219</f>
        <v>829</v>
      </c>
      <c r="G218" s="63">
        <f t="shared" si="85"/>
        <v>100</v>
      </c>
    </row>
    <row r="219" spans="1:7" ht="24.75" x14ac:dyDescent="0.25">
      <c r="A219" s="3" t="s">
        <v>31</v>
      </c>
      <c r="B219" s="2" t="s">
        <v>305</v>
      </c>
      <c r="C219" s="2" t="s">
        <v>33</v>
      </c>
      <c r="D219" s="2"/>
      <c r="E219" s="85">
        <v>829</v>
      </c>
      <c r="F219" s="85">
        <v>829</v>
      </c>
      <c r="G219" s="63">
        <f t="shared" si="85"/>
        <v>100</v>
      </c>
    </row>
    <row r="220" spans="1:7" ht="24.75" hidden="1" x14ac:dyDescent="0.25">
      <c r="A220" s="3" t="s">
        <v>439</v>
      </c>
      <c r="B220" s="2" t="s">
        <v>440</v>
      </c>
      <c r="C220" s="2"/>
      <c r="D220" s="2"/>
      <c r="E220" s="74">
        <f t="shared" ref="E220:F221" si="96">E221</f>
        <v>0</v>
      </c>
      <c r="F220" s="74">
        <f t="shared" si="96"/>
        <v>0</v>
      </c>
      <c r="G220" s="63" t="e">
        <f t="shared" si="85"/>
        <v>#DIV/0!</v>
      </c>
    </row>
    <row r="221" spans="1:7" ht="24.75" hidden="1" x14ac:dyDescent="0.25">
      <c r="A221" s="3" t="s">
        <v>442</v>
      </c>
      <c r="B221" s="2" t="s">
        <v>441</v>
      </c>
      <c r="C221" s="2"/>
      <c r="D221" s="2"/>
      <c r="E221" s="74">
        <f>E222</f>
        <v>0</v>
      </c>
      <c r="F221" s="74">
        <f t="shared" si="96"/>
        <v>0</v>
      </c>
      <c r="G221" s="63" t="e">
        <f t="shared" si="85"/>
        <v>#DIV/0!</v>
      </c>
    </row>
    <row r="222" spans="1:7" ht="15" hidden="1" x14ac:dyDescent="0.25">
      <c r="A222" s="3" t="s">
        <v>7</v>
      </c>
      <c r="B222" s="2" t="s">
        <v>441</v>
      </c>
      <c r="C222" s="2" t="s">
        <v>5</v>
      </c>
      <c r="D222" s="2"/>
      <c r="E222" s="72"/>
      <c r="F222" s="74"/>
      <c r="G222" s="63" t="e">
        <f t="shared" si="85"/>
        <v>#DIV/0!</v>
      </c>
    </row>
    <row r="223" spans="1:7" ht="24" x14ac:dyDescent="0.2">
      <c r="A223" s="3" t="s">
        <v>53</v>
      </c>
      <c r="B223" s="2" t="s">
        <v>203</v>
      </c>
      <c r="C223" s="2"/>
      <c r="D223" s="2"/>
      <c r="E223" s="65">
        <f>E227+E224</f>
        <v>2682.3323399999999</v>
      </c>
      <c r="F223" s="65">
        <f>F227+F224</f>
        <v>2653.5743499999999</v>
      </c>
      <c r="G223" s="63">
        <f t="shared" si="85"/>
        <v>98.927873717542397</v>
      </c>
    </row>
    <row r="224" spans="1:7" ht="15" x14ac:dyDescent="0.25">
      <c r="A224" s="3" t="s">
        <v>343</v>
      </c>
      <c r="B224" s="2" t="s">
        <v>344</v>
      </c>
      <c r="C224" s="2"/>
      <c r="D224" s="2"/>
      <c r="E224" s="76">
        <f>E226+E225</f>
        <v>1882.3323399999999</v>
      </c>
      <c r="F224" s="76">
        <f t="shared" ref="F224" si="97">F226+F225</f>
        <v>1880.78234</v>
      </c>
      <c r="G224" s="63">
        <f t="shared" si="85"/>
        <v>99.917655348789253</v>
      </c>
    </row>
    <row r="225" spans="1:7" ht="24.75" x14ac:dyDescent="0.25">
      <c r="A225" s="3" t="s">
        <v>31</v>
      </c>
      <c r="B225" s="2" t="s">
        <v>344</v>
      </c>
      <c r="C225" s="2" t="s">
        <v>33</v>
      </c>
      <c r="D225" s="2"/>
      <c r="E225" s="84">
        <v>1247.68634</v>
      </c>
      <c r="F225" s="84">
        <v>1246.13634</v>
      </c>
      <c r="G225" s="63">
        <f t="shared" si="85"/>
        <v>99.875770059324367</v>
      </c>
    </row>
    <row r="226" spans="1:7" ht="15" x14ac:dyDescent="0.25">
      <c r="A226" s="3" t="s">
        <v>42</v>
      </c>
      <c r="B226" s="2" t="s">
        <v>344</v>
      </c>
      <c r="C226" s="2" t="s">
        <v>308</v>
      </c>
      <c r="D226" s="2"/>
      <c r="E226" s="84">
        <v>634.64599999999996</v>
      </c>
      <c r="F226" s="84">
        <v>634.64599999999996</v>
      </c>
      <c r="G226" s="63">
        <f t="shared" si="85"/>
        <v>100</v>
      </c>
    </row>
    <row r="227" spans="1:7" ht="24" x14ac:dyDescent="0.2">
      <c r="A227" s="3" t="s">
        <v>136</v>
      </c>
      <c r="B227" s="2" t="s">
        <v>204</v>
      </c>
      <c r="C227" s="2"/>
      <c r="D227" s="2"/>
      <c r="E227" s="65">
        <f>E228</f>
        <v>800</v>
      </c>
      <c r="F227" s="65">
        <f>F228</f>
        <v>772.79201</v>
      </c>
      <c r="G227" s="63">
        <f t="shared" si="85"/>
        <v>96.599001250000001</v>
      </c>
    </row>
    <row r="228" spans="1:7" ht="24.75" x14ac:dyDescent="0.25">
      <c r="A228" s="3" t="s">
        <v>31</v>
      </c>
      <c r="B228" s="2" t="s">
        <v>204</v>
      </c>
      <c r="C228" s="2" t="s">
        <v>33</v>
      </c>
      <c r="D228" s="2"/>
      <c r="E228" s="84">
        <v>800</v>
      </c>
      <c r="F228" s="84">
        <v>772.79201</v>
      </c>
      <c r="G228" s="63">
        <f t="shared" si="85"/>
        <v>96.599001250000001</v>
      </c>
    </row>
    <row r="229" spans="1:7" ht="24" x14ac:dyDescent="0.25">
      <c r="A229" s="5" t="s">
        <v>476</v>
      </c>
      <c r="B229" s="2" t="s">
        <v>477</v>
      </c>
      <c r="C229" s="2"/>
      <c r="D229" s="2"/>
      <c r="E229" s="74">
        <f>E230</f>
        <v>2898.7559999999999</v>
      </c>
      <c r="F229" s="74">
        <f t="shared" ref="F229" si="98">F230</f>
        <v>869.6268</v>
      </c>
      <c r="G229" s="63">
        <f t="shared" si="85"/>
        <v>30</v>
      </c>
    </row>
    <row r="230" spans="1:7" ht="24.75" x14ac:dyDescent="0.25">
      <c r="A230" s="3" t="s">
        <v>427</v>
      </c>
      <c r="B230" s="2" t="s">
        <v>475</v>
      </c>
      <c r="C230" s="2"/>
      <c r="D230" s="2"/>
      <c r="E230" s="74">
        <f>E231</f>
        <v>2898.7559999999999</v>
      </c>
      <c r="F230" s="74">
        <f>F231</f>
        <v>869.6268</v>
      </c>
      <c r="G230" s="63">
        <f t="shared" si="85"/>
        <v>30</v>
      </c>
    </row>
    <row r="231" spans="1:7" ht="24.75" x14ac:dyDescent="0.25">
      <c r="A231" s="3" t="s">
        <v>31</v>
      </c>
      <c r="B231" s="2" t="s">
        <v>475</v>
      </c>
      <c r="C231" s="2" t="s">
        <v>33</v>
      </c>
      <c r="D231" s="2"/>
      <c r="E231" s="85">
        <v>2898.7559999999999</v>
      </c>
      <c r="F231" s="85">
        <v>869.6268</v>
      </c>
      <c r="G231" s="63">
        <f t="shared" si="85"/>
        <v>30</v>
      </c>
    </row>
    <row r="232" spans="1:7" ht="24" x14ac:dyDescent="0.25">
      <c r="A232" s="5" t="s">
        <v>476</v>
      </c>
      <c r="B232" s="2" t="s">
        <v>478</v>
      </c>
      <c r="C232" s="2"/>
      <c r="D232" s="2"/>
      <c r="E232" s="74">
        <f>E233</f>
        <v>1600</v>
      </c>
      <c r="F232" s="74">
        <f t="shared" ref="F232:F233" si="99">F233</f>
        <v>1600</v>
      </c>
      <c r="G232" s="63">
        <f t="shared" si="85"/>
        <v>100</v>
      </c>
    </row>
    <row r="233" spans="1:7" ht="24.75" x14ac:dyDescent="0.25">
      <c r="A233" s="3" t="s">
        <v>427</v>
      </c>
      <c r="B233" s="2" t="s">
        <v>479</v>
      </c>
      <c r="C233" s="2"/>
      <c r="D233" s="2"/>
      <c r="E233" s="74">
        <f>E234</f>
        <v>1600</v>
      </c>
      <c r="F233" s="74">
        <f t="shared" si="99"/>
        <v>1600</v>
      </c>
      <c r="G233" s="63">
        <f t="shared" si="85"/>
        <v>100</v>
      </c>
    </row>
    <row r="234" spans="1:7" ht="24.75" x14ac:dyDescent="0.25">
      <c r="A234" s="3" t="s">
        <v>31</v>
      </c>
      <c r="B234" s="2" t="s">
        <v>479</v>
      </c>
      <c r="C234" s="2" t="s">
        <v>33</v>
      </c>
      <c r="D234" s="2"/>
      <c r="E234" s="85">
        <v>1600</v>
      </c>
      <c r="F234" s="85">
        <v>1600</v>
      </c>
      <c r="G234" s="63">
        <f t="shared" si="85"/>
        <v>100</v>
      </c>
    </row>
    <row r="235" spans="1:7" ht="36.75" x14ac:dyDescent="0.25">
      <c r="A235" s="3" t="s">
        <v>188</v>
      </c>
      <c r="B235" s="2" t="s">
        <v>189</v>
      </c>
      <c r="C235" s="2"/>
      <c r="D235" s="2"/>
      <c r="E235" s="73">
        <f t="shared" ref="E235:F235" si="100">E236</f>
        <v>22431.733650000002</v>
      </c>
      <c r="F235" s="73">
        <f t="shared" si="100"/>
        <v>18617.486969999998</v>
      </c>
      <c r="G235" s="63">
        <f t="shared" si="85"/>
        <v>82.996201989942918</v>
      </c>
    </row>
    <row r="236" spans="1:7" ht="15" x14ac:dyDescent="0.25">
      <c r="A236" s="3" t="s">
        <v>251</v>
      </c>
      <c r="B236" s="2" t="s">
        <v>190</v>
      </c>
      <c r="C236" s="2"/>
      <c r="D236" s="2"/>
      <c r="E236" s="73">
        <f>E237+E240+E242</f>
        <v>22431.733650000002</v>
      </c>
      <c r="F236" s="73">
        <f t="shared" ref="F236" si="101">F237+F240+F242</f>
        <v>18617.486969999998</v>
      </c>
      <c r="G236" s="63">
        <f t="shared" si="85"/>
        <v>82.996201989942918</v>
      </c>
    </row>
    <row r="237" spans="1:7" ht="15" x14ac:dyDescent="0.25">
      <c r="A237" s="3" t="s">
        <v>250</v>
      </c>
      <c r="B237" s="2" t="s">
        <v>191</v>
      </c>
      <c r="C237" s="2"/>
      <c r="D237" s="2"/>
      <c r="E237" s="73">
        <f>E238+E239</f>
        <v>13575.63365</v>
      </c>
      <c r="F237" s="73">
        <f t="shared" ref="F237" si="102">F238+F239</f>
        <v>11883.2279</v>
      </c>
      <c r="G237" s="63">
        <f t="shared" si="85"/>
        <v>87.533504559472249</v>
      </c>
    </row>
    <row r="238" spans="1:7" ht="24.75" x14ac:dyDescent="0.25">
      <c r="A238" s="3" t="s">
        <v>31</v>
      </c>
      <c r="B238" s="2" t="s">
        <v>191</v>
      </c>
      <c r="C238" s="2" t="s">
        <v>33</v>
      </c>
      <c r="D238" s="2"/>
      <c r="E238" s="83">
        <v>11286.63365</v>
      </c>
      <c r="F238" s="83">
        <v>9594.2278999999999</v>
      </c>
      <c r="G238" s="63">
        <f t="shared" si="85"/>
        <v>85.005221198085053</v>
      </c>
    </row>
    <row r="239" spans="1:7" ht="13.5" customHeight="1" x14ac:dyDescent="0.2">
      <c r="A239" s="3" t="s">
        <v>7</v>
      </c>
      <c r="B239" s="2" t="s">
        <v>191</v>
      </c>
      <c r="C239" s="2" t="s">
        <v>5</v>
      </c>
      <c r="D239" s="2"/>
      <c r="E239" s="45">
        <v>2289</v>
      </c>
      <c r="F239" s="45">
        <v>2289</v>
      </c>
      <c r="G239" s="63">
        <f t="shared" si="85"/>
        <v>100</v>
      </c>
    </row>
    <row r="240" spans="1:7" ht="36" hidden="1" x14ac:dyDescent="0.25">
      <c r="A240" s="5" t="s">
        <v>401</v>
      </c>
      <c r="B240" s="2" t="s">
        <v>400</v>
      </c>
      <c r="C240" s="2"/>
      <c r="D240" s="2"/>
      <c r="E240" s="71">
        <f>E241</f>
        <v>0</v>
      </c>
      <c r="F240" s="71">
        <f t="shared" ref="F240" si="103">F241</f>
        <v>0</v>
      </c>
      <c r="G240" s="63" t="e">
        <f t="shared" si="85"/>
        <v>#DIV/0!</v>
      </c>
    </row>
    <row r="241" spans="1:7" ht="24.75" hidden="1" x14ac:dyDescent="0.25">
      <c r="A241" s="3" t="s">
        <v>31</v>
      </c>
      <c r="B241" s="2" t="s">
        <v>400</v>
      </c>
      <c r="C241" s="2" t="s">
        <v>33</v>
      </c>
      <c r="D241" s="2"/>
      <c r="E241" s="71"/>
      <c r="F241" s="71"/>
      <c r="G241" s="63" t="e">
        <f t="shared" si="85"/>
        <v>#DIV/0!</v>
      </c>
    </row>
    <row r="242" spans="1:7" ht="24" x14ac:dyDescent="0.2">
      <c r="A242" s="5" t="s">
        <v>474</v>
      </c>
      <c r="B242" s="2" t="s">
        <v>473</v>
      </c>
      <c r="C242" s="2"/>
      <c r="D242" s="2"/>
      <c r="E242" s="55">
        <f>E244+E243</f>
        <v>8856.1</v>
      </c>
      <c r="F242" s="55">
        <f t="shared" ref="F242" si="104">F244+F243</f>
        <v>6734.2590700000001</v>
      </c>
      <c r="G242" s="63">
        <f t="shared" si="85"/>
        <v>76.040910445907343</v>
      </c>
    </row>
    <row r="243" spans="1:7" ht="24.75" x14ac:dyDescent="0.25">
      <c r="A243" s="3" t="s">
        <v>31</v>
      </c>
      <c r="B243" s="2" t="s">
        <v>473</v>
      </c>
      <c r="C243" s="2" t="s">
        <v>33</v>
      </c>
      <c r="D243" s="2"/>
      <c r="E243" s="83">
        <v>8356.1</v>
      </c>
      <c r="F243" s="83">
        <v>6234.2590700000001</v>
      </c>
      <c r="G243" s="63">
        <f t="shared" si="85"/>
        <v>74.607281746269194</v>
      </c>
    </row>
    <row r="244" spans="1:7" x14ac:dyDescent="0.2">
      <c r="A244" s="3" t="s">
        <v>7</v>
      </c>
      <c r="B244" s="2" t="s">
        <v>473</v>
      </c>
      <c r="C244" s="2" t="s">
        <v>5</v>
      </c>
      <c r="D244" s="2"/>
      <c r="E244" s="45">
        <v>500</v>
      </c>
      <c r="F244" s="45">
        <v>500</v>
      </c>
      <c r="G244" s="63">
        <f t="shared" si="85"/>
        <v>100</v>
      </c>
    </row>
    <row r="245" spans="1:7" ht="36" hidden="1" x14ac:dyDescent="0.2">
      <c r="A245" s="3" t="s">
        <v>186</v>
      </c>
      <c r="B245" s="2" t="s">
        <v>209</v>
      </c>
      <c r="C245" s="2"/>
      <c r="D245" s="2"/>
      <c r="E245" s="68">
        <f t="shared" ref="E245:F247" si="105">E246</f>
        <v>0</v>
      </c>
      <c r="F245" s="68">
        <f t="shared" si="105"/>
        <v>0</v>
      </c>
      <c r="G245" s="63" t="e">
        <f t="shared" ref="G245:G308" si="106">F245/E245*100</f>
        <v>#DIV/0!</v>
      </c>
    </row>
    <row r="246" spans="1:7" ht="24" hidden="1" x14ac:dyDescent="0.2">
      <c r="A246" s="3" t="s">
        <v>187</v>
      </c>
      <c r="B246" s="2" t="s">
        <v>244</v>
      </c>
      <c r="C246" s="2"/>
      <c r="D246" s="2"/>
      <c r="E246" s="68">
        <f t="shared" si="105"/>
        <v>0</v>
      </c>
      <c r="F246" s="68">
        <f t="shared" si="105"/>
        <v>0</v>
      </c>
      <c r="G246" s="63" t="e">
        <f t="shared" si="106"/>
        <v>#DIV/0!</v>
      </c>
    </row>
    <row r="247" spans="1:7" hidden="1" x14ac:dyDescent="0.2">
      <c r="A247" s="3" t="s">
        <v>166</v>
      </c>
      <c r="B247" s="2" t="s">
        <v>245</v>
      </c>
      <c r="C247" s="2"/>
      <c r="D247" s="2"/>
      <c r="E247" s="68">
        <f t="shared" si="105"/>
        <v>0</v>
      </c>
      <c r="F247" s="68">
        <f t="shared" si="105"/>
        <v>0</v>
      </c>
      <c r="G247" s="63" t="e">
        <f t="shared" si="106"/>
        <v>#DIV/0!</v>
      </c>
    </row>
    <row r="248" spans="1:7" ht="24.75" hidden="1" x14ac:dyDescent="0.25">
      <c r="A248" s="3" t="s">
        <v>31</v>
      </c>
      <c r="B248" s="2" t="s">
        <v>245</v>
      </c>
      <c r="C248" s="2" t="s">
        <v>33</v>
      </c>
      <c r="D248" s="2"/>
      <c r="E248" s="71"/>
      <c r="F248" s="71"/>
      <c r="G248" s="63" t="e">
        <f t="shared" si="106"/>
        <v>#DIV/0!</v>
      </c>
    </row>
    <row r="249" spans="1:7" ht="24" x14ac:dyDescent="0.2">
      <c r="A249" s="3" t="s">
        <v>275</v>
      </c>
      <c r="B249" s="3" t="s">
        <v>278</v>
      </c>
      <c r="C249" s="3"/>
      <c r="D249" s="3"/>
      <c r="E249" s="65">
        <f>E250</f>
        <v>2326.18453</v>
      </c>
      <c r="F249" s="65">
        <f t="shared" ref="F249:F253" si="107">F250</f>
        <v>1626.18453</v>
      </c>
      <c r="G249" s="63">
        <f t="shared" si="106"/>
        <v>69.907804347748808</v>
      </c>
    </row>
    <row r="250" spans="1:7" x14ac:dyDescent="0.2">
      <c r="A250" s="3" t="s">
        <v>276</v>
      </c>
      <c r="B250" s="3" t="s">
        <v>279</v>
      </c>
      <c r="C250" s="3"/>
      <c r="D250" s="3"/>
      <c r="E250" s="65">
        <f>E253+E251</f>
        <v>2326.18453</v>
      </c>
      <c r="F250" s="65">
        <f t="shared" ref="F250" si="108">F253+F251</f>
        <v>1626.18453</v>
      </c>
      <c r="G250" s="63">
        <f t="shared" si="106"/>
        <v>69.907804347748808</v>
      </c>
    </row>
    <row r="251" spans="1:7" ht="24" x14ac:dyDescent="0.2">
      <c r="A251" s="3" t="s">
        <v>376</v>
      </c>
      <c r="B251" s="28" t="s">
        <v>299</v>
      </c>
      <c r="C251" s="3"/>
      <c r="D251" s="3"/>
      <c r="E251" s="65">
        <f>E252</f>
        <v>2326.18453</v>
      </c>
      <c r="F251" s="65">
        <f t="shared" si="107"/>
        <v>1626.18453</v>
      </c>
      <c r="G251" s="63">
        <f t="shared" si="106"/>
        <v>69.907804347748808</v>
      </c>
    </row>
    <row r="252" spans="1:7" ht="24" x14ac:dyDescent="0.2">
      <c r="A252" s="3" t="s">
        <v>31</v>
      </c>
      <c r="B252" s="28" t="s">
        <v>299</v>
      </c>
      <c r="C252" s="3">
        <v>200</v>
      </c>
      <c r="D252" s="3"/>
      <c r="E252" s="82">
        <v>2326.18453</v>
      </c>
      <c r="F252" s="82">
        <v>1626.18453</v>
      </c>
      <c r="G252" s="63">
        <f t="shared" si="106"/>
        <v>69.907804347748808</v>
      </c>
    </row>
    <row r="253" spans="1:7" ht="48" hidden="1" x14ac:dyDescent="0.2">
      <c r="A253" s="3" t="s">
        <v>277</v>
      </c>
      <c r="B253" s="3" t="s">
        <v>280</v>
      </c>
      <c r="C253" s="3"/>
      <c r="D253" s="3"/>
      <c r="E253" s="65">
        <f>E254</f>
        <v>0</v>
      </c>
      <c r="F253" s="65">
        <f t="shared" si="107"/>
        <v>0</v>
      </c>
      <c r="G253" s="63" t="e">
        <f t="shared" si="106"/>
        <v>#DIV/0!</v>
      </c>
    </row>
    <row r="254" spans="1:7" ht="24" hidden="1" x14ac:dyDescent="0.2">
      <c r="A254" s="3" t="s">
        <v>31</v>
      </c>
      <c r="B254" s="3" t="s">
        <v>280</v>
      </c>
      <c r="C254" s="3">
        <v>200</v>
      </c>
      <c r="D254" s="3"/>
      <c r="E254" s="65"/>
      <c r="F254" s="65"/>
      <c r="G254" s="63" t="e">
        <f t="shared" si="106"/>
        <v>#DIV/0!</v>
      </c>
    </row>
    <row r="255" spans="1:7" ht="36" x14ac:dyDescent="0.2">
      <c r="A255" s="3" t="s">
        <v>319</v>
      </c>
      <c r="B255" s="28" t="s">
        <v>200</v>
      </c>
      <c r="C255" s="3"/>
      <c r="D255" s="3"/>
      <c r="E255" s="65">
        <f>E256+E267+E272</f>
        <v>31671.120329999998</v>
      </c>
      <c r="F255" s="65">
        <f t="shared" ref="F255" si="109">F256+F267+F272</f>
        <v>29879.86865</v>
      </c>
      <c r="G255" s="63">
        <f t="shared" si="106"/>
        <v>94.344211188818406</v>
      </c>
    </row>
    <row r="256" spans="1:7" ht="60.75" x14ac:dyDescent="0.25">
      <c r="A256" s="3" t="s">
        <v>375</v>
      </c>
      <c r="B256" s="3" t="s">
        <v>310</v>
      </c>
      <c r="C256" s="3"/>
      <c r="D256" s="3"/>
      <c r="E256" s="76">
        <f>E257+E263+E265</f>
        <v>10630.119999999997</v>
      </c>
      <c r="F256" s="76">
        <f t="shared" ref="F256" si="110">F257+F263+F265</f>
        <v>10030.290209999999</v>
      </c>
      <c r="G256" s="63">
        <f t="shared" si="106"/>
        <v>94.357262288666561</v>
      </c>
    </row>
    <row r="257" spans="1:7" ht="36.75" x14ac:dyDescent="0.25">
      <c r="A257" s="3" t="s">
        <v>372</v>
      </c>
      <c r="B257" s="3" t="s">
        <v>311</v>
      </c>
      <c r="C257" s="3"/>
      <c r="D257" s="3"/>
      <c r="E257" s="76">
        <f t="shared" ref="E257" si="111">E258+E260</f>
        <v>8521.369999999999</v>
      </c>
      <c r="F257" s="76">
        <f>F258+F260</f>
        <v>7921.5420099999992</v>
      </c>
      <c r="G257" s="63">
        <f t="shared" si="106"/>
        <v>92.960897250090071</v>
      </c>
    </row>
    <row r="258" spans="1:7" ht="36.75" x14ac:dyDescent="0.25">
      <c r="A258" s="3" t="s">
        <v>373</v>
      </c>
      <c r="B258" s="3" t="s">
        <v>312</v>
      </c>
      <c r="C258" s="3"/>
      <c r="D258" s="3"/>
      <c r="E258" s="76">
        <f t="shared" ref="E258:F258" si="112">E259</f>
        <v>4498.82</v>
      </c>
      <c r="F258" s="76">
        <f t="shared" si="112"/>
        <v>4449.0502099999994</v>
      </c>
      <c r="G258" s="63">
        <f t="shared" si="106"/>
        <v>98.893714574043855</v>
      </c>
    </row>
    <row r="259" spans="1:7" ht="36.75" x14ac:dyDescent="0.25">
      <c r="A259" s="3" t="s">
        <v>24</v>
      </c>
      <c r="B259" s="3" t="s">
        <v>312</v>
      </c>
      <c r="C259" s="3" t="s">
        <v>22</v>
      </c>
      <c r="D259" s="3"/>
      <c r="E259" s="84">
        <f>3421.33641+44.24+1033.24359</f>
        <v>4498.82</v>
      </c>
      <c r="F259" s="84">
        <f>3420.88764+19.5+1008.66257</f>
        <v>4449.0502099999994</v>
      </c>
      <c r="G259" s="63">
        <f t="shared" si="106"/>
        <v>98.893714574043855</v>
      </c>
    </row>
    <row r="260" spans="1:7" ht="36.75" x14ac:dyDescent="0.25">
      <c r="A260" s="3" t="s">
        <v>374</v>
      </c>
      <c r="B260" s="3" t="s">
        <v>313</v>
      </c>
      <c r="C260" s="3"/>
      <c r="D260" s="3"/>
      <c r="E260" s="76">
        <f t="shared" ref="E260:F260" si="113">E261+E262</f>
        <v>4022.55</v>
      </c>
      <c r="F260" s="76">
        <f t="shared" si="113"/>
        <v>3472.4918000000002</v>
      </c>
      <c r="G260" s="63">
        <f t="shared" si="106"/>
        <v>86.325634236988975</v>
      </c>
    </row>
    <row r="261" spans="1:7" ht="24.75" x14ac:dyDescent="0.25">
      <c r="A261" s="3" t="s">
        <v>31</v>
      </c>
      <c r="B261" s="3" t="s">
        <v>313</v>
      </c>
      <c r="C261" s="3" t="s">
        <v>33</v>
      </c>
      <c r="D261" s="3"/>
      <c r="E261" s="84">
        <v>3870.84</v>
      </c>
      <c r="F261" s="84">
        <f>3320.7818</f>
        <v>3320.7818000000002</v>
      </c>
      <c r="G261" s="63">
        <f t="shared" si="106"/>
        <v>85.789694226576145</v>
      </c>
    </row>
    <row r="262" spans="1:7" ht="15" customHeight="1" x14ac:dyDescent="0.25">
      <c r="A262" s="5" t="s">
        <v>43</v>
      </c>
      <c r="B262" s="3" t="s">
        <v>313</v>
      </c>
      <c r="C262" s="3" t="s">
        <v>47</v>
      </c>
      <c r="D262" s="3"/>
      <c r="E262" s="84">
        <f>150.81+0.9</f>
        <v>151.71</v>
      </c>
      <c r="F262" s="84">
        <f>150.81+0.9</f>
        <v>151.71</v>
      </c>
      <c r="G262" s="63">
        <f t="shared" si="106"/>
        <v>100</v>
      </c>
    </row>
    <row r="263" spans="1:7" ht="15" x14ac:dyDescent="0.25">
      <c r="A263" s="3" t="s">
        <v>281</v>
      </c>
      <c r="B263" s="2" t="s">
        <v>314</v>
      </c>
      <c r="C263" s="2"/>
      <c r="D263" s="2"/>
      <c r="E263" s="71">
        <f>E264</f>
        <v>2072.12</v>
      </c>
      <c r="F263" s="71">
        <f t="shared" ref="F263" si="114">F264</f>
        <v>2072.12</v>
      </c>
      <c r="G263" s="63">
        <f t="shared" si="106"/>
        <v>100</v>
      </c>
    </row>
    <row r="264" spans="1:7" ht="36.75" x14ac:dyDescent="0.25">
      <c r="A264" s="3" t="s">
        <v>24</v>
      </c>
      <c r="B264" s="2" t="s">
        <v>314</v>
      </c>
      <c r="C264" s="2">
        <v>100</v>
      </c>
      <c r="D264" s="2"/>
      <c r="E264" s="83">
        <f>1591.49+480.63</f>
        <v>2072.12</v>
      </c>
      <c r="F264" s="83">
        <f>1591.49+480.63</f>
        <v>2072.12</v>
      </c>
      <c r="G264" s="63">
        <f t="shared" si="106"/>
        <v>100</v>
      </c>
    </row>
    <row r="265" spans="1:7" ht="36.75" x14ac:dyDescent="0.25">
      <c r="A265" s="3" t="s">
        <v>509</v>
      </c>
      <c r="B265" s="2" t="s">
        <v>512</v>
      </c>
      <c r="C265" s="2"/>
      <c r="D265" s="2"/>
      <c r="E265" s="71">
        <f>E266</f>
        <v>36.630000000000003</v>
      </c>
      <c r="F265" s="71">
        <f t="shared" ref="F265" si="115">F266</f>
        <v>36.6282</v>
      </c>
      <c r="G265" s="63">
        <f t="shared" si="106"/>
        <v>99.995085995085986</v>
      </c>
    </row>
    <row r="266" spans="1:7" ht="24.75" x14ac:dyDescent="0.25">
      <c r="A266" s="3" t="s">
        <v>31</v>
      </c>
      <c r="B266" s="2" t="s">
        <v>512</v>
      </c>
      <c r="C266" s="2" t="s">
        <v>33</v>
      </c>
      <c r="D266" s="2"/>
      <c r="E266" s="83">
        <v>36.630000000000003</v>
      </c>
      <c r="F266" s="83">
        <v>36.6282</v>
      </c>
      <c r="G266" s="63">
        <f t="shared" si="106"/>
        <v>99.995085995085986</v>
      </c>
    </row>
    <row r="267" spans="1:7" ht="36" x14ac:dyDescent="0.2">
      <c r="A267" s="3" t="s">
        <v>192</v>
      </c>
      <c r="B267" s="2" t="s">
        <v>193</v>
      </c>
      <c r="C267" s="2"/>
      <c r="D267" s="2"/>
      <c r="E267" s="67">
        <f t="shared" ref="E267:F268" si="116">E268</f>
        <v>20524.000329999999</v>
      </c>
      <c r="F267" s="67">
        <f t="shared" si="116"/>
        <v>19332.578440000001</v>
      </c>
      <c r="G267" s="63">
        <f t="shared" si="106"/>
        <v>94.194982114385894</v>
      </c>
    </row>
    <row r="268" spans="1:7" ht="24" x14ac:dyDescent="0.2">
      <c r="A268" s="3" t="s">
        <v>354</v>
      </c>
      <c r="B268" s="2" t="s">
        <v>194</v>
      </c>
      <c r="C268" s="2"/>
      <c r="D268" s="2"/>
      <c r="E268" s="67">
        <f t="shared" si="116"/>
        <v>20524.000329999999</v>
      </c>
      <c r="F268" s="67">
        <f t="shared" si="116"/>
        <v>19332.578440000001</v>
      </c>
      <c r="G268" s="63">
        <f t="shared" si="106"/>
        <v>94.194982114385894</v>
      </c>
    </row>
    <row r="269" spans="1:7" ht="24" x14ac:dyDescent="0.2">
      <c r="A269" s="3" t="s">
        <v>355</v>
      </c>
      <c r="B269" s="2" t="s">
        <v>195</v>
      </c>
      <c r="C269" s="2"/>
      <c r="D269" s="2"/>
      <c r="E269" s="67">
        <f t="shared" ref="E269" si="117">E270+E271</f>
        <v>20524.000329999999</v>
      </c>
      <c r="F269" s="67">
        <f>F270+F271</f>
        <v>19332.578440000001</v>
      </c>
      <c r="G269" s="63">
        <f t="shared" si="106"/>
        <v>94.194982114385894</v>
      </c>
    </row>
    <row r="270" spans="1:7" ht="24" x14ac:dyDescent="0.2">
      <c r="A270" s="3" t="s">
        <v>31</v>
      </c>
      <c r="B270" s="2" t="s">
        <v>195</v>
      </c>
      <c r="C270" s="2" t="s">
        <v>33</v>
      </c>
      <c r="D270" s="2"/>
      <c r="E270" s="78">
        <f>4532.33938+13834.32095</f>
        <v>18366.660329999999</v>
      </c>
      <c r="F270" s="78">
        <f>3765.72633+13444.20368</f>
        <v>17209.93001</v>
      </c>
      <c r="G270" s="63">
        <f t="shared" si="106"/>
        <v>93.702010603906032</v>
      </c>
    </row>
    <row r="271" spans="1:7" ht="16.5" customHeight="1" x14ac:dyDescent="0.2">
      <c r="A271" s="5" t="s">
        <v>43</v>
      </c>
      <c r="B271" s="2" t="s">
        <v>195</v>
      </c>
      <c r="C271" s="2" t="s">
        <v>47</v>
      </c>
      <c r="D271" s="2"/>
      <c r="E271" s="78">
        <f>2058.5+98.84</f>
        <v>2157.34</v>
      </c>
      <c r="F271" s="78">
        <f>2039.74049+82.90794</f>
        <v>2122.6484299999997</v>
      </c>
      <c r="G271" s="63">
        <f t="shared" si="106"/>
        <v>98.391928486005895</v>
      </c>
    </row>
    <row r="272" spans="1:7" ht="36" x14ac:dyDescent="0.2">
      <c r="A272" s="3" t="s">
        <v>353</v>
      </c>
      <c r="B272" s="2" t="s">
        <v>196</v>
      </c>
      <c r="C272" s="2"/>
      <c r="D272" s="2"/>
      <c r="E272" s="67">
        <f>E273+E277</f>
        <v>517</v>
      </c>
      <c r="F272" s="67">
        <f t="shared" ref="F272" si="118">F273+F277</f>
        <v>517</v>
      </c>
      <c r="G272" s="63">
        <f t="shared" si="106"/>
        <v>100</v>
      </c>
    </row>
    <row r="273" spans="1:7" ht="24" x14ac:dyDescent="0.2">
      <c r="A273" s="3" t="s">
        <v>56</v>
      </c>
      <c r="B273" s="2" t="s">
        <v>197</v>
      </c>
      <c r="C273" s="2"/>
      <c r="D273" s="2"/>
      <c r="E273" s="67">
        <f>E274</f>
        <v>517</v>
      </c>
      <c r="F273" s="67">
        <f>F274</f>
        <v>517</v>
      </c>
      <c r="G273" s="63">
        <f t="shared" si="106"/>
        <v>100</v>
      </c>
    </row>
    <row r="274" spans="1:7" ht="24" x14ac:dyDescent="0.2">
      <c r="A274" s="3" t="s">
        <v>356</v>
      </c>
      <c r="B274" s="2" t="s">
        <v>198</v>
      </c>
      <c r="C274" s="2"/>
      <c r="D274" s="2"/>
      <c r="E274" s="67">
        <f>E275+E276</f>
        <v>517</v>
      </c>
      <c r="F274" s="67">
        <f t="shared" ref="F274" si="119">F275+F276</f>
        <v>517</v>
      </c>
      <c r="G274" s="63">
        <f t="shared" si="106"/>
        <v>100</v>
      </c>
    </row>
    <row r="275" spans="1:7" ht="24" hidden="1" x14ac:dyDescent="0.2">
      <c r="A275" s="3" t="s">
        <v>31</v>
      </c>
      <c r="B275" s="2" t="s">
        <v>198</v>
      </c>
      <c r="C275" s="2" t="s">
        <v>33</v>
      </c>
      <c r="D275" s="2"/>
      <c r="E275" s="67">
        <v>0</v>
      </c>
      <c r="F275" s="67"/>
      <c r="G275" s="63" t="e">
        <f t="shared" si="106"/>
        <v>#DIV/0!</v>
      </c>
    </row>
    <row r="276" spans="1:7" x14ac:dyDescent="0.2">
      <c r="A276" s="3" t="s">
        <v>7</v>
      </c>
      <c r="B276" s="2" t="s">
        <v>198</v>
      </c>
      <c r="C276" s="2" t="s">
        <v>5</v>
      </c>
      <c r="D276" s="2"/>
      <c r="E276" s="45">
        <v>517</v>
      </c>
      <c r="F276" s="45">
        <v>517</v>
      </c>
      <c r="G276" s="63">
        <f t="shared" si="106"/>
        <v>100</v>
      </c>
    </row>
    <row r="277" spans="1:7" ht="24" hidden="1" x14ac:dyDescent="0.2">
      <c r="A277" s="5" t="s">
        <v>420</v>
      </c>
      <c r="B277" s="2" t="s">
        <v>419</v>
      </c>
      <c r="C277" s="2"/>
      <c r="D277" s="2"/>
      <c r="E277" s="67">
        <f>E278</f>
        <v>0</v>
      </c>
      <c r="F277" s="67">
        <f t="shared" ref="F277:F278" si="120">F278</f>
        <v>0</v>
      </c>
      <c r="G277" s="63" t="e">
        <f t="shared" si="106"/>
        <v>#DIV/0!</v>
      </c>
    </row>
    <row r="278" spans="1:7" hidden="1" x14ac:dyDescent="0.2">
      <c r="A278" s="3" t="s">
        <v>421</v>
      </c>
      <c r="B278" s="2" t="s">
        <v>418</v>
      </c>
      <c r="C278" s="2"/>
      <c r="D278" s="2"/>
      <c r="E278" s="67">
        <f>E279</f>
        <v>0</v>
      </c>
      <c r="F278" s="67">
        <f t="shared" si="120"/>
        <v>0</v>
      </c>
      <c r="G278" s="63" t="e">
        <f t="shared" si="106"/>
        <v>#DIV/0!</v>
      </c>
    </row>
    <row r="279" spans="1:7" ht="24" hidden="1" x14ac:dyDescent="0.2">
      <c r="A279" s="3" t="s">
        <v>31</v>
      </c>
      <c r="B279" s="2" t="s">
        <v>418</v>
      </c>
      <c r="C279" s="2" t="s">
        <v>33</v>
      </c>
      <c r="D279" s="2"/>
      <c r="E279" s="67"/>
      <c r="F279" s="67"/>
      <c r="G279" s="63" t="e">
        <f t="shared" si="106"/>
        <v>#DIV/0!</v>
      </c>
    </row>
    <row r="280" spans="1:7" ht="24" x14ac:dyDescent="0.2">
      <c r="A280" s="3" t="s">
        <v>315</v>
      </c>
      <c r="B280" s="2" t="s">
        <v>237</v>
      </c>
      <c r="C280" s="2"/>
      <c r="D280" s="2"/>
      <c r="E280" s="67">
        <f>E290+E306+E362+E281</f>
        <v>532278.11371000006</v>
      </c>
      <c r="F280" s="67">
        <f t="shared" ref="F280" si="121">F290+F306+F362+F281</f>
        <v>529335.85612000013</v>
      </c>
      <c r="G280" s="63">
        <f t="shared" si="106"/>
        <v>99.447233032090637</v>
      </c>
    </row>
    <row r="281" spans="1:7" ht="36" x14ac:dyDescent="0.2">
      <c r="A281" s="3" t="s">
        <v>357</v>
      </c>
      <c r="B281" s="2" t="s">
        <v>454</v>
      </c>
      <c r="C281" s="2"/>
      <c r="D281" s="2"/>
      <c r="E281" s="55">
        <f t="shared" ref="E281:F281" si="122">E282+E288</f>
        <v>3978.8510000000001</v>
      </c>
      <c r="F281" s="55">
        <f t="shared" si="122"/>
        <v>3969.6840000000002</v>
      </c>
      <c r="G281" s="63">
        <f t="shared" si="106"/>
        <v>99.769606853837956</v>
      </c>
    </row>
    <row r="282" spans="1:7" ht="24" x14ac:dyDescent="0.2">
      <c r="A282" s="3" t="s">
        <v>358</v>
      </c>
      <c r="B282" s="2" t="s">
        <v>455</v>
      </c>
      <c r="C282" s="2"/>
      <c r="D282" s="2"/>
      <c r="E282" s="55">
        <f>E283+E285</f>
        <v>3388.6210000000001</v>
      </c>
      <c r="F282" s="55">
        <f t="shared" ref="F282" si="123">F283+F285</f>
        <v>3379.4540000000002</v>
      </c>
      <c r="G282" s="63">
        <f t="shared" si="106"/>
        <v>99.729476976032444</v>
      </c>
    </row>
    <row r="283" spans="1:7" ht="24" x14ac:dyDescent="0.2">
      <c r="A283" s="3" t="s">
        <v>48</v>
      </c>
      <c r="B283" s="2" t="s">
        <v>456</v>
      </c>
      <c r="C283" s="2"/>
      <c r="D283" s="2"/>
      <c r="E283" s="55">
        <f t="shared" ref="E283:F283" si="124">E284</f>
        <v>3385.873</v>
      </c>
      <c r="F283" s="55">
        <f t="shared" si="124"/>
        <v>3376.7060000000001</v>
      </c>
      <c r="G283" s="63">
        <f t="shared" si="106"/>
        <v>99.729257417510937</v>
      </c>
    </row>
    <row r="284" spans="1:7" ht="36" x14ac:dyDescent="0.2">
      <c r="A284" s="3" t="s">
        <v>24</v>
      </c>
      <c r="B284" s="2" t="s">
        <v>456</v>
      </c>
      <c r="C284" s="2" t="s">
        <v>22</v>
      </c>
      <c r="D284" s="2"/>
      <c r="E284" s="45">
        <v>3385.873</v>
      </c>
      <c r="F284" s="45">
        <f>2520.387+38.085+818.234</f>
        <v>3376.7060000000001</v>
      </c>
      <c r="G284" s="63">
        <f t="shared" si="106"/>
        <v>99.729257417510937</v>
      </c>
    </row>
    <row r="285" spans="1:7" ht="24" x14ac:dyDescent="0.2">
      <c r="A285" s="5" t="s">
        <v>378</v>
      </c>
      <c r="B285" s="2" t="s">
        <v>457</v>
      </c>
      <c r="C285" s="2"/>
      <c r="D285" s="2"/>
      <c r="E285" s="45">
        <f>E286</f>
        <v>2.7480000000000002</v>
      </c>
      <c r="F285" s="45">
        <f t="shared" ref="F285" si="125">F286</f>
        <v>2.7480000000000002</v>
      </c>
      <c r="G285" s="63">
        <f t="shared" si="106"/>
        <v>100</v>
      </c>
    </row>
    <row r="286" spans="1:7" ht="24" x14ac:dyDescent="0.2">
      <c r="A286" s="3" t="s">
        <v>31</v>
      </c>
      <c r="B286" s="2" t="s">
        <v>457</v>
      </c>
      <c r="C286" s="2" t="s">
        <v>33</v>
      </c>
      <c r="D286" s="2"/>
      <c r="E286" s="45">
        <v>2.7480000000000002</v>
      </c>
      <c r="F286" s="45">
        <f>2.748</f>
        <v>2.7480000000000002</v>
      </c>
      <c r="G286" s="63">
        <f t="shared" si="106"/>
        <v>100</v>
      </c>
    </row>
    <row r="287" spans="1:7" ht="24" hidden="1" x14ac:dyDescent="0.2">
      <c r="A287" s="5" t="s">
        <v>43</v>
      </c>
      <c r="B287" s="2" t="s">
        <v>457</v>
      </c>
      <c r="C287" s="2" t="s">
        <v>47</v>
      </c>
      <c r="D287" s="2"/>
      <c r="E287" s="55"/>
      <c r="F287" s="55"/>
      <c r="G287" s="63" t="e">
        <f t="shared" si="106"/>
        <v>#DIV/0!</v>
      </c>
    </row>
    <row r="288" spans="1:7" x14ac:dyDescent="0.2">
      <c r="A288" s="3" t="s">
        <v>281</v>
      </c>
      <c r="B288" s="2" t="s">
        <v>458</v>
      </c>
      <c r="C288" s="2"/>
      <c r="D288" s="2"/>
      <c r="E288" s="55">
        <f t="shared" ref="E288:F288" si="126">E289</f>
        <v>590.23</v>
      </c>
      <c r="F288" s="55">
        <f t="shared" si="126"/>
        <v>590.23</v>
      </c>
      <c r="G288" s="63">
        <f t="shared" si="106"/>
        <v>100</v>
      </c>
    </row>
    <row r="289" spans="1:7" ht="36" x14ac:dyDescent="0.2">
      <c r="A289" s="3" t="s">
        <v>24</v>
      </c>
      <c r="B289" s="2" t="s">
        <v>458</v>
      </c>
      <c r="C289" s="2" t="s">
        <v>22</v>
      </c>
      <c r="D289" s="2"/>
      <c r="E289" s="45">
        <f>453.326+136.904</f>
        <v>590.23</v>
      </c>
      <c r="F289" s="45">
        <f>453.326+136.904</f>
        <v>590.23</v>
      </c>
      <c r="G289" s="63">
        <f t="shared" si="106"/>
        <v>100</v>
      </c>
    </row>
    <row r="290" spans="1:7" ht="44.25" customHeight="1" x14ac:dyDescent="0.2">
      <c r="A290" s="3" t="s">
        <v>449</v>
      </c>
      <c r="B290" s="2" t="s">
        <v>227</v>
      </c>
      <c r="C290" s="2"/>
      <c r="D290" s="2"/>
      <c r="E290" s="55">
        <f>E291+E304+E300+E298+E302</f>
        <v>15811.965</v>
      </c>
      <c r="F290" s="55">
        <f t="shared" ref="F290" si="127">F291+F304+F300+F298+F302</f>
        <v>15811.900999999998</v>
      </c>
      <c r="G290" s="63">
        <f t="shared" si="106"/>
        <v>99.999595243222444</v>
      </c>
    </row>
    <row r="291" spans="1:7" ht="36" x14ac:dyDescent="0.2">
      <c r="A291" s="3" t="s">
        <v>450</v>
      </c>
      <c r="B291" s="2" t="s">
        <v>228</v>
      </c>
      <c r="C291" s="2"/>
      <c r="D291" s="2"/>
      <c r="E291" s="55">
        <f t="shared" ref="E291:F291" si="128">E292+E295</f>
        <v>7887.0079999999998</v>
      </c>
      <c r="F291" s="55">
        <f t="shared" si="128"/>
        <v>7886.9439999999995</v>
      </c>
      <c r="G291" s="63">
        <f t="shared" si="106"/>
        <v>99.999188538923761</v>
      </c>
    </row>
    <row r="292" spans="1:7" ht="36" x14ac:dyDescent="0.2">
      <c r="A292" s="3" t="s">
        <v>451</v>
      </c>
      <c r="B292" s="2" t="s">
        <v>229</v>
      </c>
      <c r="C292" s="2"/>
      <c r="D292" s="2"/>
      <c r="E292" s="55">
        <f>E293+E294</f>
        <v>4839.2780000000002</v>
      </c>
      <c r="F292" s="55">
        <f t="shared" ref="F292" si="129">F293+F294</f>
        <v>4839.2139999999999</v>
      </c>
      <c r="G292" s="63">
        <f t="shared" si="106"/>
        <v>99.998677488666686</v>
      </c>
    </row>
    <row r="293" spans="1:7" ht="36" x14ac:dyDescent="0.2">
      <c r="A293" s="3" t="s">
        <v>24</v>
      </c>
      <c r="B293" s="2" t="s">
        <v>229</v>
      </c>
      <c r="C293" s="2" t="s">
        <v>22</v>
      </c>
      <c r="D293" s="2"/>
      <c r="E293" s="45">
        <v>4839.2780000000002</v>
      </c>
      <c r="F293" s="45">
        <f>3707.356+12.236+1119.622</f>
        <v>4839.2139999999999</v>
      </c>
      <c r="G293" s="63">
        <f t="shared" si="106"/>
        <v>99.998677488666686</v>
      </c>
    </row>
    <row r="294" spans="1:7" hidden="1" x14ac:dyDescent="0.2">
      <c r="A294" s="5" t="s">
        <v>29</v>
      </c>
      <c r="B294" s="2" t="s">
        <v>229</v>
      </c>
      <c r="C294" s="2" t="s">
        <v>27</v>
      </c>
      <c r="D294" s="2"/>
      <c r="E294" s="67"/>
      <c r="F294" s="67"/>
      <c r="G294" s="63" t="e">
        <f t="shared" si="106"/>
        <v>#DIV/0!</v>
      </c>
    </row>
    <row r="295" spans="1:7" ht="24" x14ac:dyDescent="0.2">
      <c r="A295" s="3" t="s">
        <v>452</v>
      </c>
      <c r="B295" s="2" t="s">
        <v>230</v>
      </c>
      <c r="C295" s="2"/>
      <c r="D295" s="2"/>
      <c r="E295" s="55">
        <f>E296+E297</f>
        <v>3047.73</v>
      </c>
      <c r="F295" s="55">
        <f t="shared" ref="F295" si="130">F296+F297</f>
        <v>3047.73</v>
      </c>
      <c r="G295" s="63">
        <f t="shared" si="106"/>
        <v>100</v>
      </c>
    </row>
    <row r="296" spans="1:7" ht="24" x14ac:dyDescent="0.2">
      <c r="A296" s="3" t="s">
        <v>31</v>
      </c>
      <c r="B296" s="2" t="s">
        <v>230</v>
      </c>
      <c r="C296" s="2" t="s">
        <v>33</v>
      </c>
      <c r="D296" s="2"/>
      <c r="E296" s="45">
        <v>3033.73</v>
      </c>
      <c r="F296" s="45">
        <v>3033.73</v>
      </c>
      <c r="G296" s="63">
        <f t="shared" si="106"/>
        <v>100</v>
      </c>
    </row>
    <row r="297" spans="1:7" ht="24" x14ac:dyDescent="0.2">
      <c r="A297" s="5" t="s">
        <v>43</v>
      </c>
      <c r="B297" s="2" t="s">
        <v>230</v>
      </c>
      <c r="C297" s="2" t="s">
        <v>47</v>
      </c>
      <c r="D297" s="2"/>
      <c r="E297" s="45">
        <v>14</v>
      </c>
      <c r="F297" s="45">
        <v>14</v>
      </c>
      <c r="G297" s="63">
        <f t="shared" si="106"/>
        <v>100</v>
      </c>
    </row>
    <row r="298" spans="1:7" ht="24" x14ac:dyDescent="0.2">
      <c r="A298" s="5" t="s">
        <v>398</v>
      </c>
      <c r="B298" s="2" t="s">
        <v>415</v>
      </c>
      <c r="C298" s="2"/>
      <c r="D298" s="2"/>
      <c r="E298" s="55">
        <f>E299</f>
        <v>11.03</v>
      </c>
      <c r="F298" s="55">
        <f t="shared" ref="F298" si="131">F299</f>
        <v>11.03</v>
      </c>
      <c r="G298" s="63">
        <f t="shared" si="106"/>
        <v>100</v>
      </c>
    </row>
    <row r="299" spans="1:7" ht="24" x14ac:dyDescent="0.2">
      <c r="A299" s="3" t="s">
        <v>31</v>
      </c>
      <c r="B299" s="2" t="s">
        <v>415</v>
      </c>
      <c r="C299" s="2" t="s">
        <v>33</v>
      </c>
      <c r="D299" s="2"/>
      <c r="E299" s="45">
        <v>11.03</v>
      </c>
      <c r="F299" s="45">
        <v>11.03</v>
      </c>
      <c r="G299" s="63">
        <f t="shared" si="106"/>
        <v>100</v>
      </c>
    </row>
    <row r="300" spans="1:7" x14ac:dyDescent="0.2">
      <c r="A300" s="3" t="s">
        <v>281</v>
      </c>
      <c r="B300" s="2" t="s">
        <v>292</v>
      </c>
      <c r="C300" s="2"/>
      <c r="D300" s="2"/>
      <c r="E300" s="55">
        <f t="shared" ref="E300:F300" si="132">E301</f>
        <v>2019.23</v>
      </c>
      <c r="F300" s="55">
        <f t="shared" si="132"/>
        <v>2019.23</v>
      </c>
      <c r="G300" s="63">
        <f t="shared" si="106"/>
        <v>100</v>
      </c>
    </row>
    <row r="301" spans="1:7" ht="36" x14ac:dyDescent="0.2">
      <c r="A301" s="3" t="s">
        <v>24</v>
      </c>
      <c r="B301" s="2" t="s">
        <v>292</v>
      </c>
      <c r="C301" s="2" t="s">
        <v>22</v>
      </c>
      <c r="D301" s="2"/>
      <c r="E301" s="45">
        <v>2019.23</v>
      </c>
      <c r="F301" s="45">
        <f>1550.868+468.362</f>
        <v>2019.23</v>
      </c>
      <c r="G301" s="63">
        <f t="shared" si="106"/>
        <v>100</v>
      </c>
    </row>
    <row r="302" spans="1:7" ht="36" x14ac:dyDescent="0.2">
      <c r="A302" s="3" t="s">
        <v>509</v>
      </c>
      <c r="B302" s="2" t="s">
        <v>508</v>
      </c>
      <c r="C302" s="2"/>
      <c r="D302" s="2"/>
      <c r="E302" s="55">
        <f t="shared" ref="E302:F302" si="133">E303</f>
        <v>204.97</v>
      </c>
      <c r="F302" s="55">
        <f t="shared" si="133"/>
        <v>204.97</v>
      </c>
      <c r="G302" s="63">
        <f t="shared" si="106"/>
        <v>100</v>
      </c>
    </row>
    <row r="303" spans="1:7" ht="24" x14ac:dyDescent="0.2">
      <c r="A303" s="3" t="s">
        <v>31</v>
      </c>
      <c r="B303" s="2" t="s">
        <v>508</v>
      </c>
      <c r="C303" s="2" t="s">
        <v>33</v>
      </c>
      <c r="D303" s="2"/>
      <c r="E303" s="45">
        <v>204.97</v>
      </c>
      <c r="F303" s="45">
        <v>204.97</v>
      </c>
      <c r="G303" s="63">
        <f t="shared" si="106"/>
        <v>100</v>
      </c>
    </row>
    <row r="304" spans="1:7" ht="108" x14ac:dyDescent="0.2">
      <c r="A304" s="3" t="s">
        <v>453</v>
      </c>
      <c r="B304" s="2" t="s">
        <v>231</v>
      </c>
      <c r="C304" s="2"/>
      <c r="D304" s="2"/>
      <c r="E304" s="55">
        <f t="shared" ref="E304:F304" si="134">E305</f>
        <v>5689.7269999999999</v>
      </c>
      <c r="F304" s="55">
        <f t="shared" si="134"/>
        <v>5689.7269999999999</v>
      </c>
      <c r="G304" s="63">
        <f t="shared" si="106"/>
        <v>100</v>
      </c>
    </row>
    <row r="305" spans="1:11" ht="36" x14ac:dyDescent="0.2">
      <c r="A305" s="3" t="s">
        <v>24</v>
      </c>
      <c r="B305" s="2" t="s">
        <v>231</v>
      </c>
      <c r="C305" s="2" t="s">
        <v>22</v>
      </c>
      <c r="D305" s="2"/>
      <c r="E305" s="45">
        <v>5689.7269999999999</v>
      </c>
      <c r="F305" s="45">
        <f>4369.987+1319.74</f>
        <v>5689.7269999999999</v>
      </c>
      <c r="G305" s="63">
        <f t="shared" si="106"/>
        <v>100</v>
      </c>
    </row>
    <row r="306" spans="1:11" ht="36" x14ac:dyDescent="0.2">
      <c r="A306" s="3" t="s">
        <v>169</v>
      </c>
      <c r="B306" s="2" t="s">
        <v>215</v>
      </c>
      <c r="C306" s="2"/>
      <c r="D306" s="2"/>
      <c r="E306" s="55">
        <f>E307+E341+E355+E346+E349+E352</f>
        <v>460784.80980000005</v>
      </c>
      <c r="F306" s="55">
        <f t="shared" ref="F306" si="135">F307+F341+F355+F346+F349+F352</f>
        <v>458115.93812000006</v>
      </c>
      <c r="G306" s="63">
        <f t="shared" si="106"/>
        <v>99.420798684496916</v>
      </c>
    </row>
    <row r="307" spans="1:11" ht="36" x14ac:dyDescent="0.2">
      <c r="A307" s="3" t="s">
        <v>170</v>
      </c>
      <c r="B307" s="2" t="s">
        <v>214</v>
      </c>
      <c r="C307" s="2"/>
      <c r="D307" s="2"/>
      <c r="E307" s="55">
        <f>E310+E322+E324+E316+E314+E320+E334+E332+E328+E318+E312+E326+E337+E339+E330+E308</f>
        <v>453619.02544</v>
      </c>
      <c r="F307" s="55">
        <f t="shared" ref="F307" si="136">F310+F322+F324+F316+F314+F320+F334+F332+F328+F318+F312+F326+F337+F339+F330+F308</f>
        <v>453612.56076000002</v>
      </c>
      <c r="G307" s="63">
        <f t="shared" si="106"/>
        <v>99.998574865771189</v>
      </c>
      <c r="H307" s="45"/>
      <c r="I307" s="45"/>
      <c r="J307" s="45"/>
      <c r="K307" s="45"/>
    </row>
    <row r="308" spans="1:11" ht="24" x14ac:dyDescent="0.2">
      <c r="A308" s="3" t="s">
        <v>516</v>
      </c>
      <c r="B308" s="2" t="s">
        <v>515</v>
      </c>
      <c r="C308" s="2"/>
      <c r="D308" s="2"/>
      <c r="E308" s="67">
        <f>E309</f>
        <v>1681.93878</v>
      </c>
      <c r="F308" s="67">
        <f t="shared" ref="F308" si="137">F309</f>
        <v>1681.93878</v>
      </c>
      <c r="G308" s="63">
        <f t="shared" si="106"/>
        <v>100</v>
      </c>
      <c r="H308" s="45"/>
      <c r="I308" s="45"/>
      <c r="J308" s="45"/>
      <c r="K308" s="45"/>
    </row>
    <row r="309" spans="1:11" ht="24" x14ac:dyDescent="0.2">
      <c r="A309" s="3" t="s">
        <v>19</v>
      </c>
      <c r="B309" s="2" t="s">
        <v>515</v>
      </c>
      <c r="C309" s="2" t="s">
        <v>17</v>
      </c>
      <c r="D309" s="2"/>
      <c r="E309" s="78">
        <f>1471.73878+210.2</f>
        <v>1681.93878</v>
      </c>
      <c r="F309" s="78">
        <f>1471.73878+210.2</f>
        <v>1681.93878</v>
      </c>
      <c r="G309" s="63">
        <f t="shared" ref="G309:G372" si="138">F309/E309*100</f>
        <v>100</v>
      </c>
      <c r="H309" s="93">
        <v>10798.591039999999</v>
      </c>
      <c r="I309" s="93">
        <f>3111.882+624.122+4558.34204+2504.245</f>
        <v>10798.591039999999</v>
      </c>
      <c r="J309" s="45"/>
      <c r="K309" s="45"/>
    </row>
    <row r="310" spans="1:11" ht="36" x14ac:dyDescent="0.2">
      <c r="A310" s="3" t="s">
        <v>93</v>
      </c>
      <c r="B310" s="2" t="s">
        <v>216</v>
      </c>
      <c r="C310" s="2"/>
      <c r="D310" s="2"/>
      <c r="E310" s="55">
        <f>E311</f>
        <v>67854.680410000001</v>
      </c>
      <c r="F310" s="55">
        <f t="shared" ref="F310" si="139">F311</f>
        <v>67854.680410000001</v>
      </c>
      <c r="G310" s="63">
        <f t="shared" si="138"/>
        <v>100</v>
      </c>
      <c r="H310" s="93">
        <v>57056.089370000002</v>
      </c>
      <c r="I310" s="93">
        <f>50650.89642+6405.19295</f>
        <v>57056.089369999994</v>
      </c>
      <c r="J310" s="50"/>
      <c r="K310" s="50"/>
    </row>
    <row r="311" spans="1:11" ht="24" x14ac:dyDescent="0.2">
      <c r="A311" s="3" t="s">
        <v>19</v>
      </c>
      <c r="B311" s="2" t="s">
        <v>216</v>
      </c>
      <c r="C311" s="2" t="s">
        <v>17</v>
      </c>
      <c r="D311" s="2"/>
      <c r="E311" s="45">
        <v>67854.680410000001</v>
      </c>
      <c r="F311" s="45">
        <v>67854.680410000001</v>
      </c>
      <c r="G311" s="63">
        <f t="shared" si="138"/>
        <v>100</v>
      </c>
      <c r="H311" s="47">
        <f>SUM(H307:H310)</f>
        <v>67854.680410000001</v>
      </c>
      <c r="I311" s="47">
        <f t="shared" ref="I311:K311" si="140">SUM(I307:I310)</f>
        <v>67854.680410000001</v>
      </c>
      <c r="J311" s="47">
        <f t="shared" si="140"/>
        <v>0</v>
      </c>
      <c r="K311" s="47">
        <f t="shared" si="140"/>
        <v>0</v>
      </c>
    </row>
    <row r="312" spans="1:11" ht="36" x14ac:dyDescent="0.2">
      <c r="A312" s="3" t="s">
        <v>93</v>
      </c>
      <c r="B312" s="2" t="s">
        <v>406</v>
      </c>
      <c r="C312" s="2"/>
      <c r="D312" s="2"/>
      <c r="E312" s="55">
        <f t="shared" ref="E312:F312" si="141">E313</f>
        <v>389.44639999999998</v>
      </c>
      <c r="F312" s="55">
        <f t="shared" si="141"/>
        <v>389.44540000000001</v>
      </c>
      <c r="G312" s="63">
        <f t="shared" si="138"/>
        <v>99.999743225255131</v>
      </c>
      <c r="H312" s="93">
        <v>30.849799999999998</v>
      </c>
      <c r="I312" s="93">
        <v>30.849799999999998</v>
      </c>
    </row>
    <row r="313" spans="1:11" ht="24" x14ac:dyDescent="0.2">
      <c r="A313" s="3" t="s">
        <v>19</v>
      </c>
      <c r="B313" s="2" t="s">
        <v>406</v>
      </c>
      <c r="C313" s="2" t="s">
        <v>17</v>
      </c>
      <c r="D313" s="2"/>
      <c r="E313" s="55">
        <v>389.44639999999998</v>
      </c>
      <c r="F313" s="55">
        <v>389.44540000000001</v>
      </c>
      <c r="G313" s="63">
        <f t="shared" si="138"/>
        <v>99.999743225255131</v>
      </c>
      <c r="H313" s="93">
        <v>358.59660000000002</v>
      </c>
      <c r="I313" s="93">
        <f>358.5956</f>
        <v>358.59559999999999</v>
      </c>
      <c r="J313" s="45">
        <f>H313+I313</f>
        <v>717.19219999999996</v>
      </c>
      <c r="K313" s="45">
        <v>11942.99</v>
      </c>
    </row>
    <row r="314" spans="1:11" ht="24" x14ac:dyDescent="0.2">
      <c r="A314" s="3" t="s">
        <v>171</v>
      </c>
      <c r="B314" s="2" t="s">
        <v>217</v>
      </c>
      <c r="C314" s="2"/>
      <c r="D314" s="2"/>
      <c r="E314" s="55">
        <f>E315</f>
        <v>32995.483970000001</v>
      </c>
      <c r="F314" s="55">
        <f t="shared" ref="F314" si="142">F315</f>
        <v>32995.483970000001</v>
      </c>
      <c r="G314" s="63">
        <f t="shared" si="138"/>
        <v>100</v>
      </c>
      <c r="H314" s="93">
        <f>SUM(H312:H313)</f>
        <v>389.44640000000004</v>
      </c>
      <c r="I314" s="93">
        <f>SUM(I312:I313)</f>
        <v>389.44540000000001</v>
      </c>
      <c r="J314" s="45">
        <f>H314+I314</f>
        <v>778.8918000000001</v>
      </c>
      <c r="K314" s="45">
        <v>17258.48</v>
      </c>
    </row>
    <row r="315" spans="1:11" ht="24" x14ac:dyDescent="0.2">
      <c r="A315" s="3" t="s">
        <v>19</v>
      </c>
      <c r="B315" s="2" t="s">
        <v>217</v>
      </c>
      <c r="C315" s="2" t="s">
        <v>17</v>
      </c>
      <c r="D315" s="2"/>
      <c r="E315" s="45">
        <v>32995.483970000001</v>
      </c>
      <c r="F315" s="45">
        <v>32995.483970000001</v>
      </c>
      <c r="G315" s="63">
        <f t="shared" si="138"/>
        <v>100</v>
      </c>
      <c r="H315" s="47">
        <f t="shared" ref="H315:K315" si="143">SUM(H313:H314)</f>
        <v>748.04300000000012</v>
      </c>
      <c r="I315" s="47">
        <f t="shared" si="143"/>
        <v>748.04099999999994</v>
      </c>
      <c r="J315" s="47">
        <f t="shared" si="143"/>
        <v>1496.0840000000001</v>
      </c>
      <c r="K315" s="47">
        <f t="shared" si="143"/>
        <v>29201.47</v>
      </c>
    </row>
    <row r="316" spans="1:11" ht="36" x14ac:dyDescent="0.2">
      <c r="A316" s="5" t="s">
        <v>50</v>
      </c>
      <c r="B316" s="2" t="s">
        <v>218</v>
      </c>
      <c r="C316" s="2"/>
      <c r="D316" s="2"/>
      <c r="E316" s="55">
        <f>E317</f>
        <v>3132</v>
      </c>
      <c r="F316" s="55">
        <f t="shared" ref="F316" si="144">F317</f>
        <v>3132</v>
      </c>
      <c r="G316" s="63">
        <f t="shared" si="138"/>
        <v>100</v>
      </c>
      <c r="H316" s="45">
        <v>198</v>
      </c>
      <c r="I316" s="45">
        <f>88-198</f>
        <v>-110</v>
      </c>
      <c r="J316" s="45">
        <f>H316+I316</f>
        <v>88</v>
      </c>
      <c r="K316" s="45">
        <v>88</v>
      </c>
    </row>
    <row r="317" spans="1:11" ht="24" x14ac:dyDescent="0.2">
      <c r="A317" s="3" t="s">
        <v>19</v>
      </c>
      <c r="B317" s="2" t="s">
        <v>218</v>
      </c>
      <c r="C317" s="2" t="s">
        <v>17</v>
      </c>
      <c r="D317" s="2"/>
      <c r="E317" s="45">
        <f>3044+88</f>
        <v>3132</v>
      </c>
      <c r="F317" s="45">
        <f>3044+88</f>
        <v>3132</v>
      </c>
      <c r="G317" s="63">
        <f t="shared" si="138"/>
        <v>100</v>
      </c>
      <c r="H317" s="45">
        <v>3031.31</v>
      </c>
      <c r="I317" s="45">
        <f>3044-3031.31</f>
        <v>12.690000000000055</v>
      </c>
      <c r="J317" s="45">
        <f>H317+I317</f>
        <v>3044</v>
      </c>
      <c r="K317" s="45">
        <v>3044</v>
      </c>
    </row>
    <row r="318" spans="1:11" ht="24" x14ac:dyDescent="0.2">
      <c r="A318" s="3" t="s">
        <v>396</v>
      </c>
      <c r="B318" s="2" t="s">
        <v>397</v>
      </c>
      <c r="C318" s="2"/>
      <c r="D318" s="2"/>
      <c r="E318" s="67">
        <f>E319</f>
        <v>10844.92857</v>
      </c>
      <c r="F318" s="67">
        <f t="shared" ref="F318" si="145">F319</f>
        <v>10844.92857</v>
      </c>
      <c r="G318" s="63">
        <f t="shared" si="138"/>
        <v>100</v>
      </c>
      <c r="H318" s="47">
        <f t="shared" ref="H318:K318" si="146">SUM(H316:H317)</f>
        <v>3229.31</v>
      </c>
      <c r="I318" s="47">
        <f t="shared" si="146"/>
        <v>-97.309999999999945</v>
      </c>
      <c r="J318" s="47">
        <f t="shared" si="146"/>
        <v>3132</v>
      </c>
      <c r="K318" s="47">
        <f t="shared" si="146"/>
        <v>3132</v>
      </c>
    </row>
    <row r="319" spans="1:11" ht="24" x14ac:dyDescent="0.2">
      <c r="A319" s="3" t="s">
        <v>19</v>
      </c>
      <c r="B319" s="2" t="s">
        <v>397</v>
      </c>
      <c r="C319" s="2" t="s">
        <v>17</v>
      </c>
      <c r="D319" s="2"/>
      <c r="E319" s="78">
        <v>10844.92857</v>
      </c>
      <c r="F319" s="78">
        <v>10844.92857</v>
      </c>
      <c r="G319" s="63">
        <f t="shared" si="138"/>
        <v>100</v>
      </c>
    </row>
    <row r="320" spans="1:11" ht="36" hidden="1" x14ac:dyDescent="0.2">
      <c r="A320" s="3" t="s">
        <v>172</v>
      </c>
      <c r="B320" s="2" t="s">
        <v>219</v>
      </c>
      <c r="C320" s="2"/>
      <c r="D320" s="2"/>
      <c r="E320" s="55">
        <f>E321</f>
        <v>0</v>
      </c>
      <c r="F320" s="55">
        <f t="shared" ref="F320" si="147">F321</f>
        <v>0</v>
      </c>
      <c r="G320" s="63" t="e">
        <f t="shared" si="138"/>
        <v>#DIV/0!</v>
      </c>
    </row>
    <row r="321" spans="1:11" ht="24" hidden="1" x14ac:dyDescent="0.2">
      <c r="A321" s="3" t="s">
        <v>19</v>
      </c>
      <c r="B321" s="2" t="s">
        <v>219</v>
      </c>
      <c r="C321" s="2" t="s">
        <v>17</v>
      </c>
      <c r="D321" s="2"/>
      <c r="E321" s="55"/>
      <c r="F321" s="55"/>
      <c r="G321" s="63" t="e">
        <f t="shared" si="138"/>
        <v>#DIV/0!</v>
      </c>
      <c r="H321" s="46">
        <v>55000</v>
      </c>
      <c r="I321" s="46">
        <f>47488-55000</f>
        <v>-7512</v>
      </c>
      <c r="J321" s="46">
        <f>H321+I321</f>
        <v>47488</v>
      </c>
      <c r="K321" s="46">
        <v>16016</v>
      </c>
    </row>
    <row r="322" spans="1:11" ht="72" x14ac:dyDescent="0.2">
      <c r="A322" s="3" t="s">
        <v>158</v>
      </c>
      <c r="B322" s="2" t="s">
        <v>220</v>
      </c>
      <c r="C322" s="2"/>
      <c r="D322" s="2"/>
      <c r="E322" s="55">
        <f>E323</f>
        <v>238735.073</v>
      </c>
      <c r="F322" s="55">
        <f t="shared" ref="F322" si="148">F323</f>
        <v>238735.073</v>
      </c>
      <c r="G322" s="63">
        <f t="shared" si="138"/>
        <v>100</v>
      </c>
      <c r="H322" s="96">
        <v>57748.82</v>
      </c>
      <c r="I322" s="96">
        <f>38144.98678+19603.83322</f>
        <v>57748.82</v>
      </c>
      <c r="J322" s="45">
        <f>H322+I322</f>
        <v>115497.64</v>
      </c>
      <c r="K322" s="45">
        <v>44318</v>
      </c>
    </row>
    <row r="323" spans="1:11" ht="24" x14ac:dyDescent="0.2">
      <c r="A323" s="3" t="s">
        <v>19</v>
      </c>
      <c r="B323" s="2" t="s">
        <v>220</v>
      </c>
      <c r="C323" s="2" t="s">
        <v>17</v>
      </c>
      <c r="D323" s="2"/>
      <c r="E323" s="55">
        <v>238735.073</v>
      </c>
      <c r="F323" s="77">
        <v>238735.073</v>
      </c>
      <c r="G323" s="63">
        <f t="shared" si="138"/>
        <v>100</v>
      </c>
      <c r="H323" s="93">
        <v>180986.253</v>
      </c>
      <c r="I323" s="93">
        <v>180986.253</v>
      </c>
      <c r="J323" s="47"/>
      <c r="K323" s="47"/>
    </row>
    <row r="324" spans="1:11" ht="24" x14ac:dyDescent="0.2">
      <c r="A324" s="3" t="s">
        <v>106</v>
      </c>
      <c r="B324" s="2" t="s">
        <v>221</v>
      </c>
      <c r="C324" s="2"/>
      <c r="D324" s="2"/>
      <c r="E324" s="55">
        <f>E325</f>
        <v>1123.98</v>
      </c>
      <c r="F324" s="55">
        <f t="shared" ref="F324" si="149">F325</f>
        <v>1123.98</v>
      </c>
      <c r="G324" s="63">
        <f t="shared" si="138"/>
        <v>100</v>
      </c>
      <c r="H324" s="45">
        <f>SUM(H322:H323)</f>
        <v>238735.073</v>
      </c>
      <c r="I324" s="45">
        <f>SUM(I322:I323)</f>
        <v>238735.073</v>
      </c>
      <c r="J324" s="45">
        <f t="shared" ref="J324" si="150">SUM(J322:J323)</f>
        <v>115497.64</v>
      </c>
      <c r="K324" s="45">
        <f t="shared" ref="K324" si="151">SUM(K321:K323)</f>
        <v>60334</v>
      </c>
    </row>
    <row r="325" spans="1:11" ht="24" x14ac:dyDescent="0.2">
      <c r="A325" s="3" t="s">
        <v>19</v>
      </c>
      <c r="B325" s="2" t="s">
        <v>221</v>
      </c>
      <c r="C325" s="2" t="s">
        <v>17</v>
      </c>
      <c r="D325" s="2"/>
      <c r="E325" s="45">
        <f>1030.28+93.7</f>
        <v>1123.98</v>
      </c>
      <c r="F325" s="45">
        <f>1030.28+93.7</f>
        <v>1123.98</v>
      </c>
      <c r="G325" s="63">
        <f t="shared" si="138"/>
        <v>100</v>
      </c>
      <c r="H325" s="45">
        <v>1076.837</v>
      </c>
      <c r="I325" s="45">
        <f>1007.8+22.48-1076.837</f>
        <v>-46.557000000000016</v>
      </c>
      <c r="J325" s="45">
        <f>H325+I325</f>
        <v>1030.28</v>
      </c>
      <c r="K325" s="45">
        <v>1030.28</v>
      </c>
    </row>
    <row r="326" spans="1:11" ht="36" x14ac:dyDescent="0.2">
      <c r="A326" s="5" t="s">
        <v>410</v>
      </c>
      <c r="B326" s="2" t="s">
        <v>409</v>
      </c>
      <c r="C326" s="2"/>
      <c r="D326" s="2"/>
      <c r="E326" s="55">
        <f>E327</f>
        <v>2986.37041</v>
      </c>
      <c r="F326" s="55">
        <f t="shared" ref="F326" si="152">F327</f>
        <v>2986.37041</v>
      </c>
      <c r="G326" s="63">
        <f t="shared" si="138"/>
        <v>100</v>
      </c>
    </row>
    <row r="327" spans="1:11" ht="24" x14ac:dyDescent="0.2">
      <c r="A327" s="3" t="s">
        <v>19</v>
      </c>
      <c r="B327" s="2" t="s">
        <v>409</v>
      </c>
      <c r="C327" s="2" t="s">
        <v>17</v>
      </c>
      <c r="D327" s="2"/>
      <c r="E327" s="45">
        <v>2986.37041</v>
      </c>
      <c r="F327" s="45">
        <v>2986.37041</v>
      </c>
      <c r="G327" s="63">
        <f t="shared" si="138"/>
        <v>100</v>
      </c>
    </row>
    <row r="328" spans="1:11" ht="24" x14ac:dyDescent="0.2">
      <c r="A328" s="3" t="s">
        <v>490</v>
      </c>
      <c r="B328" s="2" t="s">
        <v>491</v>
      </c>
      <c r="C328" s="2"/>
      <c r="D328" s="2"/>
      <c r="E328" s="67">
        <f t="shared" ref="E328:F328" si="153">E329</f>
        <v>1800</v>
      </c>
      <c r="F328" s="67">
        <f t="shared" si="153"/>
        <v>1800</v>
      </c>
      <c r="G328" s="63">
        <f t="shared" si="138"/>
        <v>100</v>
      </c>
    </row>
    <row r="329" spans="1:11" ht="15" x14ac:dyDescent="0.25">
      <c r="A329" s="3" t="s">
        <v>42</v>
      </c>
      <c r="B329" s="2" t="s">
        <v>491</v>
      </c>
      <c r="C329" s="2" t="s">
        <v>308</v>
      </c>
      <c r="D329" s="2"/>
      <c r="E329" s="52">
        <v>1800</v>
      </c>
      <c r="F329" s="52">
        <v>1800</v>
      </c>
      <c r="G329" s="63">
        <f t="shared" si="138"/>
        <v>100</v>
      </c>
      <c r="H329" s="45"/>
      <c r="I329" s="45"/>
      <c r="J329" s="45">
        <f>H329+I329</f>
        <v>0</v>
      </c>
      <c r="K329" s="45"/>
    </row>
    <row r="330" spans="1:11" ht="24" x14ac:dyDescent="0.2">
      <c r="A330" s="3" t="s">
        <v>394</v>
      </c>
      <c r="B330" s="2" t="s">
        <v>395</v>
      </c>
      <c r="C330" s="2"/>
      <c r="D330" s="2"/>
      <c r="E330" s="67">
        <f>E331</f>
        <v>578.37</v>
      </c>
      <c r="F330" s="67">
        <f>F331</f>
        <v>578.36999999999989</v>
      </c>
      <c r="G330" s="63">
        <f t="shared" si="138"/>
        <v>99.999999999999972</v>
      </c>
      <c r="H330" s="45"/>
      <c r="I330" s="45"/>
      <c r="J330" s="45"/>
      <c r="K330" s="45"/>
    </row>
    <row r="331" spans="1:11" ht="24" x14ac:dyDescent="0.2">
      <c r="A331" s="3" t="s">
        <v>19</v>
      </c>
      <c r="B331" s="2" t="s">
        <v>395</v>
      </c>
      <c r="C331" s="2" t="s">
        <v>17</v>
      </c>
      <c r="D331" s="2"/>
      <c r="E331" s="78">
        <v>578.37</v>
      </c>
      <c r="F331" s="78">
        <f>547.95918+30.41082</f>
        <v>578.36999999999989</v>
      </c>
      <c r="G331" s="63">
        <f t="shared" si="138"/>
        <v>99.999999999999972</v>
      </c>
      <c r="H331" s="93">
        <v>39974.661630000002</v>
      </c>
      <c r="I331" s="93">
        <v>39974.661630000002</v>
      </c>
      <c r="J331" s="45"/>
      <c r="K331" s="45"/>
    </row>
    <row r="332" spans="1:11" x14ac:dyDescent="0.2">
      <c r="A332" s="3" t="s">
        <v>281</v>
      </c>
      <c r="B332" s="2" t="s">
        <v>282</v>
      </c>
      <c r="C332" s="2"/>
      <c r="D332" s="2"/>
      <c r="E332" s="55">
        <f t="shared" ref="E332:F332" si="154">E333</f>
        <v>55453.071629999999</v>
      </c>
      <c r="F332" s="55">
        <f t="shared" si="154"/>
        <v>55453.071629999999</v>
      </c>
      <c r="G332" s="63">
        <f t="shared" si="138"/>
        <v>100</v>
      </c>
      <c r="H332" s="93">
        <v>15478.41</v>
      </c>
      <c r="I332" s="93">
        <f>11725.801+3752.609</f>
        <v>15478.41</v>
      </c>
      <c r="J332" s="45">
        <f>H332+I332</f>
        <v>30956.82</v>
      </c>
      <c r="K332" s="45"/>
    </row>
    <row r="333" spans="1:11" ht="24" x14ac:dyDescent="0.2">
      <c r="A333" s="3" t="s">
        <v>19</v>
      </c>
      <c r="B333" s="2" t="s">
        <v>282</v>
      </c>
      <c r="C333" s="2" t="s">
        <v>17</v>
      </c>
      <c r="D333" s="2"/>
      <c r="E333" s="55">
        <v>55453.071629999999</v>
      </c>
      <c r="F333" s="55">
        <v>55453.071629999999</v>
      </c>
      <c r="G333" s="63">
        <f t="shared" si="138"/>
        <v>100</v>
      </c>
      <c r="H333" s="47">
        <f t="shared" ref="H333:K333" si="155">SUM(H329:H332)</f>
        <v>55453.071630000006</v>
      </c>
      <c r="I333" s="47">
        <f t="shared" si="155"/>
        <v>55453.071630000006</v>
      </c>
      <c r="J333" s="47">
        <f t="shared" si="155"/>
        <v>30956.82</v>
      </c>
      <c r="K333" s="47">
        <f t="shared" si="155"/>
        <v>0</v>
      </c>
    </row>
    <row r="334" spans="1:11" ht="36" x14ac:dyDescent="0.2">
      <c r="A334" s="3" t="s">
        <v>160</v>
      </c>
      <c r="B334" s="2" t="s">
        <v>232</v>
      </c>
      <c r="C334" s="2"/>
      <c r="D334" s="2"/>
      <c r="E334" s="55">
        <f t="shared" ref="E334:F334" si="156">E336+E335</f>
        <v>2443.1</v>
      </c>
      <c r="F334" s="55">
        <f t="shared" si="156"/>
        <v>2436.6363199999996</v>
      </c>
      <c r="G334" s="63">
        <f t="shared" si="138"/>
        <v>99.735431214440666</v>
      </c>
    </row>
    <row r="335" spans="1:11" ht="24" x14ac:dyDescent="0.2">
      <c r="A335" s="3" t="s">
        <v>31</v>
      </c>
      <c r="B335" s="2" t="s">
        <v>232</v>
      </c>
      <c r="C335" s="2" t="s">
        <v>33</v>
      </c>
      <c r="D335" s="2"/>
      <c r="E335" s="45">
        <v>13.4</v>
      </c>
      <c r="F335" s="45">
        <v>6.9363200000000003</v>
      </c>
      <c r="G335" s="63">
        <f t="shared" si="138"/>
        <v>51.763582089552237</v>
      </c>
    </row>
    <row r="336" spans="1:11" x14ac:dyDescent="0.2">
      <c r="A336" s="3" t="s">
        <v>29</v>
      </c>
      <c r="B336" s="2" t="s">
        <v>232</v>
      </c>
      <c r="C336" s="2" t="s">
        <v>27</v>
      </c>
      <c r="D336" s="2"/>
      <c r="E336" s="45">
        <v>2429.6999999999998</v>
      </c>
      <c r="F336" s="45">
        <v>2429.6999999999998</v>
      </c>
      <c r="G336" s="63">
        <f t="shared" si="138"/>
        <v>100</v>
      </c>
    </row>
    <row r="337" spans="1:7" ht="36" x14ac:dyDescent="0.2">
      <c r="A337" s="5" t="s">
        <v>408</v>
      </c>
      <c r="B337" s="2" t="s">
        <v>407</v>
      </c>
      <c r="C337" s="2"/>
      <c r="D337" s="2"/>
      <c r="E337" s="55">
        <f t="shared" ref="E337:F337" si="157">E338</f>
        <v>14300.582270000001</v>
      </c>
      <c r="F337" s="55">
        <f t="shared" si="157"/>
        <v>14300.582270000001</v>
      </c>
      <c r="G337" s="63">
        <f t="shared" si="138"/>
        <v>100</v>
      </c>
    </row>
    <row r="338" spans="1:7" ht="24" x14ac:dyDescent="0.2">
      <c r="A338" s="3" t="s">
        <v>19</v>
      </c>
      <c r="B338" s="2" t="s">
        <v>407</v>
      </c>
      <c r="C338" s="2" t="s">
        <v>17</v>
      </c>
      <c r="D338" s="2"/>
      <c r="E338" s="45">
        <v>14300.582270000001</v>
      </c>
      <c r="F338" s="45">
        <v>14300.582270000001</v>
      </c>
      <c r="G338" s="63">
        <f t="shared" si="138"/>
        <v>100</v>
      </c>
    </row>
    <row r="339" spans="1:7" ht="36" x14ac:dyDescent="0.2">
      <c r="A339" s="3" t="s">
        <v>447</v>
      </c>
      <c r="B339" s="2" t="s">
        <v>446</v>
      </c>
      <c r="C339" s="2"/>
      <c r="D339" s="2"/>
      <c r="E339" s="55">
        <f t="shared" ref="E339:F339" si="158">E340</f>
        <v>19300</v>
      </c>
      <c r="F339" s="55">
        <f t="shared" si="158"/>
        <v>19300</v>
      </c>
      <c r="G339" s="63">
        <f t="shared" si="138"/>
        <v>100</v>
      </c>
    </row>
    <row r="340" spans="1:7" ht="24" x14ac:dyDescent="0.2">
      <c r="A340" s="3" t="s">
        <v>19</v>
      </c>
      <c r="B340" s="2" t="s">
        <v>446</v>
      </c>
      <c r="C340" s="2" t="s">
        <v>17</v>
      </c>
      <c r="D340" s="2"/>
      <c r="E340" s="45">
        <v>19300</v>
      </c>
      <c r="F340" s="45">
        <v>19300</v>
      </c>
      <c r="G340" s="63">
        <f t="shared" si="138"/>
        <v>100</v>
      </c>
    </row>
    <row r="341" spans="1:7" ht="24" x14ac:dyDescent="0.2">
      <c r="A341" s="3" t="s">
        <v>258</v>
      </c>
      <c r="B341" s="2" t="s">
        <v>259</v>
      </c>
      <c r="C341" s="2"/>
      <c r="D341" s="2"/>
      <c r="E341" s="55">
        <f>E342+E344</f>
        <v>2568.2333600000002</v>
      </c>
      <c r="F341" s="55">
        <f t="shared" ref="F341" si="159">F342+F344</f>
        <v>2568.2333600000002</v>
      </c>
      <c r="G341" s="63">
        <f t="shared" si="138"/>
        <v>100</v>
      </c>
    </row>
    <row r="342" spans="1:7" ht="24" x14ac:dyDescent="0.2">
      <c r="A342" s="3" t="s">
        <v>260</v>
      </c>
      <c r="B342" s="2" t="s">
        <v>261</v>
      </c>
      <c r="C342" s="2"/>
      <c r="D342" s="2"/>
      <c r="E342" s="55">
        <f t="shared" ref="E342:F342" si="160">E343</f>
        <v>2568.2333600000002</v>
      </c>
      <c r="F342" s="55">
        <f t="shared" si="160"/>
        <v>2568.2333600000002</v>
      </c>
      <c r="G342" s="63">
        <f t="shared" si="138"/>
        <v>100</v>
      </c>
    </row>
    <row r="343" spans="1:7" ht="24" x14ac:dyDescent="0.2">
      <c r="A343" s="3" t="s">
        <v>19</v>
      </c>
      <c r="B343" s="2" t="s">
        <v>261</v>
      </c>
      <c r="C343" s="2" t="s">
        <v>17</v>
      </c>
      <c r="D343" s="2"/>
      <c r="E343" s="45">
        <v>2568.2333600000002</v>
      </c>
      <c r="F343" s="45">
        <v>2568.2333600000002</v>
      </c>
      <c r="G343" s="63">
        <f t="shared" si="138"/>
        <v>100</v>
      </c>
    </row>
    <row r="344" spans="1:7" hidden="1" x14ac:dyDescent="0.2">
      <c r="A344" s="3" t="s">
        <v>412</v>
      </c>
      <c r="B344" s="2" t="s">
        <v>411</v>
      </c>
      <c r="C344" s="2"/>
      <c r="D344" s="2"/>
      <c r="E344" s="55">
        <f t="shared" ref="E344:F344" si="161">E345</f>
        <v>0</v>
      </c>
      <c r="F344" s="55">
        <f t="shared" si="161"/>
        <v>0</v>
      </c>
      <c r="G344" s="63" t="e">
        <f t="shared" si="138"/>
        <v>#DIV/0!</v>
      </c>
    </row>
    <row r="345" spans="1:7" ht="24" hidden="1" x14ac:dyDescent="0.2">
      <c r="A345" s="3" t="s">
        <v>19</v>
      </c>
      <c r="B345" s="2" t="s">
        <v>411</v>
      </c>
      <c r="C345" s="2" t="s">
        <v>17</v>
      </c>
      <c r="D345" s="2"/>
      <c r="E345" s="55"/>
      <c r="F345" s="55"/>
      <c r="G345" s="63" t="e">
        <f t="shared" si="138"/>
        <v>#DIV/0!</v>
      </c>
    </row>
    <row r="346" spans="1:7" ht="36" hidden="1" x14ac:dyDescent="0.2">
      <c r="A346" s="3" t="s">
        <v>390</v>
      </c>
      <c r="B346" s="2" t="s">
        <v>391</v>
      </c>
      <c r="C346" s="2"/>
      <c r="D346" s="2"/>
      <c r="E346" s="55">
        <f>E347</f>
        <v>0</v>
      </c>
      <c r="F346" s="55">
        <f t="shared" ref="F346:F347" si="162">F347</f>
        <v>0</v>
      </c>
      <c r="G346" s="63" t="e">
        <f t="shared" si="138"/>
        <v>#DIV/0!</v>
      </c>
    </row>
    <row r="347" spans="1:7" hidden="1" x14ac:dyDescent="0.2">
      <c r="A347" s="5" t="s">
        <v>393</v>
      </c>
      <c r="B347" s="2" t="s">
        <v>392</v>
      </c>
      <c r="C347" s="2"/>
      <c r="D347" s="2"/>
      <c r="E347" s="55">
        <f>E348</f>
        <v>0</v>
      </c>
      <c r="F347" s="55">
        <f t="shared" si="162"/>
        <v>0</v>
      </c>
      <c r="G347" s="63" t="e">
        <f t="shared" si="138"/>
        <v>#DIV/0!</v>
      </c>
    </row>
    <row r="348" spans="1:7" ht="24" hidden="1" x14ac:dyDescent="0.2">
      <c r="A348" s="3" t="s">
        <v>19</v>
      </c>
      <c r="B348" s="2" t="s">
        <v>392</v>
      </c>
      <c r="C348" s="2" t="s">
        <v>17</v>
      </c>
      <c r="D348" s="2"/>
      <c r="E348" s="55"/>
      <c r="F348" s="66"/>
      <c r="G348" s="63" t="e">
        <f t="shared" si="138"/>
        <v>#DIV/0!</v>
      </c>
    </row>
    <row r="349" spans="1:7" ht="24" hidden="1" x14ac:dyDescent="0.2">
      <c r="A349" s="5" t="s">
        <v>404</v>
      </c>
      <c r="B349" s="2" t="s">
        <v>402</v>
      </c>
      <c r="C349" s="2"/>
      <c r="D349" s="2"/>
      <c r="E349" s="55">
        <f>E350</f>
        <v>0</v>
      </c>
      <c r="F349" s="55">
        <f t="shared" ref="F349:F350" si="163">F350</f>
        <v>0</v>
      </c>
      <c r="G349" s="63" t="e">
        <f t="shared" si="138"/>
        <v>#DIV/0!</v>
      </c>
    </row>
    <row r="350" spans="1:7" hidden="1" x14ac:dyDescent="0.2">
      <c r="A350" s="3" t="s">
        <v>405</v>
      </c>
      <c r="B350" s="2" t="s">
        <v>403</v>
      </c>
      <c r="C350" s="2"/>
      <c r="D350" s="2"/>
      <c r="E350" s="55">
        <f>E351</f>
        <v>0</v>
      </c>
      <c r="F350" s="55">
        <f t="shared" si="163"/>
        <v>0</v>
      </c>
      <c r="G350" s="63" t="e">
        <f t="shared" si="138"/>
        <v>#DIV/0!</v>
      </c>
    </row>
    <row r="351" spans="1:7" hidden="1" x14ac:dyDescent="0.2">
      <c r="A351" s="5" t="s">
        <v>42</v>
      </c>
      <c r="B351" s="2" t="s">
        <v>403</v>
      </c>
      <c r="C351" s="2" t="s">
        <v>308</v>
      </c>
      <c r="D351" s="2"/>
      <c r="E351" s="55"/>
      <c r="F351" s="66"/>
      <c r="G351" s="63" t="e">
        <f t="shared" si="138"/>
        <v>#DIV/0!</v>
      </c>
    </row>
    <row r="352" spans="1:7" ht="24" x14ac:dyDescent="0.2">
      <c r="A352" s="5" t="s">
        <v>404</v>
      </c>
      <c r="B352" s="2" t="s">
        <v>505</v>
      </c>
      <c r="C352" s="2"/>
      <c r="D352" s="2"/>
      <c r="E352" s="55">
        <f>E353</f>
        <v>1515.1510000000001</v>
      </c>
      <c r="F352" s="55">
        <f t="shared" ref="F352:F353" si="164">F353</f>
        <v>1515.1510000000001</v>
      </c>
      <c r="G352" s="63">
        <f t="shared" si="138"/>
        <v>100</v>
      </c>
    </row>
    <row r="353" spans="1:9" ht="24" x14ac:dyDescent="0.2">
      <c r="A353" s="5" t="s">
        <v>507</v>
      </c>
      <c r="B353" s="2" t="s">
        <v>506</v>
      </c>
      <c r="C353" s="2"/>
      <c r="D353" s="2"/>
      <c r="E353" s="55">
        <f>E354</f>
        <v>1515.1510000000001</v>
      </c>
      <c r="F353" s="55">
        <f t="shared" si="164"/>
        <v>1515.1510000000001</v>
      </c>
      <c r="G353" s="63">
        <f t="shared" si="138"/>
        <v>100</v>
      </c>
    </row>
    <row r="354" spans="1:9" ht="24" x14ac:dyDescent="0.2">
      <c r="A354" s="3" t="s">
        <v>19</v>
      </c>
      <c r="B354" s="2" t="s">
        <v>506</v>
      </c>
      <c r="C354" s="2" t="s">
        <v>17</v>
      </c>
      <c r="D354" s="2"/>
      <c r="E354" s="45">
        <v>1515.1510000000001</v>
      </c>
      <c r="F354" s="79">
        <f>1515.151</f>
        <v>1515.1510000000001</v>
      </c>
      <c r="G354" s="63">
        <f t="shared" si="138"/>
        <v>100</v>
      </c>
    </row>
    <row r="355" spans="1:9" ht="24" x14ac:dyDescent="0.2">
      <c r="A355" s="5" t="s">
        <v>345</v>
      </c>
      <c r="B355" s="2" t="s">
        <v>346</v>
      </c>
      <c r="C355" s="2"/>
      <c r="D355" s="2"/>
      <c r="E355" s="55">
        <f>E356+E360</f>
        <v>3082.4</v>
      </c>
      <c r="F355" s="55">
        <f t="shared" ref="F355" si="165">F356+F360</f>
        <v>419.99299999999999</v>
      </c>
      <c r="G355" s="63">
        <f t="shared" si="138"/>
        <v>13.62551907604464</v>
      </c>
      <c r="H355" s="93">
        <v>800</v>
      </c>
      <c r="I355" s="95">
        <f>419.993</f>
        <v>419.99299999999999</v>
      </c>
    </row>
    <row r="356" spans="1:9" ht="24" x14ac:dyDescent="0.2">
      <c r="A356" s="5" t="s">
        <v>347</v>
      </c>
      <c r="B356" s="2" t="s">
        <v>348</v>
      </c>
      <c r="C356" s="2"/>
      <c r="D356" s="2"/>
      <c r="E356" s="66">
        <f>E359+E357+E358</f>
        <v>3082.4</v>
      </c>
      <c r="F356" s="66">
        <f t="shared" ref="F356" si="166">F359+F357+F358</f>
        <v>419.99299999999999</v>
      </c>
      <c r="G356" s="63">
        <f t="shared" si="138"/>
        <v>13.62551907604464</v>
      </c>
      <c r="H356" s="93">
        <v>482.4</v>
      </c>
      <c r="I356" s="95"/>
    </row>
    <row r="357" spans="1:9" ht="24" hidden="1" x14ac:dyDescent="0.2">
      <c r="A357" s="3" t="s">
        <v>19</v>
      </c>
      <c r="B357" s="2" t="s">
        <v>348</v>
      </c>
      <c r="C357" s="2" t="s">
        <v>17</v>
      </c>
      <c r="D357" s="2"/>
      <c r="E357" s="55"/>
      <c r="F357" s="66"/>
      <c r="G357" s="63" t="e">
        <f t="shared" si="138"/>
        <v>#DIV/0!</v>
      </c>
    </row>
    <row r="358" spans="1:9" ht="24" hidden="1" x14ac:dyDescent="0.2">
      <c r="A358" s="3" t="s">
        <v>31</v>
      </c>
      <c r="B358" s="2" t="s">
        <v>348</v>
      </c>
      <c r="C358" s="2" t="s">
        <v>33</v>
      </c>
      <c r="D358" s="2"/>
      <c r="E358" s="66"/>
      <c r="F358" s="66"/>
      <c r="G358" s="63" t="e">
        <f t="shared" si="138"/>
        <v>#DIV/0!</v>
      </c>
    </row>
    <row r="359" spans="1:9" x14ac:dyDescent="0.2">
      <c r="A359" s="3" t="s">
        <v>42</v>
      </c>
      <c r="B359" s="2" t="s">
        <v>348</v>
      </c>
      <c r="C359" s="2" t="s">
        <v>308</v>
      </c>
      <c r="D359" s="2"/>
      <c r="E359" s="55">
        <v>3082.4</v>
      </c>
      <c r="F359" s="79">
        <f>419.993</f>
        <v>419.99299999999999</v>
      </c>
      <c r="G359" s="63">
        <f t="shared" si="138"/>
        <v>13.62551907604464</v>
      </c>
      <c r="H359" s="6">
        <v>1800</v>
      </c>
    </row>
    <row r="360" spans="1:9" ht="48" hidden="1" x14ac:dyDescent="0.2">
      <c r="A360" s="3" t="s">
        <v>388</v>
      </c>
      <c r="B360" s="2" t="s">
        <v>382</v>
      </c>
      <c r="C360" s="2"/>
      <c r="D360" s="2"/>
      <c r="E360" s="55">
        <f>E361</f>
        <v>0</v>
      </c>
      <c r="F360" s="55">
        <f t="shared" ref="F360" si="167">F361</f>
        <v>0</v>
      </c>
      <c r="G360" s="63" t="e">
        <f t="shared" si="138"/>
        <v>#DIV/0!</v>
      </c>
    </row>
    <row r="361" spans="1:9" hidden="1" x14ac:dyDescent="0.2">
      <c r="A361" s="3" t="s">
        <v>42</v>
      </c>
      <c r="B361" s="2" t="s">
        <v>382</v>
      </c>
      <c r="C361" s="2" t="s">
        <v>308</v>
      </c>
      <c r="D361" s="2"/>
      <c r="E361" s="55"/>
      <c r="F361" s="66"/>
      <c r="G361" s="63" t="e">
        <f t="shared" si="138"/>
        <v>#DIV/0!</v>
      </c>
    </row>
    <row r="362" spans="1:9" ht="36" x14ac:dyDescent="0.2">
      <c r="A362" s="3" t="s">
        <v>173</v>
      </c>
      <c r="B362" s="2" t="s">
        <v>222</v>
      </c>
      <c r="C362" s="2"/>
      <c r="D362" s="2"/>
      <c r="E362" s="55">
        <f>E363+E383+E389+E396</f>
        <v>51702.487909999996</v>
      </c>
      <c r="F362" s="55">
        <f>F363+F383+F389+F396</f>
        <v>51438.333000000006</v>
      </c>
      <c r="G362" s="63">
        <f t="shared" si="138"/>
        <v>99.489086655830164</v>
      </c>
    </row>
    <row r="363" spans="1:9" x14ac:dyDescent="0.2">
      <c r="A363" s="3" t="s">
        <v>49</v>
      </c>
      <c r="B363" s="2" t="s">
        <v>223</v>
      </c>
      <c r="C363" s="2"/>
      <c r="D363" s="2"/>
      <c r="E363" s="55">
        <f>E364+E369+E373+E379+E381+E375+E377</f>
        <v>30481.018709999997</v>
      </c>
      <c r="F363" s="55">
        <f t="shared" ref="F363" si="168">F364+F369+F373+F379+F381+F375+F377</f>
        <v>30481.018710000004</v>
      </c>
      <c r="G363" s="63">
        <f t="shared" si="138"/>
        <v>100.00000000000003</v>
      </c>
    </row>
    <row r="364" spans="1:9" ht="14.25" customHeight="1" x14ac:dyDescent="0.2">
      <c r="A364" s="3" t="s">
        <v>174</v>
      </c>
      <c r="B364" s="2" t="s">
        <v>224</v>
      </c>
      <c r="C364" s="2"/>
      <c r="D364" s="2"/>
      <c r="E364" s="55">
        <f>E365+E366+E367</f>
        <v>12745.747499999999</v>
      </c>
      <c r="F364" s="55">
        <f t="shared" ref="F364" si="169">F365+F366+F367</f>
        <v>12745.747500000001</v>
      </c>
      <c r="G364" s="63">
        <f t="shared" si="138"/>
        <v>100.00000000000003</v>
      </c>
    </row>
    <row r="365" spans="1:9" ht="24" x14ac:dyDescent="0.2">
      <c r="A365" s="3" t="s">
        <v>19</v>
      </c>
      <c r="B365" s="2" t="s">
        <v>224</v>
      </c>
      <c r="C365" s="2" t="s">
        <v>17</v>
      </c>
      <c r="D365" s="2"/>
      <c r="E365" s="45">
        <v>12724.112499999999</v>
      </c>
      <c r="F365" s="45">
        <f>12466.1195+257.993</f>
        <v>12724.112500000001</v>
      </c>
      <c r="G365" s="63">
        <f t="shared" si="138"/>
        <v>100.00000000000003</v>
      </c>
    </row>
    <row r="366" spans="1:9" hidden="1" x14ac:dyDescent="0.2">
      <c r="A366" s="5" t="s">
        <v>42</v>
      </c>
      <c r="B366" s="2" t="s">
        <v>224</v>
      </c>
      <c r="C366" s="2" t="s">
        <v>308</v>
      </c>
      <c r="D366" s="2"/>
      <c r="E366" s="55"/>
      <c r="F366" s="55"/>
      <c r="G366" s="63" t="e">
        <f t="shared" si="138"/>
        <v>#DIV/0!</v>
      </c>
    </row>
    <row r="367" spans="1:9" ht="24" x14ac:dyDescent="0.2">
      <c r="A367" s="5" t="s">
        <v>398</v>
      </c>
      <c r="B367" s="2" t="s">
        <v>413</v>
      </c>
      <c r="C367" s="2"/>
      <c r="D367" s="2"/>
      <c r="E367" s="55">
        <f>E368</f>
        <v>21.635000000000002</v>
      </c>
      <c r="F367" s="55">
        <f t="shared" ref="F367" si="170">F368</f>
        <v>21.635000000000002</v>
      </c>
      <c r="G367" s="63">
        <f t="shared" si="138"/>
        <v>100</v>
      </c>
    </row>
    <row r="368" spans="1:9" ht="24" x14ac:dyDescent="0.2">
      <c r="A368" s="3" t="s">
        <v>19</v>
      </c>
      <c r="B368" s="2" t="s">
        <v>413</v>
      </c>
      <c r="C368" s="2" t="s">
        <v>17</v>
      </c>
      <c r="D368" s="2"/>
      <c r="E368" s="45">
        <v>21.635000000000002</v>
      </c>
      <c r="F368" s="45">
        <v>21.635000000000002</v>
      </c>
      <c r="G368" s="63">
        <f t="shared" si="138"/>
        <v>100</v>
      </c>
    </row>
    <row r="369" spans="1:11" x14ac:dyDescent="0.2">
      <c r="A369" s="3" t="s">
        <v>175</v>
      </c>
      <c r="B369" s="2" t="s">
        <v>247</v>
      </c>
      <c r="C369" s="2"/>
      <c r="D369" s="2"/>
      <c r="E369" s="55">
        <f>E370+E371</f>
        <v>2814.9850000000001</v>
      </c>
      <c r="F369" s="55">
        <f t="shared" ref="F369" si="171">F370+F371</f>
        <v>2814.9850000000001</v>
      </c>
      <c r="G369" s="63">
        <f t="shared" si="138"/>
        <v>100</v>
      </c>
    </row>
    <row r="370" spans="1:11" ht="24" x14ac:dyDescent="0.2">
      <c r="A370" s="3" t="s">
        <v>19</v>
      </c>
      <c r="B370" s="2" t="s">
        <v>247</v>
      </c>
      <c r="C370" s="2" t="s">
        <v>17</v>
      </c>
      <c r="D370" s="2"/>
      <c r="E370" s="45">
        <v>2810.76</v>
      </c>
      <c r="F370" s="45">
        <v>2810.76</v>
      </c>
      <c r="G370" s="63">
        <f t="shared" si="138"/>
        <v>100</v>
      </c>
    </row>
    <row r="371" spans="1:11" ht="24" x14ac:dyDescent="0.2">
      <c r="A371" s="5" t="s">
        <v>398</v>
      </c>
      <c r="B371" s="2" t="s">
        <v>414</v>
      </c>
      <c r="C371" s="2"/>
      <c r="D371" s="2"/>
      <c r="E371" s="55">
        <f t="shared" ref="E371:F371" si="172">E372</f>
        <v>4.2249999999999996</v>
      </c>
      <c r="F371" s="55">
        <f t="shared" si="172"/>
        <v>4.2249999999999996</v>
      </c>
      <c r="G371" s="63">
        <f t="shared" si="138"/>
        <v>100</v>
      </c>
    </row>
    <row r="372" spans="1:11" ht="24" x14ac:dyDescent="0.2">
      <c r="A372" s="3" t="s">
        <v>19</v>
      </c>
      <c r="B372" s="2" t="s">
        <v>414</v>
      </c>
      <c r="C372" s="2" t="s">
        <v>17</v>
      </c>
      <c r="D372" s="2"/>
      <c r="E372" s="45">
        <v>4.2249999999999996</v>
      </c>
      <c r="F372" s="45">
        <v>4.2249999999999996</v>
      </c>
      <c r="G372" s="63">
        <f t="shared" si="138"/>
        <v>100</v>
      </c>
    </row>
    <row r="373" spans="1:11" x14ac:dyDescent="0.2">
      <c r="A373" s="3" t="s">
        <v>206</v>
      </c>
      <c r="B373" s="2" t="s">
        <v>233</v>
      </c>
      <c r="C373" s="2"/>
      <c r="D373" s="2"/>
      <c r="E373" s="55">
        <f t="shared" ref="E373:F373" si="173">E374</f>
        <v>9002.2117199999993</v>
      </c>
      <c r="F373" s="55">
        <f t="shared" si="173"/>
        <v>9002.2117199999993</v>
      </c>
      <c r="G373" s="63">
        <f t="shared" ref="G373:G427" si="174">F373/E373*100</f>
        <v>100</v>
      </c>
    </row>
    <row r="374" spans="1:11" ht="24" x14ac:dyDescent="0.2">
      <c r="A374" s="3" t="s">
        <v>19</v>
      </c>
      <c r="B374" s="2" t="s">
        <v>233</v>
      </c>
      <c r="C374" s="2" t="s">
        <v>17</v>
      </c>
      <c r="D374" s="2"/>
      <c r="E374" s="45">
        <v>9002.2117199999993</v>
      </c>
      <c r="F374" s="45">
        <f>8692.21172+310</f>
        <v>9002.2117199999993</v>
      </c>
      <c r="G374" s="63">
        <f t="shared" si="174"/>
        <v>100</v>
      </c>
      <c r="H374" s="45"/>
      <c r="I374" s="45"/>
      <c r="J374" s="45">
        <f>H374+I374</f>
        <v>0</v>
      </c>
      <c r="K374" s="45"/>
    </row>
    <row r="375" spans="1:11" ht="24" x14ac:dyDescent="0.2">
      <c r="A375" s="3" t="s">
        <v>488</v>
      </c>
      <c r="B375" s="2" t="s">
        <v>486</v>
      </c>
      <c r="C375" s="2"/>
      <c r="D375" s="2"/>
      <c r="E375" s="55">
        <f t="shared" ref="E375:F375" si="175">E376</f>
        <v>1.9387799999999999</v>
      </c>
      <c r="F375" s="55">
        <f t="shared" si="175"/>
        <v>1.9387799999999999</v>
      </c>
      <c r="G375" s="63">
        <f t="shared" si="174"/>
        <v>100</v>
      </c>
      <c r="H375" s="45"/>
      <c r="I375" s="45"/>
      <c r="J375" s="45"/>
      <c r="K375" s="45"/>
    </row>
    <row r="376" spans="1:11" ht="24" x14ac:dyDescent="0.2">
      <c r="A376" s="3" t="s">
        <v>19</v>
      </c>
      <c r="B376" s="2" t="s">
        <v>486</v>
      </c>
      <c r="C376" s="2" t="s">
        <v>17</v>
      </c>
      <c r="D376" s="2"/>
      <c r="E376" s="45">
        <v>1.9387799999999999</v>
      </c>
      <c r="F376" s="45">
        <v>1.9387799999999999</v>
      </c>
      <c r="G376" s="63">
        <f t="shared" si="174"/>
        <v>100</v>
      </c>
      <c r="H376" s="45"/>
      <c r="I376" s="45"/>
      <c r="J376" s="45"/>
      <c r="K376" s="45"/>
    </row>
    <row r="377" spans="1:11" ht="24" x14ac:dyDescent="0.2">
      <c r="A377" s="3" t="s">
        <v>489</v>
      </c>
      <c r="B377" s="2" t="s">
        <v>487</v>
      </c>
      <c r="C377" s="2"/>
      <c r="D377" s="2"/>
      <c r="E377" s="55">
        <f t="shared" ref="E377:F377" si="176">E378</f>
        <v>2404.2857100000001</v>
      </c>
      <c r="F377" s="55">
        <f t="shared" si="176"/>
        <v>2404.2857100000001</v>
      </c>
      <c r="G377" s="63">
        <f t="shared" si="174"/>
        <v>100</v>
      </c>
      <c r="H377" s="45"/>
      <c r="I377" s="45"/>
      <c r="J377" s="45"/>
      <c r="K377" s="45"/>
    </row>
    <row r="378" spans="1:11" ht="24" x14ac:dyDescent="0.2">
      <c r="A378" s="3" t="s">
        <v>19</v>
      </c>
      <c r="B378" s="2" t="s">
        <v>487</v>
      </c>
      <c r="C378" s="2" t="s">
        <v>17</v>
      </c>
      <c r="D378" s="2"/>
      <c r="E378" s="45">
        <f>1634.67152+769.61419</f>
        <v>2404.2857100000001</v>
      </c>
      <c r="F378" s="45">
        <f>1634.67152+769.61419</f>
        <v>2404.2857100000001</v>
      </c>
      <c r="G378" s="63">
        <f t="shared" si="174"/>
        <v>100</v>
      </c>
      <c r="H378" s="93">
        <v>769.61419000000001</v>
      </c>
      <c r="I378" s="93">
        <v>769.61419000000001</v>
      </c>
      <c r="J378" s="45"/>
      <c r="K378" s="45"/>
    </row>
    <row r="379" spans="1:11" x14ac:dyDescent="0.2">
      <c r="A379" s="3" t="s">
        <v>281</v>
      </c>
      <c r="B379" s="2" t="s">
        <v>283</v>
      </c>
      <c r="C379" s="2"/>
      <c r="D379" s="2"/>
      <c r="E379" s="55">
        <f t="shared" ref="E379:F379" si="177">E380</f>
        <v>3511.85</v>
      </c>
      <c r="F379" s="55">
        <f t="shared" si="177"/>
        <v>3511.8500000000004</v>
      </c>
      <c r="G379" s="63">
        <f t="shared" si="174"/>
        <v>100.00000000000003</v>
      </c>
      <c r="H379" s="45"/>
      <c r="I379" s="45"/>
      <c r="J379" s="45">
        <f>H379+I379</f>
        <v>0</v>
      </c>
      <c r="K379" s="45"/>
    </row>
    <row r="380" spans="1:11" ht="24" x14ac:dyDescent="0.2">
      <c r="A380" s="3" t="s">
        <v>19</v>
      </c>
      <c r="B380" s="2" t="s">
        <v>283</v>
      </c>
      <c r="C380" s="2" t="s">
        <v>17</v>
      </c>
      <c r="D380" s="2"/>
      <c r="E380" s="45">
        <f>2280.22+1231.63</f>
        <v>3511.85</v>
      </c>
      <c r="F380" s="45">
        <f>4.38+2275.84+1231.63</f>
        <v>3511.8500000000004</v>
      </c>
      <c r="G380" s="63">
        <f t="shared" si="174"/>
        <v>100.00000000000003</v>
      </c>
      <c r="H380" s="93">
        <v>1231.6300000000001</v>
      </c>
      <c r="I380" s="93">
        <v>1231.6300000000001</v>
      </c>
      <c r="J380" s="47">
        <f t="shared" ref="J380:K380" si="178">SUM(J374:J379)</f>
        <v>0</v>
      </c>
      <c r="K380" s="47">
        <f t="shared" si="178"/>
        <v>0</v>
      </c>
    </row>
    <row r="381" spans="1:11" ht="24" hidden="1" x14ac:dyDescent="0.2">
      <c r="A381" s="5" t="s">
        <v>386</v>
      </c>
      <c r="B381" s="2" t="s">
        <v>387</v>
      </c>
      <c r="C381" s="2"/>
      <c r="D381" s="2"/>
      <c r="E381" s="55">
        <f>E382</f>
        <v>0</v>
      </c>
      <c r="F381" s="55">
        <f t="shared" ref="F381" si="179">F382</f>
        <v>0</v>
      </c>
      <c r="G381" s="63" t="e">
        <f t="shared" si="174"/>
        <v>#DIV/0!</v>
      </c>
    </row>
    <row r="382" spans="1:11" ht="24" hidden="1" x14ac:dyDescent="0.2">
      <c r="A382" s="3" t="s">
        <v>19</v>
      </c>
      <c r="B382" s="2" t="s">
        <v>387</v>
      </c>
      <c r="C382" s="2" t="s">
        <v>17</v>
      </c>
      <c r="D382" s="2"/>
      <c r="E382" s="55"/>
      <c r="F382" s="55"/>
      <c r="G382" s="63" t="e">
        <f t="shared" si="174"/>
        <v>#DIV/0!</v>
      </c>
    </row>
    <row r="383" spans="1:11" x14ac:dyDescent="0.2">
      <c r="A383" s="3" t="s">
        <v>176</v>
      </c>
      <c r="B383" s="2" t="s">
        <v>225</v>
      </c>
      <c r="C383" s="2"/>
      <c r="D383" s="2"/>
      <c r="E383" s="68">
        <f>E386+E384</f>
        <v>1254.3439999999998</v>
      </c>
      <c r="F383" s="68">
        <f t="shared" ref="F383" si="180">F386+F384</f>
        <v>1254.3371999999997</v>
      </c>
      <c r="G383" s="63">
        <f t="shared" si="174"/>
        <v>99.999457883961654</v>
      </c>
    </row>
    <row r="384" spans="1:11" ht="24" x14ac:dyDescent="0.2">
      <c r="A384" s="5" t="s">
        <v>518</v>
      </c>
      <c r="B384" s="2" t="s">
        <v>517</v>
      </c>
      <c r="C384" s="2"/>
      <c r="D384" s="2"/>
      <c r="E384" s="68">
        <f>E385</f>
        <v>100</v>
      </c>
      <c r="F384" s="68">
        <f t="shared" ref="F384" si="181">F385</f>
        <v>100</v>
      </c>
      <c r="G384" s="63">
        <f t="shared" si="174"/>
        <v>100</v>
      </c>
    </row>
    <row r="385" spans="1:7" ht="24" x14ac:dyDescent="0.2">
      <c r="A385" s="3" t="s">
        <v>19</v>
      </c>
      <c r="B385" s="2" t="s">
        <v>517</v>
      </c>
      <c r="C385" s="2" t="s">
        <v>17</v>
      </c>
      <c r="D385" s="2"/>
      <c r="E385" s="81">
        <v>100</v>
      </c>
      <c r="F385" s="81">
        <f>99.9932+0.0068</f>
        <v>100</v>
      </c>
      <c r="G385" s="63">
        <f t="shared" si="174"/>
        <v>100</v>
      </c>
    </row>
    <row r="386" spans="1:7" ht="24" x14ac:dyDescent="0.2">
      <c r="A386" s="3" t="s">
        <v>159</v>
      </c>
      <c r="B386" s="2" t="s">
        <v>226</v>
      </c>
      <c r="C386" s="2"/>
      <c r="D386" s="2"/>
      <c r="E386" s="68">
        <f t="shared" ref="E386:F386" si="182">SUM(E387:E388)</f>
        <v>1154.3439999999998</v>
      </c>
      <c r="F386" s="68">
        <f t="shared" si="182"/>
        <v>1154.3371999999997</v>
      </c>
      <c r="G386" s="63">
        <f t="shared" si="174"/>
        <v>99.999410920834691</v>
      </c>
    </row>
    <row r="387" spans="1:7" x14ac:dyDescent="0.2">
      <c r="A387" s="3" t="s">
        <v>29</v>
      </c>
      <c r="B387" s="2" t="s">
        <v>226</v>
      </c>
      <c r="C387" s="2" t="s">
        <v>27</v>
      </c>
      <c r="D387" s="2"/>
      <c r="E387" s="81">
        <v>46.627200000000002</v>
      </c>
      <c r="F387" s="81">
        <v>46.627200000000002</v>
      </c>
      <c r="G387" s="63">
        <f t="shared" si="174"/>
        <v>100</v>
      </c>
    </row>
    <row r="388" spans="1:7" ht="24" x14ac:dyDescent="0.2">
      <c r="A388" s="3" t="s">
        <v>19</v>
      </c>
      <c r="B388" s="2" t="s">
        <v>226</v>
      </c>
      <c r="C388" s="2" t="s">
        <v>17</v>
      </c>
      <c r="D388" s="2"/>
      <c r="E388" s="81">
        <v>1107.7167999999999</v>
      </c>
      <c r="F388" s="81">
        <f>1107.7168-0.0068</f>
        <v>1107.7099999999998</v>
      </c>
      <c r="G388" s="63">
        <f t="shared" si="174"/>
        <v>99.999386124684563</v>
      </c>
    </row>
    <row r="389" spans="1:7" ht="24" x14ac:dyDescent="0.2">
      <c r="A389" s="3" t="s">
        <v>320</v>
      </c>
      <c r="B389" s="2" t="s">
        <v>321</v>
      </c>
      <c r="C389" s="2"/>
      <c r="D389" s="2"/>
      <c r="E389" s="55">
        <f>E390+E392+E394</f>
        <v>9457.3152000000009</v>
      </c>
      <c r="F389" s="55">
        <f t="shared" ref="F389" si="183">F390+F392+F394</f>
        <v>9193.1671000000006</v>
      </c>
      <c r="G389" s="63">
        <f t="shared" si="174"/>
        <v>97.2069441018525</v>
      </c>
    </row>
    <row r="390" spans="1:7" ht="24" x14ac:dyDescent="0.2">
      <c r="A390" s="3" t="s">
        <v>322</v>
      </c>
      <c r="B390" s="2" t="s">
        <v>323</v>
      </c>
      <c r="C390" s="2"/>
      <c r="D390" s="2"/>
      <c r="E390" s="55">
        <f>E391</f>
        <v>6127.3152</v>
      </c>
      <c r="F390" s="55">
        <f t="shared" ref="F390" si="184">F391</f>
        <v>5863.1670999999997</v>
      </c>
      <c r="G390" s="63">
        <f t="shared" si="174"/>
        <v>95.689007479164772</v>
      </c>
    </row>
    <row r="391" spans="1:7" ht="24" x14ac:dyDescent="0.2">
      <c r="A391" s="3" t="s">
        <v>19</v>
      </c>
      <c r="B391" s="2" t="s">
        <v>323</v>
      </c>
      <c r="C391" s="2" t="s">
        <v>17</v>
      </c>
      <c r="D391" s="2"/>
      <c r="E391" s="45">
        <v>6127.3152</v>
      </c>
      <c r="F391" s="80">
        <f>5863.1671</f>
        <v>5863.1670999999997</v>
      </c>
      <c r="G391" s="63">
        <f t="shared" si="174"/>
        <v>95.689007479164772</v>
      </c>
    </row>
    <row r="392" spans="1:7" ht="24" x14ac:dyDescent="0.2">
      <c r="A392" s="3" t="s">
        <v>324</v>
      </c>
      <c r="B392" s="2" t="s">
        <v>325</v>
      </c>
      <c r="C392" s="2"/>
      <c r="D392" s="2"/>
      <c r="E392" s="55">
        <f>E393</f>
        <v>3164.8</v>
      </c>
      <c r="F392" s="55">
        <f t="shared" ref="F392" si="185">F393</f>
        <v>3164.8</v>
      </c>
      <c r="G392" s="63">
        <f t="shared" si="174"/>
        <v>100</v>
      </c>
    </row>
    <row r="393" spans="1:7" ht="24" x14ac:dyDescent="0.2">
      <c r="A393" s="3" t="s">
        <v>19</v>
      </c>
      <c r="B393" s="2" t="s">
        <v>325</v>
      </c>
      <c r="C393" s="2" t="s">
        <v>17</v>
      </c>
      <c r="D393" s="2"/>
      <c r="E393" s="45">
        <v>3164.8</v>
      </c>
      <c r="F393" s="80">
        <v>3164.8</v>
      </c>
      <c r="G393" s="63">
        <f t="shared" si="174"/>
        <v>100</v>
      </c>
    </row>
    <row r="394" spans="1:7" ht="24" x14ac:dyDescent="0.2">
      <c r="A394" s="3" t="s">
        <v>326</v>
      </c>
      <c r="B394" s="2" t="s">
        <v>327</v>
      </c>
      <c r="C394" s="2"/>
      <c r="D394" s="2"/>
      <c r="E394" s="55">
        <f>E395</f>
        <v>165.2</v>
      </c>
      <c r="F394" s="55">
        <f t="shared" ref="F394" si="186">F395</f>
        <v>165.2</v>
      </c>
      <c r="G394" s="63">
        <f t="shared" si="174"/>
        <v>100</v>
      </c>
    </row>
    <row r="395" spans="1:7" ht="24" x14ac:dyDescent="0.2">
      <c r="A395" s="3" t="s">
        <v>19</v>
      </c>
      <c r="B395" s="2" t="s">
        <v>327</v>
      </c>
      <c r="C395" s="2" t="s">
        <v>17</v>
      </c>
      <c r="D395" s="2"/>
      <c r="E395" s="45">
        <v>165.2</v>
      </c>
      <c r="F395" s="80">
        <v>165.2</v>
      </c>
      <c r="G395" s="63">
        <f t="shared" si="174"/>
        <v>100</v>
      </c>
    </row>
    <row r="396" spans="1:7" x14ac:dyDescent="0.2">
      <c r="A396" s="3" t="s">
        <v>433</v>
      </c>
      <c r="B396" s="2" t="s">
        <v>436</v>
      </c>
      <c r="C396" s="2"/>
      <c r="D396" s="2"/>
      <c r="E396" s="55">
        <f>E397</f>
        <v>10509.81</v>
      </c>
      <c r="F396" s="55">
        <f t="shared" ref="F396:F397" si="187">F397</f>
        <v>10509.80999</v>
      </c>
      <c r="G396" s="63">
        <f t="shared" si="174"/>
        <v>99.999999904850796</v>
      </c>
    </row>
    <row r="397" spans="1:7" ht="26.25" customHeight="1" x14ac:dyDescent="0.2">
      <c r="A397" s="3" t="s">
        <v>437</v>
      </c>
      <c r="B397" s="2" t="s">
        <v>438</v>
      </c>
      <c r="C397" s="2"/>
      <c r="D397" s="2"/>
      <c r="E397" s="55">
        <f>E398</f>
        <v>10509.81</v>
      </c>
      <c r="F397" s="55">
        <f t="shared" si="187"/>
        <v>10509.80999</v>
      </c>
      <c r="G397" s="63">
        <f t="shared" si="174"/>
        <v>99.999999904850796</v>
      </c>
    </row>
    <row r="398" spans="1:7" ht="24" x14ac:dyDescent="0.2">
      <c r="A398" s="3" t="s">
        <v>19</v>
      </c>
      <c r="B398" s="2" t="s">
        <v>438</v>
      </c>
      <c r="C398" s="2" t="s">
        <v>17</v>
      </c>
      <c r="D398" s="2"/>
      <c r="E398" s="45">
        <v>10509.81</v>
      </c>
      <c r="F398" s="45">
        <v>10509.80999</v>
      </c>
      <c r="G398" s="63">
        <f t="shared" si="174"/>
        <v>99.999999904850796</v>
      </c>
    </row>
    <row r="399" spans="1:7" x14ac:dyDescent="0.2">
      <c r="A399" s="3" t="s">
        <v>317</v>
      </c>
      <c r="B399" s="2" t="s">
        <v>0</v>
      </c>
      <c r="C399" s="2"/>
      <c r="D399" s="2"/>
      <c r="E399" s="81">
        <f>E400+E413+E415+E417+E420+E423+E425+E411</f>
        <v>13694.888430000001</v>
      </c>
      <c r="F399" s="81">
        <f>F400+F413+F415+F417+F420+F423+F425+F411</f>
        <v>12811.976860000002</v>
      </c>
      <c r="G399" s="63">
        <f t="shared" si="174"/>
        <v>93.552984571485126</v>
      </c>
    </row>
    <row r="400" spans="1:7" x14ac:dyDescent="0.2">
      <c r="A400" s="3" t="s">
        <v>71</v>
      </c>
      <c r="B400" s="2" t="s">
        <v>112</v>
      </c>
      <c r="C400" s="2"/>
      <c r="D400" s="2"/>
      <c r="E400" s="80">
        <f>E401+E407</f>
        <v>2445.0590500000003</v>
      </c>
      <c r="F400" s="80">
        <f>F401+F407</f>
        <v>2444.1940000000004</v>
      </c>
      <c r="G400" s="63">
        <f t="shared" si="174"/>
        <v>99.964620486364126</v>
      </c>
    </row>
    <row r="401" spans="1:7" x14ac:dyDescent="0.2">
      <c r="A401" s="3" t="s">
        <v>30</v>
      </c>
      <c r="B401" s="2" t="s">
        <v>28</v>
      </c>
      <c r="C401" s="2"/>
      <c r="D401" s="2"/>
      <c r="E401" s="80">
        <f>E406+E402+E403+E404+E405</f>
        <v>2443.2590500000001</v>
      </c>
      <c r="F401" s="80">
        <f>F406+F402+F403+F404+F405</f>
        <v>2442.3940000000002</v>
      </c>
      <c r="G401" s="63">
        <f t="shared" si="174"/>
        <v>99.964594421537086</v>
      </c>
    </row>
    <row r="402" spans="1:7" ht="24" x14ac:dyDescent="0.2">
      <c r="A402" s="3" t="s">
        <v>31</v>
      </c>
      <c r="B402" s="2" t="s">
        <v>28</v>
      </c>
      <c r="C402" s="2" t="s">
        <v>33</v>
      </c>
      <c r="D402" s="2"/>
      <c r="E402" s="80">
        <v>1059.16005</v>
      </c>
      <c r="F402" s="80">
        <v>1058.2950000000001</v>
      </c>
      <c r="G402" s="63">
        <f t="shared" si="174"/>
        <v>99.918326791120961</v>
      </c>
    </row>
    <row r="403" spans="1:7" x14ac:dyDescent="0.2">
      <c r="A403" s="3" t="s">
        <v>29</v>
      </c>
      <c r="B403" s="2" t="s">
        <v>28</v>
      </c>
      <c r="C403" s="2" t="s">
        <v>27</v>
      </c>
      <c r="D403" s="2"/>
      <c r="E403" s="80">
        <v>435</v>
      </c>
      <c r="F403" s="80">
        <v>435</v>
      </c>
      <c r="G403" s="63">
        <f t="shared" si="174"/>
        <v>100</v>
      </c>
    </row>
    <row r="404" spans="1:7" x14ac:dyDescent="0.2">
      <c r="A404" s="3" t="s">
        <v>7</v>
      </c>
      <c r="B404" s="2" t="s">
        <v>28</v>
      </c>
      <c r="C404" s="2" t="s">
        <v>5</v>
      </c>
      <c r="D404" s="2"/>
      <c r="E404" s="80">
        <v>644.68100000000004</v>
      </c>
      <c r="F404" s="80">
        <v>644.68100000000004</v>
      </c>
      <c r="G404" s="63">
        <f t="shared" si="174"/>
        <v>100</v>
      </c>
    </row>
    <row r="405" spans="1:7" ht="24" x14ac:dyDescent="0.2">
      <c r="A405" s="3" t="s">
        <v>19</v>
      </c>
      <c r="B405" s="2" t="s">
        <v>28</v>
      </c>
      <c r="C405" s="2" t="s">
        <v>17</v>
      </c>
      <c r="D405" s="2"/>
      <c r="E405" s="80">
        <v>304.41800000000001</v>
      </c>
      <c r="F405" s="80">
        <v>304.41800000000001</v>
      </c>
      <c r="G405" s="63">
        <f t="shared" si="174"/>
        <v>100</v>
      </c>
    </row>
    <row r="406" spans="1:7" ht="14.25" customHeight="1" x14ac:dyDescent="0.2">
      <c r="A406" s="5" t="s">
        <v>43</v>
      </c>
      <c r="B406" s="2" t="s">
        <v>28</v>
      </c>
      <c r="C406" s="2" t="s">
        <v>47</v>
      </c>
      <c r="D406" s="2"/>
      <c r="E406" s="80"/>
      <c r="F406" s="80"/>
      <c r="G406" s="63" t="e">
        <f t="shared" si="174"/>
        <v>#DIV/0!</v>
      </c>
    </row>
    <row r="407" spans="1:7" ht="24" x14ac:dyDescent="0.2">
      <c r="A407" s="3" t="s">
        <v>398</v>
      </c>
      <c r="B407" s="2" t="s">
        <v>399</v>
      </c>
      <c r="C407" s="2"/>
      <c r="D407" s="2"/>
      <c r="E407" s="78">
        <f>E410+E409+E408</f>
        <v>1.8</v>
      </c>
      <c r="F407" s="78">
        <f t="shared" ref="F407" si="188">F410+F409+F408</f>
        <v>1.8</v>
      </c>
      <c r="G407" s="63">
        <f t="shared" si="174"/>
        <v>100</v>
      </c>
    </row>
    <row r="408" spans="1:7" ht="24" x14ac:dyDescent="0.2">
      <c r="A408" s="3" t="s">
        <v>31</v>
      </c>
      <c r="B408" s="2" t="s">
        <v>399</v>
      </c>
      <c r="C408" s="2" t="s">
        <v>33</v>
      </c>
      <c r="D408" s="2"/>
      <c r="E408" s="78">
        <v>1.8</v>
      </c>
      <c r="F408" s="78">
        <v>1.8</v>
      </c>
      <c r="G408" s="63">
        <f t="shared" si="174"/>
        <v>100</v>
      </c>
    </row>
    <row r="409" spans="1:7" hidden="1" x14ac:dyDescent="0.2">
      <c r="A409" s="3" t="s">
        <v>7</v>
      </c>
      <c r="B409" s="2" t="s">
        <v>399</v>
      </c>
      <c r="C409" s="2" t="s">
        <v>5</v>
      </c>
      <c r="D409" s="2"/>
      <c r="E409" s="78"/>
      <c r="F409" s="78"/>
      <c r="G409" s="63" t="e">
        <f t="shared" si="174"/>
        <v>#DIV/0!</v>
      </c>
    </row>
    <row r="410" spans="1:7" ht="24" hidden="1" x14ac:dyDescent="0.2">
      <c r="A410" s="3" t="s">
        <v>19</v>
      </c>
      <c r="B410" s="2" t="s">
        <v>399</v>
      </c>
      <c r="C410" s="2" t="s">
        <v>17</v>
      </c>
      <c r="D410" s="2"/>
      <c r="E410" s="78"/>
      <c r="F410" s="78"/>
      <c r="G410" s="63" t="e">
        <f t="shared" si="174"/>
        <v>#DIV/0!</v>
      </c>
    </row>
    <row r="411" spans="1:7" ht="24" x14ac:dyDescent="0.2">
      <c r="A411" s="5" t="s">
        <v>380</v>
      </c>
      <c r="B411" s="2" t="s">
        <v>379</v>
      </c>
      <c r="C411" s="2"/>
      <c r="D411" s="2"/>
      <c r="E411" s="80">
        <f>E412</f>
        <v>5548.3686500000003</v>
      </c>
      <c r="F411" s="80">
        <f t="shared" ref="F411" si="189">F412</f>
        <v>4693.32215</v>
      </c>
      <c r="G411" s="63">
        <f t="shared" si="174"/>
        <v>84.589226961333935</v>
      </c>
    </row>
    <row r="412" spans="1:7" ht="18" customHeight="1" x14ac:dyDescent="0.2">
      <c r="A412" s="5" t="s">
        <v>43</v>
      </c>
      <c r="B412" s="2" t="s">
        <v>379</v>
      </c>
      <c r="C412" s="2" t="s">
        <v>47</v>
      </c>
      <c r="D412" s="2"/>
      <c r="E412" s="80">
        <f>5529.36865+19</f>
        <v>5548.3686500000003</v>
      </c>
      <c r="F412" s="80">
        <f>4674.36865+18.9535</f>
        <v>4693.32215</v>
      </c>
      <c r="G412" s="63">
        <f t="shared" si="174"/>
        <v>84.589226961333935</v>
      </c>
    </row>
    <row r="413" spans="1:7" x14ac:dyDescent="0.2">
      <c r="A413" s="3" t="s">
        <v>88</v>
      </c>
      <c r="B413" s="2" t="s">
        <v>87</v>
      </c>
      <c r="C413" s="2"/>
      <c r="D413" s="2"/>
      <c r="E413" s="86">
        <f>E414</f>
        <v>2222.96164</v>
      </c>
      <c r="F413" s="86">
        <f t="shared" ref="F413" si="190">F414</f>
        <v>2222.96164</v>
      </c>
      <c r="G413" s="63">
        <f t="shared" si="174"/>
        <v>100</v>
      </c>
    </row>
    <row r="414" spans="1:7" ht="36" x14ac:dyDescent="0.2">
      <c r="A414" s="3" t="s">
        <v>24</v>
      </c>
      <c r="B414" s="2" t="s">
        <v>87</v>
      </c>
      <c r="C414" s="2" t="s">
        <v>22</v>
      </c>
      <c r="D414" s="2"/>
      <c r="E414" s="86">
        <v>2222.96164</v>
      </c>
      <c r="F414" s="86">
        <f>1690.76355+532.19809</f>
        <v>2222.96164</v>
      </c>
      <c r="G414" s="63">
        <f t="shared" si="174"/>
        <v>100</v>
      </c>
    </row>
    <row r="415" spans="1:7" x14ac:dyDescent="0.2">
      <c r="A415" s="3" t="s">
        <v>86</v>
      </c>
      <c r="B415" s="2" t="s">
        <v>85</v>
      </c>
      <c r="C415" s="2"/>
      <c r="D415" s="2"/>
      <c r="E415" s="86">
        <f>E416</f>
        <v>1251.6944100000001</v>
      </c>
      <c r="F415" s="86">
        <f t="shared" ref="F415" si="191">F416</f>
        <v>1251.6944000000001</v>
      </c>
      <c r="G415" s="63">
        <f t="shared" si="174"/>
        <v>99.999999201082957</v>
      </c>
    </row>
    <row r="416" spans="1:7" ht="36" x14ac:dyDescent="0.2">
      <c r="A416" s="3" t="s">
        <v>24</v>
      </c>
      <c r="B416" s="2" t="s">
        <v>85</v>
      </c>
      <c r="C416" s="2" t="s">
        <v>22</v>
      </c>
      <c r="D416" s="2"/>
      <c r="E416" s="86">
        <f>962.29064+289.40377</f>
        <v>1251.6944100000001</v>
      </c>
      <c r="F416" s="86">
        <f>962.29064+289.40376</f>
        <v>1251.6944000000001</v>
      </c>
      <c r="G416" s="63">
        <f t="shared" si="174"/>
        <v>99.999999201082957</v>
      </c>
    </row>
    <row r="417" spans="1:7" ht="24" x14ac:dyDescent="0.2">
      <c r="A417" s="3" t="s">
        <v>84</v>
      </c>
      <c r="B417" s="2" t="s">
        <v>83</v>
      </c>
      <c r="C417" s="2"/>
      <c r="D417" s="2"/>
      <c r="E417" s="86">
        <f>E418</f>
        <v>883.01296000000002</v>
      </c>
      <c r="F417" s="86">
        <f t="shared" ref="F417:F418" si="192">F418</f>
        <v>856.01296000000002</v>
      </c>
      <c r="G417" s="63">
        <f t="shared" si="174"/>
        <v>96.94228723437989</v>
      </c>
    </row>
    <row r="418" spans="1:7" ht="24" x14ac:dyDescent="0.2">
      <c r="A418" s="3" t="s">
        <v>82</v>
      </c>
      <c r="B418" s="2" t="s">
        <v>81</v>
      </c>
      <c r="C418" s="2"/>
      <c r="D418" s="2"/>
      <c r="E418" s="86">
        <f>E419</f>
        <v>883.01296000000002</v>
      </c>
      <c r="F418" s="86">
        <f t="shared" si="192"/>
        <v>856.01296000000002</v>
      </c>
      <c r="G418" s="63">
        <f t="shared" si="174"/>
        <v>96.94228723437989</v>
      </c>
    </row>
    <row r="419" spans="1:7" ht="36.75" x14ac:dyDescent="0.25">
      <c r="A419" s="3" t="s">
        <v>24</v>
      </c>
      <c r="B419" s="2" t="s">
        <v>81</v>
      </c>
      <c r="C419" s="2" t="s">
        <v>22</v>
      </c>
      <c r="D419" s="2"/>
      <c r="E419" s="87">
        <f>430.27724+324+128.73572</f>
        <v>883.01296000000002</v>
      </c>
      <c r="F419" s="87">
        <f>430.27724+297+128.73572</f>
        <v>856.01296000000002</v>
      </c>
      <c r="G419" s="63">
        <f t="shared" si="174"/>
        <v>96.94228723437989</v>
      </c>
    </row>
    <row r="420" spans="1:7" ht="24" x14ac:dyDescent="0.2">
      <c r="A420" s="3" t="s">
        <v>77</v>
      </c>
      <c r="B420" s="2" t="s">
        <v>76</v>
      </c>
      <c r="C420" s="2"/>
      <c r="D420" s="2"/>
      <c r="E420" s="82">
        <f>E421</f>
        <v>1201.99172</v>
      </c>
      <c r="F420" s="82">
        <f t="shared" ref="F420:F421" si="193">F421</f>
        <v>1201.99171</v>
      </c>
      <c r="G420" s="63">
        <f t="shared" si="174"/>
        <v>99.999999168047509</v>
      </c>
    </row>
    <row r="421" spans="1:7" ht="24" x14ac:dyDescent="0.2">
      <c r="A421" s="3" t="s">
        <v>75</v>
      </c>
      <c r="B421" s="2" t="s">
        <v>74</v>
      </c>
      <c r="C421" s="2"/>
      <c r="D421" s="2"/>
      <c r="E421" s="82">
        <f>E422</f>
        <v>1201.99172</v>
      </c>
      <c r="F421" s="82">
        <f t="shared" si="193"/>
        <v>1201.99171</v>
      </c>
      <c r="G421" s="63">
        <f t="shared" si="174"/>
        <v>99.999999168047509</v>
      </c>
    </row>
    <row r="422" spans="1:7" ht="36" x14ac:dyDescent="0.2">
      <c r="A422" s="3" t="s">
        <v>24</v>
      </c>
      <c r="B422" s="2" t="s">
        <v>74</v>
      </c>
      <c r="C422" s="2" t="s">
        <v>22</v>
      </c>
      <c r="D422" s="2"/>
      <c r="E422" s="82">
        <f>925.04433+276.94739</f>
        <v>1201.99172</v>
      </c>
      <c r="F422" s="82">
        <f>925.04433+276.94738</f>
        <v>1201.99171</v>
      </c>
      <c r="G422" s="63">
        <f t="shared" si="174"/>
        <v>99.999999168047509</v>
      </c>
    </row>
    <row r="423" spans="1:7" ht="24" hidden="1" x14ac:dyDescent="0.2">
      <c r="A423" s="3" t="s">
        <v>73</v>
      </c>
      <c r="B423" s="2" t="s">
        <v>72</v>
      </c>
      <c r="C423" s="2"/>
      <c r="D423" s="2"/>
      <c r="E423" s="82">
        <f>E424</f>
        <v>0</v>
      </c>
      <c r="F423" s="82">
        <f t="shared" ref="F423" si="194">F424</f>
        <v>0</v>
      </c>
      <c r="G423" s="63" t="e">
        <f t="shared" si="174"/>
        <v>#DIV/0!</v>
      </c>
    </row>
    <row r="424" spans="1:7" ht="24" hidden="1" x14ac:dyDescent="0.2">
      <c r="A424" s="3" t="s">
        <v>31</v>
      </c>
      <c r="B424" s="2" t="s">
        <v>72</v>
      </c>
      <c r="C424" s="2" t="s">
        <v>33</v>
      </c>
      <c r="D424" s="2"/>
      <c r="E424" s="82"/>
      <c r="F424" s="82"/>
      <c r="G424" s="63" t="e">
        <f t="shared" si="174"/>
        <v>#DIV/0!</v>
      </c>
    </row>
    <row r="425" spans="1:7" ht="24" x14ac:dyDescent="0.2">
      <c r="A425" s="3" t="s">
        <v>300</v>
      </c>
      <c r="B425" s="2" t="s">
        <v>301</v>
      </c>
      <c r="C425" s="2"/>
      <c r="D425" s="2"/>
      <c r="E425" s="45">
        <f>E426</f>
        <v>141.80000000000001</v>
      </c>
      <c r="F425" s="45">
        <f t="shared" ref="F425" si="195">F426</f>
        <v>141.80000000000001</v>
      </c>
      <c r="G425" s="63">
        <f t="shared" si="174"/>
        <v>100</v>
      </c>
    </row>
    <row r="426" spans="1:7" ht="24" x14ac:dyDescent="0.2">
      <c r="A426" s="5" t="s">
        <v>43</v>
      </c>
      <c r="B426" s="2" t="s">
        <v>301</v>
      </c>
      <c r="C426" s="2" t="s">
        <v>47</v>
      </c>
      <c r="D426" s="2"/>
      <c r="E426" s="45">
        <v>141.80000000000001</v>
      </c>
      <c r="F426" s="82">
        <v>141.80000000000001</v>
      </c>
      <c r="G426" s="63">
        <f t="shared" si="174"/>
        <v>100</v>
      </c>
    </row>
    <row r="427" spans="1:7" s="8" customFormat="1" x14ac:dyDescent="0.2">
      <c r="A427" s="10" t="s">
        <v>91</v>
      </c>
      <c r="B427" s="4"/>
      <c r="C427" s="4"/>
      <c r="D427" s="4"/>
      <c r="E427" s="20">
        <f>E19+E40+E51+E114+E172+E188+E400+E413+E415+E417+E420+E128+E235+E245+E267+E306+E362+E290+E153+E82+E272+E199+E58+E71+E249+E256+E425+E411+E10+E65+E145+E281+E180-0.02</f>
        <v>771023.33565000014</v>
      </c>
      <c r="F427" s="20">
        <f>F19+F40+F51+F114+F172+F188+F400+F413+F415+F417+F420+F128+F235+F245+F267+F306+F362+F290+F153+F82+F272+F199+F58+F71+F249+F256+F425+F411+F10+F65+F145+F281+F180</f>
        <v>757290.51688000013</v>
      </c>
      <c r="G427" s="97">
        <f t="shared" si="174"/>
        <v>98.21888415887922</v>
      </c>
    </row>
    <row r="428" spans="1:7" s="8" customFormat="1" ht="15" x14ac:dyDescent="0.25">
      <c r="A428" s="7"/>
      <c r="B428" s="6"/>
      <c r="C428" s="6"/>
      <c r="D428" s="6"/>
      <c r="E428" s="20">
        <v>771023.35565000004</v>
      </c>
      <c r="F428" s="48">
        <v>757290.51688000001</v>
      </c>
      <c r="G428" s="62"/>
    </row>
    <row r="429" spans="1:7" s="8" customFormat="1" x14ac:dyDescent="0.2">
      <c r="A429" s="7"/>
      <c r="B429" s="9"/>
      <c r="C429" s="9"/>
      <c r="D429" s="9"/>
      <c r="E429" s="55">
        <f t="shared" ref="E429:G429" si="196">E427-E428</f>
        <v>-1.999999990221113E-2</v>
      </c>
      <c r="F429" s="56">
        <f t="shared" si="196"/>
        <v>0</v>
      </c>
      <c r="G429" s="56">
        <f t="shared" si="196"/>
        <v>98.21888415887922</v>
      </c>
    </row>
    <row r="430" spans="1:7" x14ac:dyDescent="0.2">
      <c r="E430" s="57">
        <f>E9+E64+E144+E171+E255+E280+E399</f>
        <v>771023.35565000004</v>
      </c>
      <c r="F430" s="57">
        <f>F9+F64+F144+F171+F255+F280+F399</f>
        <v>757290.51688000013</v>
      </c>
      <c r="G430" s="57">
        <f>G9+G64+G144+G171+G255+G280+G399</f>
        <v>671.32536349254599</v>
      </c>
    </row>
    <row r="431" spans="1:7" x14ac:dyDescent="0.2">
      <c r="B431" s="22" t="s">
        <v>151</v>
      </c>
      <c r="C431" s="23"/>
      <c r="D431" s="23"/>
      <c r="E431" s="55"/>
      <c r="F431" s="55"/>
      <c r="G431" s="55"/>
    </row>
    <row r="432" spans="1:7" x14ac:dyDescent="0.2">
      <c r="B432" s="22" t="s">
        <v>472</v>
      </c>
      <c r="C432" s="23"/>
      <c r="D432" s="23"/>
      <c r="E432" s="55">
        <f>E10</f>
        <v>16426.969270000001</v>
      </c>
      <c r="F432" s="55">
        <f>F10</f>
        <v>16408.599169999998</v>
      </c>
      <c r="G432" s="55">
        <f>G10</f>
        <v>99.88817109414363</v>
      </c>
    </row>
    <row r="433" spans="1:7" x14ac:dyDescent="0.2">
      <c r="B433" s="22" t="s">
        <v>41</v>
      </c>
      <c r="C433" s="23"/>
      <c r="D433" s="23"/>
      <c r="E433" s="55">
        <f>E19</f>
        <v>1319.9965500000001</v>
      </c>
      <c r="F433" s="55">
        <f>F19</f>
        <v>1221.9409500000002</v>
      </c>
      <c r="G433" s="55">
        <f>G19</f>
        <v>92.571526039215797</v>
      </c>
    </row>
    <row r="434" spans="1:7" x14ac:dyDescent="0.2">
      <c r="B434" s="22" t="s">
        <v>21</v>
      </c>
      <c r="C434" s="23"/>
      <c r="D434" s="23"/>
      <c r="E434" s="55">
        <f>E40</f>
        <v>266.41638</v>
      </c>
      <c r="F434" s="55">
        <f>F40</f>
        <v>258.06790000000001</v>
      </c>
      <c r="G434" s="55">
        <f>G40</f>
        <v>96.866378861539971</v>
      </c>
    </row>
    <row r="435" spans="1:7" x14ac:dyDescent="0.2">
      <c r="B435" s="22" t="s">
        <v>58</v>
      </c>
      <c r="C435" s="23"/>
      <c r="D435" s="23"/>
      <c r="E435" s="55">
        <f>E51</f>
        <v>415</v>
      </c>
      <c r="F435" s="55">
        <f>F51</f>
        <v>415</v>
      </c>
      <c r="G435" s="55">
        <f>G51</f>
        <v>100</v>
      </c>
    </row>
    <row r="436" spans="1:7" s="11" customFormat="1" x14ac:dyDescent="0.2">
      <c r="A436" s="21"/>
      <c r="B436" s="24" t="s">
        <v>296</v>
      </c>
      <c r="C436" s="25"/>
      <c r="D436" s="25"/>
      <c r="E436" s="55">
        <f>E58</f>
        <v>2355.56</v>
      </c>
      <c r="F436" s="55">
        <f>F58</f>
        <v>2355.56</v>
      </c>
      <c r="G436" s="55">
        <f>G58</f>
        <v>100</v>
      </c>
    </row>
    <row r="437" spans="1:7" s="11" customFormat="1" x14ac:dyDescent="0.2">
      <c r="A437" s="21"/>
      <c r="B437" s="24" t="s">
        <v>4</v>
      </c>
      <c r="C437" s="25"/>
      <c r="D437" s="25"/>
      <c r="E437" s="54">
        <f>SUM(E431:E436)</f>
        <v>20783.942200000001</v>
      </c>
      <c r="F437" s="54">
        <f t="shared" ref="F437:G437" si="197">SUM(F431:F436)</f>
        <v>20659.168020000001</v>
      </c>
      <c r="G437" s="54">
        <f t="shared" si="197"/>
        <v>489.32607599489938</v>
      </c>
    </row>
    <row r="438" spans="1:7" x14ac:dyDescent="0.2">
      <c r="B438" s="22" t="s">
        <v>45</v>
      </c>
      <c r="C438" s="23"/>
      <c r="D438" s="23"/>
      <c r="E438" s="55"/>
      <c r="F438" s="55"/>
      <c r="G438" s="55"/>
    </row>
    <row r="439" spans="1:7" x14ac:dyDescent="0.2">
      <c r="B439" s="22" t="s">
        <v>468</v>
      </c>
      <c r="C439" s="23"/>
      <c r="D439" s="23"/>
      <c r="E439" s="55">
        <f>E65</f>
        <v>1769.52</v>
      </c>
      <c r="F439" s="55">
        <f>F65</f>
        <v>1769.52</v>
      </c>
      <c r="G439" s="55">
        <f>G65</f>
        <v>100</v>
      </c>
    </row>
    <row r="440" spans="1:7" x14ac:dyDescent="0.2">
      <c r="B440" s="22" t="s">
        <v>309</v>
      </c>
      <c r="C440" s="23"/>
      <c r="D440" s="23"/>
      <c r="E440" s="55">
        <f>E71</f>
        <v>9353.0800500000005</v>
      </c>
      <c r="F440" s="55">
        <f>F71</f>
        <v>9353.0800500000005</v>
      </c>
      <c r="G440" s="55">
        <f>G71</f>
        <v>100</v>
      </c>
    </row>
    <row r="441" spans="1:7" x14ac:dyDescent="0.2">
      <c r="B441" s="24" t="s">
        <v>252</v>
      </c>
      <c r="C441" s="23"/>
      <c r="D441" s="23"/>
      <c r="E441" s="55"/>
      <c r="F441" s="55"/>
      <c r="G441" s="55"/>
    </row>
    <row r="442" spans="1:7" x14ac:dyDescent="0.2">
      <c r="B442" s="24" t="s">
        <v>253</v>
      </c>
      <c r="C442" s="23"/>
      <c r="D442" s="23"/>
      <c r="E442" s="55">
        <f>E82</f>
        <v>48636.703159999997</v>
      </c>
      <c r="F442" s="55">
        <f>F82</f>
        <v>48636.703159999997</v>
      </c>
      <c r="G442" s="55">
        <f>G82</f>
        <v>100</v>
      </c>
    </row>
    <row r="443" spans="1:7" x14ac:dyDescent="0.2">
      <c r="B443" s="24" t="s">
        <v>254</v>
      </c>
      <c r="C443" s="23"/>
      <c r="D443" s="23"/>
      <c r="E443" s="55">
        <f>E114</f>
        <v>1992.39066</v>
      </c>
      <c r="F443" s="55">
        <f>F114</f>
        <v>1992.39066</v>
      </c>
      <c r="G443" s="55">
        <f>G114</f>
        <v>100</v>
      </c>
    </row>
    <row r="444" spans="1:7" x14ac:dyDescent="0.2">
      <c r="B444" s="22" t="s">
        <v>40</v>
      </c>
      <c r="C444" s="23"/>
      <c r="D444" s="23"/>
      <c r="E444" s="55"/>
      <c r="F444" s="55"/>
      <c r="G444" s="55"/>
    </row>
    <row r="445" spans="1:7" x14ac:dyDescent="0.2">
      <c r="B445" s="22" t="s">
        <v>238</v>
      </c>
      <c r="C445" s="23"/>
      <c r="D445" s="23"/>
      <c r="E445" s="55">
        <f>E128</f>
        <v>2500.5106700000001</v>
      </c>
      <c r="F445" s="55">
        <f>F128</f>
        <v>2500.5106700000001</v>
      </c>
      <c r="G445" s="55">
        <f>G128</f>
        <v>100</v>
      </c>
    </row>
    <row r="446" spans="1:7" s="11" customFormat="1" x14ac:dyDescent="0.2">
      <c r="A446" s="21"/>
      <c r="B446" s="24" t="s">
        <v>3</v>
      </c>
      <c r="C446" s="25"/>
      <c r="D446" s="25"/>
      <c r="E446" s="54">
        <f>SUM(E438:E445)</f>
        <v>64252.204539999999</v>
      </c>
      <c r="F446" s="54">
        <f t="shared" ref="F446:G446" si="198">SUM(F438:F445)</f>
        <v>64252.204539999999</v>
      </c>
      <c r="G446" s="54">
        <f t="shared" si="198"/>
        <v>500</v>
      </c>
    </row>
    <row r="447" spans="1:7" x14ac:dyDescent="0.2">
      <c r="B447" s="22" t="s">
        <v>78</v>
      </c>
      <c r="C447" s="23"/>
      <c r="D447" s="23"/>
      <c r="E447" s="55"/>
      <c r="F447" s="55"/>
      <c r="G447" s="55"/>
    </row>
    <row r="448" spans="1:7" x14ac:dyDescent="0.2">
      <c r="B448" s="22" t="s">
        <v>10</v>
      </c>
      <c r="C448" s="23"/>
      <c r="D448" s="23"/>
      <c r="E448" s="55"/>
      <c r="F448" s="55"/>
      <c r="G448" s="55"/>
    </row>
    <row r="449" spans="1:7" x14ac:dyDescent="0.2">
      <c r="B449" s="22" t="s">
        <v>55</v>
      </c>
      <c r="C449" s="23"/>
      <c r="D449" s="23"/>
      <c r="E449" s="55"/>
      <c r="F449" s="55"/>
      <c r="G449" s="55"/>
    </row>
    <row r="450" spans="1:7" s="11" customFormat="1" x14ac:dyDescent="0.2">
      <c r="A450" s="21"/>
      <c r="B450" s="24" t="s">
        <v>248</v>
      </c>
      <c r="C450" s="25"/>
      <c r="D450" s="25"/>
      <c r="E450" s="54">
        <f t="shared" ref="E450" si="199">SUM(E447:E449)</f>
        <v>0</v>
      </c>
      <c r="F450" s="54">
        <f t="shared" ref="F450:G450" si="200">SUM(F447:F449)</f>
        <v>0</v>
      </c>
      <c r="G450" s="54">
        <f t="shared" si="200"/>
        <v>0</v>
      </c>
    </row>
    <row r="451" spans="1:7" x14ac:dyDescent="0.2">
      <c r="B451" s="22" t="s">
        <v>78</v>
      </c>
      <c r="C451" s="23"/>
      <c r="D451" s="23"/>
      <c r="E451" s="55"/>
      <c r="F451" s="55"/>
      <c r="G451" s="55"/>
    </row>
    <row r="452" spans="1:7" x14ac:dyDescent="0.2">
      <c r="B452" s="22" t="s">
        <v>459</v>
      </c>
      <c r="C452" s="23"/>
      <c r="D452" s="23"/>
      <c r="E452" s="55">
        <f>E145</f>
        <v>6040.5990099999999</v>
      </c>
      <c r="F452" s="55">
        <f>F145</f>
        <v>6036.1320299999998</v>
      </c>
      <c r="G452" s="55">
        <f>G145</f>
        <v>99.926050711318453</v>
      </c>
    </row>
    <row r="453" spans="1:7" x14ac:dyDescent="0.2">
      <c r="B453" s="22" t="s">
        <v>10</v>
      </c>
      <c r="C453" s="23"/>
      <c r="D453" s="23"/>
      <c r="E453" s="55">
        <f>E153</f>
        <v>50479.194810000001</v>
      </c>
      <c r="F453" s="55">
        <f>F153</f>
        <v>50469.794810000007</v>
      </c>
      <c r="G453" s="55">
        <f>G153</f>
        <v>99.981378466840894</v>
      </c>
    </row>
    <row r="454" spans="1:7" s="11" customFormat="1" x14ac:dyDescent="0.2">
      <c r="A454" s="21"/>
      <c r="B454" s="24" t="s">
        <v>249</v>
      </c>
      <c r="C454" s="25"/>
      <c r="D454" s="25"/>
      <c r="E454" s="54">
        <f t="shared" ref="E454" si="201">SUM(E451:E453)</f>
        <v>56519.793819999999</v>
      </c>
      <c r="F454" s="54">
        <f t="shared" ref="F454:G454" si="202">SUM(F451:F453)</f>
        <v>56505.926840000007</v>
      </c>
      <c r="G454" s="54">
        <f t="shared" si="202"/>
        <v>199.90742917815936</v>
      </c>
    </row>
    <row r="455" spans="1:7" x14ac:dyDescent="0.2">
      <c r="B455" s="22" t="s">
        <v>213</v>
      </c>
      <c r="C455" s="23"/>
      <c r="D455" s="23"/>
      <c r="E455" s="55">
        <f>E172</f>
        <v>4680.76</v>
      </c>
      <c r="F455" s="55">
        <f>F172</f>
        <v>4662.20903</v>
      </c>
      <c r="G455" s="55">
        <f>G172</f>
        <v>99.603676112426186</v>
      </c>
    </row>
    <row r="456" spans="1:7" x14ac:dyDescent="0.2">
      <c r="B456" s="22" t="s">
        <v>212</v>
      </c>
      <c r="C456" s="23"/>
      <c r="D456" s="23"/>
      <c r="E456" s="55">
        <f>E180</f>
        <v>2199.433</v>
      </c>
      <c r="F456" s="55">
        <f>F180</f>
        <v>1400.5934199999999</v>
      </c>
      <c r="G456" s="55">
        <f>G180</f>
        <v>63.67974928083737</v>
      </c>
    </row>
    <row r="457" spans="1:7" x14ac:dyDescent="0.2">
      <c r="B457" s="22" t="s">
        <v>54</v>
      </c>
      <c r="C457" s="23"/>
      <c r="D457" s="23"/>
      <c r="E457" s="55">
        <f>E188</f>
        <v>1787.0245</v>
      </c>
      <c r="F457" s="55">
        <f>F188</f>
        <v>1787.0245</v>
      </c>
      <c r="G457" s="55">
        <f>G188</f>
        <v>100</v>
      </c>
    </row>
    <row r="458" spans="1:7" x14ac:dyDescent="0.2">
      <c r="B458" s="24" t="s">
        <v>389</v>
      </c>
      <c r="C458" s="23"/>
      <c r="D458" s="23"/>
      <c r="E458" s="55">
        <f>E199</f>
        <v>18398.156940000001</v>
      </c>
      <c r="F458" s="55">
        <f>F199</f>
        <v>15752.017399999999</v>
      </c>
      <c r="G458" s="55">
        <f>G199</f>
        <v>85.61736619255079</v>
      </c>
    </row>
    <row r="459" spans="1:7" s="11" customFormat="1" x14ac:dyDescent="0.2">
      <c r="A459" s="21"/>
      <c r="B459" s="24" t="s">
        <v>389</v>
      </c>
      <c r="C459" s="25"/>
      <c r="D459" s="25"/>
      <c r="E459" s="55"/>
      <c r="F459" s="55"/>
      <c r="G459" s="55"/>
    </row>
    <row r="460" spans="1:7" x14ac:dyDescent="0.2">
      <c r="B460" s="22" t="s">
        <v>189</v>
      </c>
      <c r="C460" s="23"/>
      <c r="D460" s="23"/>
      <c r="E460" s="55">
        <f>E235</f>
        <v>22431.733650000002</v>
      </c>
      <c r="F460" s="55">
        <f>F235</f>
        <v>18617.486969999998</v>
      </c>
      <c r="G460" s="55">
        <f>G235</f>
        <v>82.996201989942918</v>
      </c>
    </row>
    <row r="461" spans="1:7" s="11" customFormat="1" x14ac:dyDescent="0.2">
      <c r="A461" s="21"/>
      <c r="B461" s="22" t="s">
        <v>209</v>
      </c>
      <c r="C461" s="25"/>
      <c r="D461" s="25"/>
      <c r="E461" s="55">
        <f>E245</f>
        <v>0</v>
      </c>
      <c r="F461" s="55">
        <f>F245</f>
        <v>0</v>
      </c>
      <c r="G461" s="55" t="e">
        <f>G245</f>
        <v>#DIV/0!</v>
      </c>
    </row>
    <row r="462" spans="1:7" s="11" customFormat="1" x14ac:dyDescent="0.2">
      <c r="A462" s="21"/>
      <c r="B462" s="24" t="s">
        <v>278</v>
      </c>
      <c r="C462" s="25"/>
      <c r="D462" s="25"/>
      <c r="E462" s="55">
        <f>E249</f>
        <v>2326.18453</v>
      </c>
      <c r="F462" s="55">
        <f>F249</f>
        <v>1626.18453</v>
      </c>
      <c r="G462" s="55">
        <f>G249</f>
        <v>69.907804347748808</v>
      </c>
    </row>
    <row r="463" spans="1:7" x14ac:dyDescent="0.2">
      <c r="B463" s="24" t="s">
        <v>1</v>
      </c>
      <c r="C463" s="23"/>
      <c r="D463" s="23"/>
      <c r="E463" s="54">
        <f>SUM(E455:E462)</f>
        <v>51823.29262</v>
      </c>
      <c r="F463" s="54">
        <f t="shared" ref="F463:G463" si="203">SUM(F455:F462)</f>
        <v>43845.515849999996</v>
      </c>
      <c r="G463" s="54" t="e">
        <f t="shared" si="203"/>
        <v>#DIV/0!</v>
      </c>
    </row>
    <row r="464" spans="1:7" s="11" customFormat="1" x14ac:dyDescent="0.2">
      <c r="A464" s="21"/>
      <c r="B464" s="22" t="s">
        <v>152</v>
      </c>
      <c r="C464" s="25"/>
      <c r="D464" s="25"/>
      <c r="E464" s="55"/>
      <c r="F464" s="55"/>
      <c r="G464" s="55"/>
    </row>
    <row r="465" spans="1:7" x14ac:dyDescent="0.2">
      <c r="B465" s="24" t="s">
        <v>110</v>
      </c>
      <c r="C465" s="23"/>
      <c r="D465" s="23"/>
      <c r="E465" s="54">
        <f t="shared" ref="E465" si="204">E464</f>
        <v>0</v>
      </c>
      <c r="F465" s="54">
        <f t="shared" ref="F465:G465" si="205">F464</f>
        <v>0</v>
      </c>
      <c r="G465" s="54">
        <f t="shared" si="205"/>
        <v>0</v>
      </c>
    </row>
    <row r="466" spans="1:7" x14ac:dyDescent="0.2">
      <c r="B466" s="22" t="s">
        <v>234</v>
      </c>
      <c r="C466" s="23"/>
      <c r="D466" s="23"/>
      <c r="E466" s="55"/>
      <c r="F466" s="55"/>
      <c r="G466" s="55"/>
    </row>
    <row r="467" spans="1:7" x14ac:dyDescent="0.2">
      <c r="B467" s="22" t="s">
        <v>454</v>
      </c>
      <c r="C467" s="23"/>
      <c r="D467" s="23"/>
      <c r="E467" s="55">
        <f>E281</f>
        <v>3978.8510000000001</v>
      </c>
      <c r="F467" s="55">
        <f>F281</f>
        <v>3969.6840000000002</v>
      </c>
      <c r="G467" s="55">
        <f>G281</f>
        <v>99.769606853837956</v>
      </c>
    </row>
    <row r="468" spans="1:7" x14ac:dyDescent="0.2">
      <c r="A468" s="6"/>
      <c r="B468" s="22" t="s">
        <v>235</v>
      </c>
      <c r="C468" s="23"/>
      <c r="D468" s="23"/>
      <c r="E468" s="55"/>
      <c r="F468" s="55"/>
      <c r="G468" s="55"/>
    </row>
    <row r="469" spans="1:7" x14ac:dyDescent="0.2">
      <c r="A469" s="6"/>
      <c r="B469" s="22" t="s">
        <v>236</v>
      </c>
      <c r="C469" s="23"/>
      <c r="D469" s="23"/>
      <c r="E469" s="55">
        <f>E290</f>
        <v>15811.965</v>
      </c>
      <c r="F469" s="55">
        <f>F290</f>
        <v>15811.900999999998</v>
      </c>
      <c r="G469" s="55">
        <f>G290</f>
        <v>99.999595243222444</v>
      </c>
    </row>
    <row r="470" spans="1:7" x14ac:dyDescent="0.2">
      <c r="A470" s="6"/>
      <c r="B470" s="22" t="s">
        <v>215</v>
      </c>
      <c r="C470" s="23"/>
      <c r="D470" s="23"/>
      <c r="E470" s="55">
        <f>E306</f>
        <v>460784.80980000005</v>
      </c>
      <c r="F470" s="55">
        <f>F306</f>
        <v>458115.93812000006</v>
      </c>
      <c r="G470" s="55">
        <f>G306</f>
        <v>99.420798684496916</v>
      </c>
    </row>
    <row r="471" spans="1:7" x14ac:dyDescent="0.2">
      <c r="A471" s="6"/>
      <c r="B471" s="22" t="s">
        <v>222</v>
      </c>
      <c r="C471" s="23"/>
      <c r="D471" s="23"/>
      <c r="E471" s="55">
        <f>E362</f>
        <v>51702.487909999996</v>
      </c>
      <c r="F471" s="55">
        <f>F362</f>
        <v>51438.333000000006</v>
      </c>
      <c r="G471" s="55">
        <f>G362</f>
        <v>99.489086655830164</v>
      </c>
    </row>
    <row r="472" spans="1:7" x14ac:dyDescent="0.2">
      <c r="A472" s="6"/>
      <c r="B472" s="24" t="s">
        <v>237</v>
      </c>
      <c r="C472" s="23"/>
      <c r="D472" s="23"/>
      <c r="E472" s="54">
        <f t="shared" ref="E472" si="206">SUM(E466:E471)</f>
        <v>532278.11371000006</v>
      </c>
      <c r="F472" s="54">
        <f t="shared" ref="F472:G472" si="207">SUM(F466:F471)</f>
        <v>529335.85612000013</v>
      </c>
      <c r="G472" s="54">
        <f t="shared" si="207"/>
        <v>398.67908743738747</v>
      </c>
    </row>
    <row r="473" spans="1:7" x14ac:dyDescent="0.2">
      <c r="A473" s="6"/>
      <c r="B473" s="22" t="s">
        <v>310</v>
      </c>
      <c r="C473" s="23"/>
      <c r="D473" s="23"/>
      <c r="E473" s="55">
        <f>E256</f>
        <v>10630.119999999997</v>
      </c>
      <c r="F473" s="55">
        <f>F256</f>
        <v>10030.290209999999</v>
      </c>
      <c r="G473" s="55">
        <f>G256</f>
        <v>94.357262288666561</v>
      </c>
    </row>
    <row r="474" spans="1:7" x14ac:dyDescent="0.2">
      <c r="A474" s="6"/>
      <c r="B474" s="22" t="s">
        <v>199</v>
      </c>
      <c r="C474" s="23"/>
      <c r="D474" s="23"/>
      <c r="E474" s="55">
        <f>E267</f>
        <v>20524.000329999999</v>
      </c>
      <c r="F474" s="55">
        <f>F267</f>
        <v>19332.578440000001</v>
      </c>
      <c r="G474" s="55">
        <f>G267</f>
        <v>94.194982114385894</v>
      </c>
    </row>
    <row r="475" spans="1:7" x14ac:dyDescent="0.2">
      <c r="A475" s="6"/>
      <c r="B475" s="22" t="s">
        <v>196</v>
      </c>
      <c r="C475" s="23"/>
      <c r="D475" s="23"/>
      <c r="E475" s="55">
        <f>E272</f>
        <v>517</v>
      </c>
      <c r="F475" s="55">
        <f>F272</f>
        <v>517</v>
      </c>
      <c r="G475" s="55">
        <f>G272</f>
        <v>100</v>
      </c>
    </row>
    <row r="476" spans="1:7" x14ac:dyDescent="0.2">
      <c r="A476" s="6"/>
      <c r="B476" s="24" t="s">
        <v>200</v>
      </c>
      <c r="C476" s="23"/>
      <c r="D476" s="23"/>
      <c r="E476" s="54">
        <f>SUM(E473:E475)</f>
        <v>31671.120329999998</v>
      </c>
      <c r="F476" s="54">
        <f t="shared" ref="F476:G476" si="208">SUM(F473:F475)</f>
        <v>29879.86865</v>
      </c>
      <c r="G476" s="54">
        <f t="shared" si="208"/>
        <v>288.55224440305244</v>
      </c>
    </row>
    <row r="477" spans="1:7" x14ac:dyDescent="0.2">
      <c r="A477" s="6"/>
      <c r="B477" s="22"/>
      <c r="C477" s="23"/>
      <c r="D477" s="23"/>
      <c r="E477" s="55"/>
      <c r="F477" s="55"/>
      <c r="G477" s="55"/>
    </row>
    <row r="478" spans="1:7" x14ac:dyDescent="0.2">
      <c r="A478" s="6"/>
      <c r="B478" s="22"/>
      <c r="C478" s="23"/>
      <c r="D478" s="23"/>
      <c r="E478" s="55"/>
      <c r="F478" s="55"/>
      <c r="G478" s="55"/>
    </row>
    <row r="479" spans="1:7" x14ac:dyDescent="0.2">
      <c r="A479" s="6"/>
      <c r="B479" s="24" t="s">
        <v>0</v>
      </c>
      <c r="C479" s="23"/>
      <c r="D479" s="23"/>
      <c r="E479" s="54">
        <f>E401+E413+E415+E417+E420+E425+E412+E407</f>
        <v>13694.888429999999</v>
      </c>
      <c r="F479" s="54">
        <f>F401+F413+F415+F417+F420+F425+F412+F407</f>
        <v>12811.976859999999</v>
      </c>
      <c r="G479" s="54">
        <f>G401+G413+G415+G417+G420+G425+G412+G407</f>
        <v>781.49610698638139</v>
      </c>
    </row>
    <row r="480" spans="1:7" x14ac:dyDescent="0.2">
      <c r="A480" s="6"/>
      <c r="B480" s="23" t="s">
        <v>153</v>
      </c>
      <c r="C480" s="23"/>
      <c r="D480" s="23"/>
      <c r="E480" s="54"/>
      <c r="F480" s="54"/>
      <c r="G480" s="54"/>
    </row>
    <row r="481" spans="1:7" x14ac:dyDescent="0.2">
      <c r="A481" s="6"/>
      <c r="E481" s="55">
        <f>E437+E446+E454+E463+E465+E479+E480+E472+E476+E450</f>
        <v>771023.35564999992</v>
      </c>
      <c r="F481" s="55">
        <f>F437+F446+F454+F463+F465+F479+F480+F472+F476+F450</f>
        <v>757290.51688000013</v>
      </c>
      <c r="G481" s="55" t="e">
        <f t="shared" ref="G481" si="209">G437+G446+G454+G463+G465+G479+G480+G472+G476+G450</f>
        <v>#DIV/0!</v>
      </c>
    </row>
    <row r="482" spans="1:7" x14ac:dyDescent="0.2">
      <c r="A482" s="6"/>
      <c r="E482" s="55">
        <f>E427-E481</f>
        <v>-1.9999999785795808E-2</v>
      </c>
      <c r="F482" s="55">
        <f>F427-F481</f>
        <v>0</v>
      </c>
      <c r="G482" s="55" t="e">
        <f t="shared" ref="G482" si="210">G427-G481</f>
        <v>#DIV/0!</v>
      </c>
    </row>
    <row r="484" spans="1:7" x14ac:dyDescent="0.2">
      <c r="A484" s="6"/>
      <c r="C484" s="6">
        <v>1</v>
      </c>
      <c r="F484" s="57"/>
      <c r="G484" s="57"/>
    </row>
    <row r="485" spans="1:7" x14ac:dyDescent="0.2">
      <c r="A485" s="6"/>
      <c r="C485" s="6">
        <v>2</v>
      </c>
      <c r="F485" s="57"/>
      <c r="G485" s="57"/>
    </row>
    <row r="486" spans="1:7" x14ac:dyDescent="0.2">
      <c r="A486" s="6"/>
      <c r="C486" s="6">
        <v>3</v>
      </c>
      <c r="F486" s="57"/>
      <c r="G486" s="57"/>
    </row>
    <row r="487" spans="1:7" x14ac:dyDescent="0.2">
      <c r="A487" s="6"/>
      <c r="C487" s="6">
        <v>4</v>
      </c>
      <c r="F487" s="57"/>
      <c r="G487" s="57"/>
    </row>
    <row r="488" spans="1:7" x14ac:dyDescent="0.2">
      <c r="A488" s="6"/>
      <c r="C488" s="6">
        <v>6</v>
      </c>
      <c r="F488" s="57"/>
      <c r="G488" s="57"/>
    </row>
    <row r="489" spans="1:7" x14ac:dyDescent="0.2">
      <c r="A489" s="6"/>
      <c r="C489" s="6">
        <v>7</v>
      </c>
      <c r="F489" s="57"/>
      <c r="G489" s="57"/>
    </row>
  </sheetData>
  <mergeCells count="8">
    <mergeCell ref="C1:G1"/>
    <mergeCell ref="A3:G3"/>
    <mergeCell ref="F5:F7"/>
    <mergeCell ref="G5:G7"/>
    <mergeCell ref="B5:C6"/>
    <mergeCell ref="E5:E7"/>
    <mergeCell ref="A5:A7"/>
    <mergeCell ref="C2:G2"/>
  </mergeCells>
  <pageMargins left="0.98425196850393704" right="0" top="0" bottom="0" header="0" footer="0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11" sqref="D11"/>
    </sheetView>
  </sheetViews>
  <sheetFormatPr defaultRowHeight="15" x14ac:dyDescent="0.25"/>
  <sheetData>
    <row r="2" ht="22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 1 2021гРез фонд</vt:lpstr>
      <vt:lpstr>прил 2 СП 2021</vt:lpstr>
      <vt:lpstr>прил 3  БИ 2021</vt:lpstr>
      <vt:lpstr>прил 4 Дор фонд2021</vt:lpstr>
      <vt:lpstr>прил 5 Публ.об. 2021</vt:lpstr>
      <vt:lpstr>прил 6  МП 21г</vt:lpstr>
      <vt:lpstr>прил 7  КЦСР 21г</vt:lpstr>
      <vt:lpstr>Лист1</vt:lpstr>
      <vt:lpstr>'прил 1 2021гРез фонд'!Заголовки_для_печати</vt:lpstr>
      <vt:lpstr>'прил 2 СП 2021'!Заголовки_для_печати</vt:lpstr>
      <vt:lpstr>'прил 7  КЦСР 21г'!Заголовки_для_печати</vt:lpstr>
      <vt:lpstr>'прил 1 2021гРез фонд'!Область_печати</vt:lpstr>
      <vt:lpstr>'прил 2 СП 2021'!Область_печати</vt:lpstr>
      <vt:lpstr>'прил 3  БИ 2021'!Область_печати</vt:lpstr>
      <vt:lpstr>'прил 4 Дор фонд2021'!Область_печати</vt:lpstr>
      <vt:lpstr>'прил 5 Публ.об. 2021'!Область_печати</vt:lpstr>
      <vt:lpstr>'прил 6  МП 21г'!Область_печати</vt:lpstr>
      <vt:lpstr>'прил 7  КЦСР 21г'!Область_печати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MainAdmin</cp:lastModifiedBy>
  <cp:lastPrinted>2022-02-25T05:36:13Z</cp:lastPrinted>
  <dcterms:created xsi:type="dcterms:W3CDTF">2016-11-07T08:50:55Z</dcterms:created>
  <dcterms:modified xsi:type="dcterms:W3CDTF">2022-03-18T09:18:53Z</dcterms:modified>
</cp:coreProperties>
</file>