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 1" sheetId="1" r:id="rId1"/>
    <sheet name="Прил 2 " sheetId="2" r:id="rId2"/>
    <sheet name="прил 3" sheetId="3" r:id="rId3"/>
  </sheets>
  <definedNames>
    <definedName name="_xlnm.Print_Area" localSheetId="1">'Прил 2 '!$A$1:$E$23</definedName>
    <definedName name="_xlnm.Print_Area" localSheetId="2">'прил 3'!$A$1:$I$349</definedName>
  </definedNames>
  <calcPr fullCalcOnLoad="1"/>
</workbook>
</file>

<file path=xl/sharedStrings.xml><?xml version="1.0" encoding="utf-8"?>
<sst xmlns="http://schemas.openxmlformats.org/spreadsheetml/2006/main" count="2495" uniqueCount="341">
  <si>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</si>
  <si>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</si>
  <si>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</si>
  <si>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</si>
  <si>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</si>
  <si>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</si>
  <si>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Код цели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</si>
  <si>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</si>
  <si>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</si>
  <si>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</si>
  <si>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</si>
  <si>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</si>
  <si>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</si>
  <si>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</si>
  <si>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</si>
  <si>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</si>
  <si>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</si>
  <si>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</si>
  <si>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</si>
  <si>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074</t>
  </si>
  <si>
    <t>0701</t>
  </si>
  <si>
    <t>0710144300</t>
  </si>
  <si>
    <t>111</t>
  </si>
  <si>
    <t>2934</t>
  </si>
  <si>
    <t>119</t>
  </si>
  <si>
    <t>244</t>
  </si>
  <si>
    <t>611</t>
  </si>
  <si>
    <t>621</t>
  </si>
  <si>
    <t>0710181001</t>
  </si>
  <si>
    <t>612</t>
  </si>
  <si>
    <t>622</t>
  </si>
  <si>
    <t>3901</t>
  </si>
  <si>
    <t>851</t>
  </si>
  <si>
    <t>0710181003</t>
  </si>
  <si>
    <t>0710181004</t>
  </si>
  <si>
    <t>071018100У</t>
  </si>
  <si>
    <t>247</t>
  </si>
  <si>
    <t>071018100Ф</t>
  </si>
  <si>
    <t>07101810Д3</t>
  </si>
  <si>
    <t>07101810М3</t>
  </si>
  <si>
    <t>07101S4500</t>
  </si>
  <si>
    <t>2966</t>
  </si>
  <si>
    <t>07101S8500</t>
  </si>
  <si>
    <t>2938</t>
  </si>
  <si>
    <t>0710281017</t>
  </si>
  <si>
    <t>465</t>
  </si>
  <si>
    <t>071P24232П</t>
  </si>
  <si>
    <t>2984</t>
  </si>
  <si>
    <t>071ИПL321Y</t>
  </si>
  <si>
    <t>23384620445101200001</t>
  </si>
  <si>
    <t>0702</t>
  </si>
  <si>
    <t>112</t>
  </si>
  <si>
    <t>0710153032</t>
  </si>
  <si>
    <t>23-53030-00000-00000</t>
  </si>
  <si>
    <t>852</t>
  </si>
  <si>
    <t>07101L3042</t>
  </si>
  <si>
    <t>23-53040-00000-00002</t>
  </si>
  <si>
    <t>07101S4100</t>
  </si>
  <si>
    <t>243</t>
  </si>
  <si>
    <t>23-54670-00000-00000</t>
  </si>
  <si>
    <t>2930</t>
  </si>
  <si>
    <t>07101S4600</t>
  </si>
  <si>
    <t>2951</t>
  </si>
  <si>
    <t>07101S46М0</t>
  </si>
  <si>
    <t>2952</t>
  </si>
  <si>
    <t>0710381018</t>
  </si>
  <si>
    <t>07103L7500</t>
  </si>
  <si>
    <t>23-57500-00000-00009</t>
  </si>
  <si>
    <t>07103S7500</t>
  </si>
  <si>
    <t>2829</t>
  </si>
  <si>
    <t>071E250982</t>
  </si>
  <si>
    <t>2350980X143770000000</t>
  </si>
  <si>
    <t>071EВ51790</t>
  </si>
  <si>
    <t>23-51790-00000-00000</t>
  </si>
  <si>
    <t>0703</t>
  </si>
  <si>
    <t>024P55139П</t>
  </si>
  <si>
    <t>0720181001</t>
  </si>
  <si>
    <t>0720181004</t>
  </si>
  <si>
    <t>072018100У</t>
  </si>
  <si>
    <t>072018100Ф</t>
  </si>
  <si>
    <t>07201S7800</t>
  </si>
  <si>
    <t>2921</t>
  </si>
  <si>
    <t>07201S8500</t>
  </si>
  <si>
    <t>0720382001</t>
  </si>
  <si>
    <t>614</t>
  </si>
  <si>
    <t>624</t>
  </si>
  <si>
    <t>631</t>
  </si>
  <si>
    <t>0709</t>
  </si>
  <si>
    <t>0720247698</t>
  </si>
  <si>
    <t>2936</t>
  </si>
  <si>
    <t>321</t>
  </si>
  <si>
    <t>073А000001</t>
  </si>
  <si>
    <t>121</t>
  </si>
  <si>
    <t>122</t>
  </si>
  <si>
    <t>129</t>
  </si>
  <si>
    <t>073А0S8500</t>
  </si>
  <si>
    <t>073Ц100001</t>
  </si>
  <si>
    <t>073Ц144300</t>
  </si>
  <si>
    <t>073Ц1S8500</t>
  </si>
  <si>
    <t>1004</t>
  </si>
  <si>
    <t>0710143895</t>
  </si>
  <si>
    <t>2935</t>
  </si>
  <si>
    <t>092</t>
  </si>
  <si>
    <t>0106</t>
  </si>
  <si>
    <t>032А000001</t>
  </si>
  <si>
    <t>853</t>
  </si>
  <si>
    <t>0111</t>
  </si>
  <si>
    <t>9900000007</t>
  </si>
  <si>
    <t>870</t>
  </si>
  <si>
    <t>990000Ш500</t>
  </si>
  <si>
    <t>0412</t>
  </si>
  <si>
    <t>0620100012</t>
  </si>
  <si>
    <t>540</t>
  </si>
  <si>
    <t>0502</t>
  </si>
  <si>
    <t>0310103003</t>
  </si>
  <si>
    <t>0503</t>
  </si>
  <si>
    <t>0310103007</t>
  </si>
  <si>
    <t>0420600016</t>
  </si>
  <si>
    <t>0801</t>
  </si>
  <si>
    <t>02101S5000</t>
  </si>
  <si>
    <t>521</t>
  </si>
  <si>
    <t>2929</t>
  </si>
  <si>
    <t>02101S5100</t>
  </si>
  <si>
    <t>2922</t>
  </si>
  <si>
    <t>1101</t>
  </si>
  <si>
    <t>1301</t>
  </si>
  <si>
    <t>0310103001</t>
  </si>
  <si>
    <t>730</t>
  </si>
  <si>
    <t>1401</t>
  </si>
  <si>
    <t>0310103002</t>
  </si>
  <si>
    <t>511</t>
  </si>
  <si>
    <t>1403</t>
  </si>
  <si>
    <t>03101S8500</t>
  </si>
  <si>
    <t>800</t>
  </si>
  <si>
    <t>0102</t>
  </si>
  <si>
    <t>990А000002</t>
  </si>
  <si>
    <t>0103</t>
  </si>
  <si>
    <t>990А000001</t>
  </si>
  <si>
    <t>123</t>
  </si>
  <si>
    <t>990А000003</t>
  </si>
  <si>
    <t>0104</t>
  </si>
  <si>
    <t>015А000001</t>
  </si>
  <si>
    <t>015А0S8500</t>
  </si>
  <si>
    <t>0220143400</t>
  </si>
  <si>
    <t>2962</t>
  </si>
  <si>
    <t>0410345500</t>
  </si>
  <si>
    <t>2945</t>
  </si>
  <si>
    <t>0420141100</t>
  </si>
  <si>
    <t>2968</t>
  </si>
  <si>
    <t>0105</t>
  </si>
  <si>
    <t>0310151200</t>
  </si>
  <si>
    <t>23-51200-00000-00000</t>
  </si>
  <si>
    <t>0107</t>
  </si>
  <si>
    <t>9900000005</t>
  </si>
  <si>
    <t>880</t>
  </si>
  <si>
    <t>0113</t>
  </si>
  <si>
    <t>0210244900</t>
  </si>
  <si>
    <t>2940</t>
  </si>
  <si>
    <t>0310145300</t>
  </si>
  <si>
    <t>2967</t>
  </si>
  <si>
    <t>0310145400</t>
  </si>
  <si>
    <t>2955</t>
  </si>
  <si>
    <t>04101S2400</t>
  </si>
  <si>
    <t>360</t>
  </si>
  <si>
    <t>2904</t>
  </si>
  <si>
    <t>0440100015</t>
  </si>
  <si>
    <t>350</t>
  </si>
  <si>
    <t>0309</t>
  </si>
  <si>
    <t>0410800019</t>
  </si>
  <si>
    <t>046Ц100001</t>
  </si>
  <si>
    <t>046Ц1S8500</t>
  </si>
  <si>
    <t>0314</t>
  </si>
  <si>
    <t>0410100041</t>
  </si>
  <si>
    <t>0410200040</t>
  </si>
  <si>
    <t>0410900039</t>
  </si>
  <si>
    <t>0405</t>
  </si>
  <si>
    <t>0110101004</t>
  </si>
  <si>
    <t>0110140100</t>
  </si>
  <si>
    <t>2942</t>
  </si>
  <si>
    <t>0110140300</t>
  </si>
  <si>
    <t>2941</t>
  </si>
  <si>
    <t>0408</t>
  </si>
  <si>
    <t>0420600013</t>
  </si>
  <si>
    <t>0409</t>
  </si>
  <si>
    <t>04301200Д0</t>
  </si>
  <si>
    <t>0120142900</t>
  </si>
  <si>
    <t>2949</t>
  </si>
  <si>
    <t>0130101001</t>
  </si>
  <si>
    <t>811</t>
  </si>
  <si>
    <t>0130102007</t>
  </si>
  <si>
    <t>061010000У</t>
  </si>
  <si>
    <t>0610100013</t>
  </si>
  <si>
    <t>063Ц100001</t>
  </si>
  <si>
    <t>063Ц1S8500</t>
  </si>
  <si>
    <t>9900000009</t>
  </si>
  <si>
    <t>9900000010</t>
  </si>
  <si>
    <t>813</t>
  </si>
  <si>
    <t>9900000043</t>
  </si>
  <si>
    <t>0501</t>
  </si>
  <si>
    <t>07101S4700</t>
  </si>
  <si>
    <t>412</t>
  </si>
  <si>
    <t>2821</t>
  </si>
  <si>
    <t>0420200013</t>
  </si>
  <si>
    <t>0420200018</t>
  </si>
  <si>
    <t>04202S1300</t>
  </si>
  <si>
    <t>2975</t>
  </si>
  <si>
    <t>0420400017</t>
  </si>
  <si>
    <t>0420404005</t>
  </si>
  <si>
    <t>0420604004</t>
  </si>
  <si>
    <t>0420700018</t>
  </si>
  <si>
    <t>042И7L321W</t>
  </si>
  <si>
    <t>23-53210-00000-00005</t>
  </si>
  <si>
    <t>046Ц200001</t>
  </si>
  <si>
    <t>046Ц20000У</t>
  </si>
  <si>
    <t>046Ц2000Д1</t>
  </si>
  <si>
    <t>046Ц2000ДУ</t>
  </si>
  <si>
    <t>046Ц2S8500</t>
  </si>
  <si>
    <t>1001</t>
  </si>
  <si>
    <t>0220202006</t>
  </si>
  <si>
    <t>312</t>
  </si>
  <si>
    <t>1003</t>
  </si>
  <si>
    <t>01102L5761</t>
  </si>
  <si>
    <t>322</t>
  </si>
  <si>
    <t>23-55760-00000-00000</t>
  </si>
  <si>
    <t>23-55760-00000-01000</t>
  </si>
  <si>
    <t>02401L4970</t>
  </si>
  <si>
    <t>23-54970-00000-00000</t>
  </si>
  <si>
    <t>1202</t>
  </si>
  <si>
    <t>0140181001</t>
  </si>
  <si>
    <t>014018100Ф</t>
  </si>
  <si>
    <t>01401S8500</t>
  </si>
  <si>
    <t>014Ц100001</t>
  </si>
  <si>
    <t>014Ц1000Д1</t>
  </si>
  <si>
    <t>014Ц1S8500</t>
  </si>
  <si>
    <t>810</t>
  </si>
  <si>
    <t>0707</t>
  </si>
  <si>
    <t>0240102001</t>
  </si>
  <si>
    <t>0240102009</t>
  </si>
  <si>
    <t>0210181001</t>
  </si>
  <si>
    <t>021018100У</t>
  </si>
  <si>
    <t>021018100Ф</t>
  </si>
  <si>
    <t>02101L4670</t>
  </si>
  <si>
    <t>02101S8500</t>
  </si>
  <si>
    <t>0210681001</t>
  </si>
  <si>
    <t>021068100У</t>
  </si>
  <si>
    <t>021068100Ф</t>
  </si>
  <si>
    <t>02106L5192</t>
  </si>
  <si>
    <t>2355190X232780000000</t>
  </si>
  <si>
    <t>02106S5100</t>
  </si>
  <si>
    <t>021A255195</t>
  </si>
  <si>
    <t>2355190X100250000000</t>
  </si>
  <si>
    <t>0804</t>
  </si>
  <si>
    <t>025А000001</t>
  </si>
  <si>
    <t>025А0S8500</t>
  </si>
  <si>
    <t>025Ц100001</t>
  </si>
  <si>
    <t>025Ц10000У</t>
  </si>
  <si>
    <t>025Ц1S8500</t>
  </si>
  <si>
    <t>1006</t>
  </si>
  <si>
    <t>0220102003</t>
  </si>
  <si>
    <t>0240200046</t>
  </si>
  <si>
    <t>Итого</t>
  </si>
  <si>
    <t>Приложение №3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</si>
  <si>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финансов Онгудайского района от 28.12.2021г. №51</t>
  </si>
  <si>
    <t>Сводная бюджетная роспись расходов бюджета муниципального образования "Онгудайский район" в части предоставления межбюджетных трансфертов бюджетам сельских поселений  муниципального образования  "Онгудайский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2023 год и на плановый период 2024 и 2025 годов</t>
  </si>
  <si>
    <t>Наименование сельского поселения</t>
  </si>
  <si>
    <t>Коды бюджетной классификации</t>
  </si>
  <si>
    <t xml:space="preserve"> раздел</t>
  </si>
  <si>
    <t>подраздел</t>
  </si>
  <si>
    <t>ЦСР</t>
  </si>
  <si>
    <t>ВР</t>
  </si>
  <si>
    <t xml:space="preserve">итого </t>
  </si>
  <si>
    <t>14</t>
  </si>
  <si>
    <t>01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</si>
  <si>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</si>
  <si>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</si>
  <si>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</si>
  <si>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</si>
  <si>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</si>
  <si>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</si>
  <si>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</si>
  <si>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Купчегеньское сельское поселение</t>
  </si>
  <si>
    <t>Ининское сельское поселение</t>
  </si>
  <si>
    <t>Онгудайское сельское поселение</t>
  </si>
  <si>
    <t>итого</t>
  </si>
  <si>
    <t>03</t>
  </si>
  <si>
    <t>0310103007,</t>
  </si>
  <si>
    <t>03101S9600</t>
  </si>
  <si>
    <t>08</t>
  </si>
  <si>
    <t>11</t>
  </si>
  <si>
    <t>05</t>
  </si>
  <si>
    <t>02</t>
  </si>
  <si>
    <t>ВСЕГО  по СП</t>
  </si>
  <si>
    <t>Нераспределенная сумма</t>
  </si>
  <si>
    <t>04</t>
  </si>
  <si>
    <t>12</t>
  </si>
  <si>
    <t>Приложение  №2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</si>
  <si>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финансов Онгудайского района от 28.12.2021г. № 51</t>
  </si>
  <si>
    <t>Сводная бюджетная роспись бюджета муниципального образования  "Онгудайский район" по источникам финансирования дефицита бюджета  на  2023 год и на плановый период 2024 и 2025 годов</t>
  </si>
  <si>
    <t>Наименование источника</t>
  </si>
  <si>
    <t>Код бюджетной классификации</t>
  </si>
  <si>
    <t>Утвержденная сумма</t>
  </si>
  <si>
    <t>текущий финансовый год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</si>
  <si>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</si>
  <si>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</si>
  <si>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</si>
  <si>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</si>
  <si>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</si>
  <si>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Привлечение кредитов от кредитных организаций в валюте Российской Федерации</t>
  </si>
  <si>
    <t>092 01 02 00 00 00 0000 700</t>
  </si>
  <si>
    <t>Привлечение муниципальными районами кредитов от кредитных организаций  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</si>
  <si>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</si>
  <si>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</si>
  <si>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</si>
  <si>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 муниципальными районами кредитов от кредитных организаций в валюте Российской Федерации</t>
  </si>
  <si>
    <t>092 01 0200 00 05 0000 810</t>
  </si>
  <si>
    <t>Бюджетные кредиты из других бюджетов бюджетной системы Российской Федерации</t>
  </si>
  <si>
    <t>000 01 03 00 00 00 0000 000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</si>
  <si>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</si>
  <si>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000 01 03 00 00 00 0000 700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</si>
  <si>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Федерации, из них: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</si>
  <si>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</si>
  <si>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</si>
  <si>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800 01 03 01 00 05 0000 710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</si>
  <si>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</si>
  <si>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</si>
  <si>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</si>
  <si>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800 01 03 01 00 05 0000 810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</si>
  <si>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</si>
  <si>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</si>
  <si>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</si>
  <si>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</si>
  <si>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</si>
  <si>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</si>
  <si>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</si>
  <si>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</si>
  <si>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</si>
  <si>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000 01 05 02 01 05 0000 610</t>
  </si>
  <si>
    <t>решение Совета депутатов муниципального образования "Онгудайский район" О бюджете  муниципального образования "Онгудайский район"  на  2023 год и на плановый период 2024 и 2025 годов" от 23.12.2022г.  №37-1   ( в редакции решений №38-10  от 21.03.2023г, №2-1 от 01.11.2023г.)</t>
  </si>
  <si>
    <t>Приложение №1</t>
  </si>
  <si>
    <t>решение Совета депутатов муниципального образования "Онгудайский район" О бюджете  муниципального образования "Онгудайский район"  на  2023 год и на плановый период 2024 и 2025 годов" от 23.12.2022г.  №37-1    ( в редакции решений №38-10  от 21.03.2023г, №2-1 от 01.11.2023г.)</t>
  </si>
  <si>
    <t>Сводная бюджетная роспись расходов бюджета муниципального образования "Онгудайский район"  на 2023 год и на плановый период 2024 и 2025 годов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</si>
</sst>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58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41" fillId="20" borderId="1">
      <alignment horizontal="left" wrapTex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0" fontId="44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wrapText="1"/>
      <protection/>
    </xf>
    <xf numFmtId="0" fontId="6" fillId="0" borderId="0" xfId="55" applyFont="1" applyAlignment="1">
      <alignment vertical="center" wrapText="1"/>
      <protection/>
    </xf>
    <xf numFmtId="0" fontId="6" fillId="0" borderId="0" xfId="56" applyFont="1">
      <alignment/>
      <protection/>
    </xf>
    <xf numFmtId="0" fontId="6" fillId="0" borderId="0" xfId="55" applyFont="1" applyFill="1">
      <alignment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4" fillId="34" borderId="11" xfId="55" applyNumberFormat="1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49" fontId="8" fillId="0" borderId="11" xfId="54" applyNumberFormat="1" applyFont="1" applyFill="1" applyBorder="1" applyAlignment="1">
      <alignment horizontal="left"/>
      <protection/>
    </xf>
    <xf numFmtId="0" fontId="8" fillId="0" borderId="11" xfId="53" applyFont="1" applyBorder="1" applyAlignment="1">
      <alignment wrapText="1"/>
      <protection/>
    </xf>
    <xf numFmtId="2" fontId="8" fillId="0" borderId="11" xfId="55" applyNumberFormat="1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49" fontId="10" fillId="0" borderId="11" xfId="54" applyNumberFormat="1" applyFont="1" applyFill="1" applyBorder="1" applyAlignment="1">
      <alignment horizontal="left"/>
      <protection/>
    </xf>
    <xf numFmtId="2" fontId="10" fillId="0" borderId="11" xfId="55" applyNumberFormat="1" applyFont="1" applyFill="1" applyBorder="1" applyAlignment="1">
      <alignment horizontal="center" wrapText="1"/>
      <protection/>
    </xf>
    <xf numFmtId="2" fontId="10" fillId="0" borderId="11" xfId="55" applyNumberFormat="1" applyFont="1" applyBorder="1" applyAlignment="1">
      <alignment horizontal="center" wrapText="1"/>
      <protection/>
    </xf>
    <xf numFmtId="0" fontId="8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0" xfId="55" applyFont="1">
      <alignment/>
      <protection/>
    </xf>
    <xf numFmtId="0" fontId="10" fillId="0" borderId="11" xfId="53" applyFont="1" applyBorder="1" applyAlignment="1">
      <alignment wrapText="1"/>
      <protection/>
    </xf>
    <xf numFmtId="0" fontId="10" fillId="0" borderId="0" xfId="55" applyFont="1">
      <alignment/>
      <protection/>
    </xf>
    <xf numFmtId="2" fontId="10" fillId="0" borderId="11" xfId="55" applyNumberFormat="1" applyFont="1" applyFill="1" applyBorder="1" applyAlignment="1">
      <alignment horizontal="center"/>
      <protection/>
    </xf>
    <xf numFmtId="0" fontId="10" fillId="0" borderId="11" xfId="55" applyFont="1" applyFill="1" applyBorder="1">
      <alignment/>
      <protection/>
    </xf>
    <xf numFmtId="0" fontId="10" fillId="0" borderId="0" xfId="55" applyFont="1" applyFill="1">
      <alignment/>
      <protection/>
    </xf>
    <xf numFmtId="0" fontId="8" fillId="0" borderId="11" xfId="53" applyFont="1" applyFill="1" applyBorder="1" applyAlignment="1">
      <alignment wrapText="1"/>
      <protection/>
    </xf>
    <xf numFmtId="49" fontId="57" fillId="20" borderId="11" xfId="33" applyNumberFormat="1" applyFont="1" applyBorder="1" applyProtection="1">
      <alignment horizontal="left" wrapText="1"/>
      <protection/>
    </xf>
    <xf numFmtId="49" fontId="7" fillId="0" borderId="11" xfId="54" applyNumberFormat="1" applyFont="1" applyFill="1" applyBorder="1" applyAlignment="1">
      <alignment horizontal="left"/>
      <protection/>
    </xf>
    <xf numFmtId="0" fontId="7" fillId="0" borderId="11" xfId="53" applyFont="1" applyFill="1" applyBorder="1" applyAlignment="1">
      <alignment wrapText="1"/>
      <protection/>
    </xf>
    <xf numFmtId="2" fontId="7" fillId="0" borderId="12" xfId="55" applyNumberFormat="1" applyFont="1" applyFill="1" applyBorder="1">
      <alignment/>
      <protection/>
    </xf>
    <xf numFmtId="2" fontId="6" fillId="0" borderId="0" xfId="55" applyNumberFormat="1" applyFont="1">
      <alignment/>
      <protection/>
    </xf>
    <xf numFmtId="0" fontId="7" fillId="0" borderId="11" xfId="55" applyFont="1" applyFill="1" applyBorder="1">
      <alignment/>
      <protection/>
    </xf>
    <xf numFmtId="2" fontId="7" fillId="0" borderId="11" xfId="55" applyNumberFormat="1" applyFont="1" applyFill="1" applyBorder="1">
      <alignment/>
      <protection/>
    </xf>
    <xf numFmtId="0" fontId="7" fillId="0" borderId="11" xfId="55" applyFont="1" applyBorder="1">
      <alignment/>
      <protection/>
    </xf>
    <xf numFmtId="0" fontId="7" fillId="0" borderId="0" xfId="55" applyFont="1">
      <alignment/>
      <protection/>
    </xf>
    <xf numFmtId="0" fontId="6" fillId="0" borderId="0" xfId="54" applyFont="1" applyFill="1">
      <alignment/>
      <protection/>
    </xf>
    <xf numFmtId="2" fontId="6" fillId="0" borderId="0" xfId="55" applyNumberFormat="1" applyFont="1" applyFill="1">
      <alignment/>
      <protection/>
    </xf>
    <xf numFmtId="0" fontId="4" fillId="34" borderId="0" xfId="0" applyNumberFormat="1" applyFont="1" applyFill="1" applyBorder="1" applyAlignment="1">
      <alignment horizontal="left" vertical="top" wrapText="1"/>
    </xf>
    <xf numFmtId="0" fontId="0" fillId="0" borderId="0" xfId="0" applyNumberFormat="1" applyBorder="1" applyAlignment="1">
      <alignment/>
    </xf>
    <xf numFmtId="0" fontId="4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top" wrapText="1"/>
    </xf>
    <xf numFmtId="0" fontId="4" fillId="34" borderId="11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right" vertical="top" wrapText="1"/>
    </xf>
    <xf numFmtId="0" fontId="4" fillId="34" borderId="11" xfId="0" applyNumberFormat="1" applyFont="1" applyFill="1" applyBorder="1" applyAlignment="1">
      <alignment horizontal="right" vertical="top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top" wrapText="1"/>
    </xf>
    <xf numFmtId="0" fontId="5" fillId="34" borderId="14" xfId="0" applyNumberFormat="1" applyFont="1" applyFill="1" applyBorder="1" applyAlignment="1">
      <alignment horizontal="center" vertical="top" wrapText="1"/>
    </xf>
    <xf numFmtId="0" fontId="4" fillId="34" borderId="13" xfId="0" applyNumberFormat="1" applyFont="1" applyFill="1" applyBorder="1" applyAlignment="1">
      <alignment horizontal="center" vertical="top" wrapText="1"/>
    </xf>
    <xf numFmtId="0" fontId="4" fillId="34" borderId="14" xfId="0" applyNumberFormat="1" applyFont="1" applyFill="1" applyBorder="1" applyAlignment="1">
      <alignment horizontal="right" vertical="top" wrapText="1"/>
    </xf>
    <xf numFmtId="4" fontId="4" fillId="34" borderId="14" xfId="0" applyNumberFormat="1" applyFont="1" applyFill="1" applyBorder="1" applyAlignment="1">
      <alignment horizontal="right" vertical="top" wrapText="1"/>
    </xf>
    <xf numFmtId="4" fontId="4" fillId="34" borderId="15" xfId="0" applyNumberFormat="1" applyFont="1" applyFill="1" applyBorder="1" applyAlignment="1">
      <alignment horizontal="right" vertical="top" wrapText="1"/>
    </xf>
    <xf numFmtId="4" fontId="4" fillId="34" borderId="16" xfId="0" applyNumberFormat="1" applyFont="1" applyFill="1" applyBorder="1" applyAlignment="1">
      <alignment horizontal="right" vertical="top" wrapText="1"/>
    </xf>
    <xf numFmtId="0" fontId="0" fillId="0" borderId="0" xfId="56" applyFont="1">
      <alignment/>
      <protection/>
    </xf>
    <xf numFmtId="0" fontId="0" fillId="0" borderId="0" xfId="56" applyAlignment="1">
      <alignment horizontal="left" vertical="top"/>
      <protection/>
    </xf>
    <xf numFmtId="0" fontId="0" fillId="0" borderId="0" xfId="56" applyFont="1" applyBorder="1">
      <alignment/>
      <protection/>
    </xf>
    <xf numFmtId="0" fontId="10" fillId="0" borderId="0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wrapText="1"/>
      <protection/>
    </xf>
    <xf numFmtId="0" fontId="0" fillId="0" borderId="0" xfId="56">
      <alignment/>
      <protection/>
    </xf>
    <xf numFmtId="0" fontId="17" fillId="34" borderId="11" xfId="55" applyNumberFormat="1" applyFont="1" applyFill="1" applyBorder="1" applyAlignment="1">
      <alignment horizontal="center" vertical="center" wrapText="1"/>
      <protection/>
    </xf>
    <xf numFmtId="2" fontId="15" fillId="0" borderId="11" xfId="55" applyNumberFormat="1" applyFont="1" applyBorder="1" applyAlignment="1">
      <alignment vertical="center" wrapText="1"/>
      <protection/>
    </xf>
    <xf numFmtId="2" fontId="15" fillId="0" borderId="11" xfId="55" applyNumberFormat="1" applyFont="1" applyBorder="1" applyAlignment="1">
      <alignment horizontal="center" vertical="center" wrapText="1"/>
      <protection/>
    </xf>
    <xf numFmtId="4" fontId="15" fillId="0" borderId="11" xfId="55" applyNumberFormat="1" applyFont="1" applyBorder="1" applyAlignment="1">
      <alignment horizontal="center" vertical="center" wrapText="1"/>
      <protection/>
    </xf>
    <xf numFmtId="0" fontId="18" fillId="0" borderId="0" xfId="55" applyFont="1" applyFill="1" applyAlignment="1">
      <alignment vertical="top"/>
      <protection/>
    </xf>
    <xf numFmtId="2" fontId="18" fillId="0" borderId="11" xfId="55" applyNumberFormat="1" applyFont="1" applyBorder="1" applyAlignment="1">
      <alignment vertical="center" wrapText="1"/>
      <protection/>
    </xf>
    <xf numFmtId="2" fontId="18" fillId="0" borderId="11" xfId="55" applyNumberFormat="1" applyFont="1" applyBorder="1" applyAlignment="1">
      <alignment horizontal="center" vertical="center" wrapText="1"/>
      <protection/>
    </xf>
    <xf numFmtId="4" fontId="18" fillId="0" borderId="11" xfId="55" applyNumberFormat="1" applyFont="1" applyBorder="1" applyAlignment="1">
      <alignment horizontal="center" vertical="center" wrapText="1"/>
      <protection/>
    </xf>
    <xf numFmtId="0" fontId="15" fillId="0" borderId="0" xfId="55" applyFont="1" applyFill="1" applyAlignment="1">
      <alignment vertical="top"/>
      <protection/>
    </xf>
    <xf numFmtId="4" fontId="18" fillId="0" borderId="11" xfId="55" applyNumberFormat="1" applyFont="1" applyFill="1" applyBorder="1" applyAlignment="1">
      <alignment horizontal="center" vertical="center" wrapText="1"/>
      <protection/>
    </xf>
    <xf numFmtId="4" fontId="15" fillId="0" borderId="11" xfId="55" applyNumberFormat="1" applyFont="1" applyFill="1" applyBorder="1" applyAlignment="1">
      <alignment horizontal="center" vertical="center" wrapText="1"/>
      <protection/>
    </xf>
    <xf numFmtId="164" fontId="18" fillId="0" borderId="11" xfId="65" applyFont="1" applyFill="1" applyBorder="1" applyAlignment="1">
      <alignment horizontal="center" vertical="top" wrapText="1"/>
    </xf>
    <xf numFmtId="0" fontId="18" fillId="0" borderId="11" xfId="55" applyFont="1" applyFill="1" applyBorder="1" applyAlignment="1">
      <alignment vertical="top"/>
      <protection/>
    </xf>
    <xf numFmtId="164" fontId="15" fillId="0" borderId="11" xfId="65" applyFont="1" applyFill="1" applyBorder="1" applyAlignment="1">
      <alignment horizontal="center" vertical="top" wrapText="1"/>
    </xf>
    <xf numFmtId="0" fontId="18" fillId="0" borderId="0" xfId="55" applyFont="1" applyFill="1" applyBorder="1" applyAlignment="1">
      <alignment horizontal="center" vertical="top" wrapText="1"/>
      <protection/>
    </xf>
    <xf numFmtId="164" fontId="18" fillId="0" borderId="0" xfId="65" applyFont="1" applyFill="1" applyBorder="1" applyAlignment="1">
      <alignment horizontal="center" vertical="top" wrapText="1"/>
    </xf>
    <xf numFmtId="0" fontId="18" fillId="0" borderId="0" xfId="55" applyFont="1" applyFill="1" applyBorder="1" applyAlignment="1">
      <alignment vertical="top"/>
      <protection/>
    </xf>
    <xf numFmtId="164" fontId="18" fillId="0" borderId="0" xfId="65" applyFont="1" applyFill="1" applyBorder="1" applyAlignment="1">
      <alignment horizontal="center" vertical="top"/>
    </xf>
    <xf numFmtId="164" fontId="18" fillId="0" borderId="0" xfId="65" applyFont="1" applyFill="1" applyAlignment="1">
      <alignment horizontal="center" vertical="top"/>
    </xf>
    <xf numFmtId="164" fontId="18" fillId="0" borderId="0" xfId="65" applyFont="1" applyFill="1" applyAlignment="1">
      <alignment vertical="top"/>
    </xf>
    <xf numFmtId="165" fontId="19" fillId="0" borderId="11" xfId="0" applyNumberFormat="1" applyFont="1" applyBorder="1" applyAlignment="1">
      <alignment horizontal="center" vertical="center" wrapText="1"/>
    </xf>
    <xf numFmtId="0" fontId="6" fillId="0" borderId="0" xfId="55" applyFont="1" applyFill="1" applyAlignment="1">
      <alignment horizontal="right" wrapText="1"/>
      <protection/>
    </xf>
    <xf numFmtId="0" fontId="0" fillId="0" borderId="0" xfId="0" applyAlignment="1">
      <alignment wrapText="1"/>
    </xf>
    <xf numFmtId="0" fontId="7" fillId="0" borderId="0" xfId="55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9" fontId="6" fillId="0" borderId="0" xfId="56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right" vertical="top" wrapText="1"/>
    </xf>
    <xf numFmtId="0" fontId="4" fillId="34" borderId="15" xfId="0" applyNumberFormat="1" applyFont="1" applyFill="1" applyBorder="1" applyAlignment="1">
      <alignment horizontal="right" vertical="top" wrapText="1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6" fillId="0" borderId="0" xfId="56" applyFont="1" applyFill="1" applyAlignment="1">
      <alignment horizontal="right" vertical="top" wrapText="1"/>
      <protection/>
    </xf>
    <xf numFmtId="0" fontId="11" fillId="0" borderId="0" xfId="56" applyFont="1" applyAlignment="1">
      <alignment horizontal="left" wrapText="1"/>
      <protection/>
    </xf>
    <xf numFmtId="0" fontId="12" fillId="0" borderId="0" xfId="55" applyFont="1" applyAlignment="1">
      <alignment horizontal="left" wrapText="1"/>
      <protection/>
    </xf>
    <xf numFmtId="0" fontId="13" fillId="0" borderId="0" xfId="56" applyFont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 wrapText="1"/>
      <protection/>
    </xf>
    <xf numFmtId="49" fontId="10" fillId="0" borderId="21" xfId="56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2" fontId="15" fillId="0" borderId="22" xfId="55" applyNumberFormat="1" applyFont="1" applyBorder="1" applyAlignment="1">
      <alignment horizontal="center" vertical="center" wrapText="1"/>
      <protection/>
    </xf>
    <xf numFmtId="2" fontId="15" fillId="0" borderId="23" xfId="55" applyNumberFormat="1" applyFont="1" applyBorder="1" applyAlignment="1">
      <alignment horizontal="center" vertical="center" wrapText="1"/>
      <protection/>
    </xf>
    <xf numFmtId="0" fontId="16" fillId="0" borderId="12" xfId="55" applyFont="1" applyBorder="1" applyAlignment="1">
      <alignment horizontal="center" vertical="center" wrapText="1"/>
      <protection/>
    </xf>
    <xf numFmtId="0" fontId="15" fillId="0" borderId="22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0" fontId="15" fillId="0" borderId="24" xfId="56" applyFont="1" applyBorder="1" applyAlignment="1">
      <alignment horizontal="center" vertical="center" wrapText="1"/>
      <protection/>
    </xf>
    <xf numFmtId="0" fontId="15" fillId="0" borderId="25" xfId="56" applyFont="1" applyBorder="1" applyAlignment="1">
      <alignment horizontal="center" vertical="center" wrapText="1"/>
      <protection/>
    </xf>
    <xf numFmtId="0" fontId="15" fillId="0" borderId="26" xfId="56" applyFont="1" applyBorder="1" applyAlignment="1">
      <alignment horizontal="center" vertical="center" wrapText="1"/>
      <protection/>
    </xf>
    <xf numFmtId="0" fontId="15" fillId="0" borderId="22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 vertical="center" wrapText="1"/>
      <protection/>
    </xf>
    <xf numFmtId="2" fontId="15" fillId="0" borderId="24" xfId="55" applyNumberFormat="1" applyFont="1" applyBorder="1" applyAlignment="1">
      <alignment horizontal="center" vertical="center" wrapText="1"/>
      <protection/>
    </xf>
    <xf numFmtId="0" fontId="0" fillId="0" borderId="26" xfId="55" applyBorder="1" applyAlignment="1">
      <alignment horizontal="center" vertical="center" wrapText="1"/>
      <protection/>
    </xf>
    <xf numFmtId="0" fontId="6" fillId="0" borderId="0" xfId="55" applyFont="1" applyAlignment="1">
      <alignment horizontal="right" wrapText="1"/>
      <protection/>
    </xf>
    <xf numFmtId="0" fontId="6" fillId="0" borderId="0" xfId="55" applyFont="1" applyAlignment="1">
      <alignment wrapText="1"/>
      <protection/>
    </xf>
    <xf numFmtId="0" fontId="6" fillId="0" borderId="0" xfId="55" applyFont="1" applyAlignment="1">
      <alignment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6" xfId="54"/>
    <cellStyle name="Обычный 2" xfId="55"/>
    <cellStyle name="Обычный_прил 1,2,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37"/>
  <sheetViews>
    <sheetView tabSelected="1" view="pageBreakPreview" zoomScaleSheetLayoutView="100" zoomScalePageLayoutView="0" workbookViewId="0" topLeftCell="A175">
      <selection activeCell="H214" sqref="H214"/>
    </sheetView>
  </sheetViews>
  <sheetFormatPr defaultColWidth="9.140625" defaultRowHeight="12.75"/>
  <cols>
    <col min="1" max="1" width="11.57421875" style="1" customWidth="1"/>
    <col min="2" max="2" width="10.57421875" style="1" customWidth="1"/>
    <col min="3" max="3" width="15.00390625" style="1" customWidth="1"/>
    <col min="4" max="4" width="7.7109375" style="1" customWidth="1"/>
    <col min="5" max="5" width="11.140625" style="1" customWidth="1"/>
    <col min="6" max="6" width="14.57421875" style="1" customWidth="1"/>
    <col min="7" max="7" width="14.7109375" style="1" customWidth="1"/>
    <col min="8" max="8" width="17.57421875" style="1" customWidth="1"/>
  </cols>
  <sheetData>
    <row r="1" spans="1:249" ht="12.75">
      <c r="A1" s="2"/>
      <c r="B1" s="2"/>
      <c r="C1" s="2"/>
      <c r="D1" s="2"/>
      <c r="E1" s="82" t="s">
        <v>338</v>
      </c>
      <c r="F1" s="83"/>
      <c r="G1" s="83"/>
      <c r="H1" s="8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51" customHeight="1">
      <c r="A2" s="2"/>
      <c r="B2" s="2"/>
      <c r="C2" s="2"/>
      <c r="D2" s="2"/>
      <c r="E2" s="94" t="s">
        <v>262</v>
      </c>
      <c r="F2" s="83"/>
      <c r="G2" s="83"/>
      <c r="H2" s="8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51" customHeight="1">
      <c r="A3" s="84" t="s">
        <v>340</v>
      </c>
      <c r="B3" s="85"/>
      <c r="C3" s="85"/>
      <c r="D3" s="85"/>
      <c r="E3" s="85"/>
      <c r="F3" s="85"/>
      <c r="G3" s="85"/>
      <c r="H3" s="85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51" customHeight="1">
      <c r="A4" s="86" t="s">
        <v>337</v>
      </c>
      <c r="B4" s="87"/>
      <c r="C4" s="87"/>
      <c r="D4" s="87"/>
      <c r="E4" s="87"/>
      <c r="F4" s="87"/>
      <c r="G4" s="87"/>
      <c r="H4" s="87"/>
      <c r="I4" s="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8" s="40" customFormat="1" ht="13.5" customHeight="1" thickBot="1">
      <c r="A5" s="39"/>
      <c r="B5" s="39"/>
      <c r="C5" s="39"/>
      <c r="D5" s="39"/>
      <c r="E5" s="39"/>
      <c r="F5" s="39"/>
      <c r="G5" s="39"/>
      <c r="H5" s="39"/>
    </row>
    <row r="6" spans="1:8" s="1" customFormat="1" ht="13.5" customHeight="1">
      <c r="A6" s="93" t="s">
        <v>1</v>
      </c>
      <c r="B6" s="90"/>
      <c r="C6" s="90"/>
      <c r="D6" s="90"/>
      <c r="E6" s="90" t="s">
        <v>6</v>
      </c>
      <c r="F6" s="90" t="s">
        <v>7</v>
      </c>
      <c r="G6" s="90" t="s">
        <v>8</v>
      </c>
      <c r="H6" s="92"/>
    </row>
    <row r="7" spans="1:8" s="1" customFormat="1" ht="24.75" customHeight="1">
      <c r="A7" s="46" t="s">
        <v>2</v>
      </c>
      <c r="B7" s="41" t="s">
        <v>3</v>
      </c>
      <c r="C7" s="41" t="s">
        <v>4</v>
      </c>
      <c r="D7" s="41" t="s">
        <v>5</v>
      </c>
      <c r="E7" s="91"/>
      <c r="F7" s="91"/>
      <c r="G7" s="41" t="s">
        <v>9</v>
      </c>
      <c r="H7" s="47" t="s">
        <v>10</v>
      </c>
    </row>
    <row r="8" spans="1:8" s="1" customFormat="1" ht="13.5" customHeight="1">
      <c r="A8" s="48" t="s">
        <v>11</v>
      </c>
      <c r="B8" s="42" t="s">
        <v>12</v>
      </c>
      <c r="C8" s="42" t="s">
        <v>13</v>
      </c>
      <c r="D8" s="42" t="s">
        <v>14</v>
      </c>
      <c r="E8" s="42" t="s">
        <v>15</v>
      </c>
      <c r="F8" s="42" t="s">
        <v>16</v>
      </c>
      <c r="G8" s="42" t="s">
        <v>17</v>
      </c>
      <c r="H8" s="49" t="s">
        <v>18</v>
      </c>
    </row>
    <row r="9" spans="1:8" s="1" customFormat="1" ht="13.5" customHeight="1">
      <c r="A9" s="50" t="s">
        <v>19</v>
      </c>
      <c r="B9" s="43" t="s">
        <v>20</v>
      </c>
      <c r="C9" s="43" t="s">
        <v>21</v>
      </c>
      <c r="D9" s="43" t="s">
        <v>22</v>
      </c>
      <c r="E9" s="43" t="s">
        <v>23</v>
      </c>
      <c r="F9" s="44">
        <f>9921000.76</f>
        <v>9921000.76</v>
      </c>
      <c r="G9" s="45" t="s">
        <v>0</v>
      </c>
      <c r="H9" s="51" t="s">
        <v>0</v>
      </c>
    </row>
    <row r="10" spans="1:8" s="1" customFormat="1" ht="13.5" customHeight="1">
      <c r="A10" s="50" t="s">
        <v>19</v>
      </c>
      <c r="B10" s="43" t="s">
        <v>20</v>
      </c>
      <c r="C10" s="43" t="s">
        <v>21</v>
      </c>
      <c r="D10" s="43" t="s">
        <v>24</v>
      </c>
      <c r="E10" s="43" t="s">
        <v>23</v>
      </c>
      <c r="F10" s="44">
        <f>3532100.87</f>
        <v>3532100.87</v>
      </c>
      <c r="G10" s="45" t="s">
        <v>0</v>
      </c>
      <c r="H10" s="51" t="s">
        <v>0</v>
      </c>
    </row>
    <row r="11" spans="1:8" s="1" customFormat="1" ht="13.5" customHeight="1">
      <c r="A11" s="50" t="s">
        <v>19</v>
      </c>
      <c r="B11" s="43" t="s">
        <v>20</v>
      </c>
      <c r="C11" s="43" t="s">
        <v>21</v>
      </c>
      <c r="D11" s="43" t="s">
        <v>25</v>
      </c>
      <c r="E11" s="43" t="s">
        <v>23</v>
      </c>
      <c r="F11" s="44">
        <f>600487</f>
        <v>600487</v>
      </c>
      <c r="G11" s="45" t="s">
        <v>0</v>
      </c>
      <c r="H11" s="51" t="s">
        <v>0</v>
      </c>
    </row>
    <row r="12" spans="1:8" s="1" customFormat="1" ht="13.5" customHeight="1">
      <c r="A12" s="50" t="s">
        <v>19</v>
      </c>
      <c r="B12" s="43" t="s">
        <v>20</v>
      </c>
      <c r="C12" s="43" t="s">
        <v>21</v>
      </c>
      <c r="D12" s="43" t="s">
        <v>26</v>
      </c>
      <c r="E12" s="43" t="s">
        <v>23</v>
      </c>
      <c r="F12" s="44">
        <f>33784117.65</f>
        <v>33784117.65</v>
      </c>
      <c r="G12" s="44">
        <f>26797600</f>
        <v>26797600</v>
      </c>
      <c r="H12" s="52">
        <f>29433400</f>
        <v>29433400</v>
      </c>
    </row>
    <row r="13" spans="1:8" s="1" customFormat="1" ht="13.5" customHeight="1">
      <c r="A13" s="50" t="s">
        <v>19</v>
      </c>
      <c r="B13" s="43" t="s">
        <v>20</v>
      </c>
      <c r="C13" s="43" t="s">
        <v>21</v>
      </c>
      <c r="D13" s="43" t="s">
        <v>27</v>
      </c>
      <c r="E13" s="43" t="s">
        <v>23</v>
      </c>
      <c r="F13" s="44">
        <f>16320349.72</f>
        <v>16320349.72</v>
      </c>
      <c r="G13" s="44">
        <f>12838700</f>
        <v>12838700</v>
      </c>
      <c r="H13" s="52">
        <f>14426400</f>
        <v>14426400</v>
      </c>
    </row>
    <row r="14" spans="1:8" s="1" customFormat="1" ht="13.5" customHeight="1">
      <c r="A14" s="50" t="s">
        <v>19</v>
      </c>
      <c r="B14" s="43" t="s">
        <v>20</v>
      </c>
      <c r="C14" s="43" t="s">
        <v>28</v>
      </c>
      <c r="D14" s="43" t="s">
        <v>25</v>
      </c>
      <c r="E14" s="43" t="s">
        <v>0</v>
      </c>
      <c r="F14" s="44">
        <f>941923.96</f>
        <v>941923.96</v>
      </c>
      <c r="G14" s="45" t="s">
        <v>0</v>
      </c>
      <c r="H14" s="51" t="s">
        <v>0</v>
      </c>
    </row>
    <row r="15" spans="1:8" s="1" customFormat="1" ht="13.5" customHeight="1">
      <c r="A15" s="50" t="s">
        <v>19</v>
      </c>
      <c r="B15" s="43" t="s">
        <v>20</v>
      </c>
      <c r="C15" s="43" t="s">
        <v>28</v>
      </c>
      <c r="D15" s="43" t="s">
        <v>26</v>
      </c>
      <c r="E15" s="43" t="s">
        <v>0</v>
      </c>
      <c r="F15" s="44">
        <f>1399268.5</f>
        <v>1399268.5</v>
      </c>
      <c r="G15" s="44">
        <f>2182970</f>
        <v>2182970</v>
      </c>
      <c r="H15" s="52">
        <f>2182970</f>
        <v>2182970</v>
      </c>
    </row>
    <row r="16" spans="1:8" s="1" customFormat="1" ht="13.5" customHeight="1">
      <c r="A16" s="50" t="s">
        <v>19</v>
      </c>
      <c r="B16" s="43" t="s">
        <v>20</v>
      </c>
      <c r="C16" s="43" t="s">
        <v>28</v>
      </c>
      <c r="D16" s="43" t="s">
        <v>29</v>
      </c>
      <c r="E16" s="43" t="s">
        <v>0</v>
      </c>
      <c r="F16" s="44">
        <f>280483</f>
        <v>280483</v>
      </c>
      <c r="G16" s="44">
        <f>571600</f>
        <v>571600</v>
      </c>
      <c r="H16" s="52">
        <f>571600</f>
        <v>571600</v>
      </c>
    </row>
    <row r="17" spans="1:8" s="1" customFormat="1" ht="13.5" customHeight="1">
      <c r="A17" s="50" t="s">
        <v>19</v>
      </c>
      <c r="B17" s="43" t="s">
        <v>20</v>
      </c>
      <c r="C17" s="43" t="s">
        <v>28</v>
      </c>
      <c r="D17" s="43" t="s">
        <v>27</v>
      </c>
      <c r="E17" s="43" t="s">
        <v>0</v>
      </c>
      <c r="F17" s="44">
        <f>1113280.44</f>
        <v>1113280.44</v>
      </c>
      <c r="G17" s="44">
        <f>2093810</f>
        <v>2093810</v>
      </c>
      <c r="H17" s="52">
        <f>2093810</f>
        <v>2093810</v>
      </c>
    </row>
    <row r="18" spans="1:8" s="1" customFormat="1" ht="13.5" customHeight="1">
      <c r="A18" s="50" t="s">
        <v>19</v>
      </c>
      <c r="B18" s="43" t="s">
        <v>20</v>
      </c>
      <c r="C18" s="43" t="s">
        <v>28</v>
      </c>
      <c r="D18" s="43" t="s">
        <v>30</v>
      </c>
      <c r="E18" s="43" t="s">
        <v>0</v>
      </c>
      <c r="F18" s="44">
        <f>3715068</f>
        <v>3715068</v>
      </c>
      <c r="G18" s="44">
        <f>150000</f>
        <v>150000</v>
      </c>
      <c r="H18" s="52">
        <f>150000</f>
        <v>150000</v>
      </c>
    </row>
    <row r="19" spans="1:8" s="1" customFormat="1" ht="13.5" customHeight="1">
      <c r="A19" s="50" t="s">
        <v>19</v>
      </c>
      <c r="B19" s="43" t="s">
        <v>20</v>
      </c>
      <c r="C19" s="43" t="s">
        <v>28</v>
      </c>
      <c r="D19" s="43" t="s">
        <v>30</v>
      </c>
      <c r="E19" s="43" t="s">
        <v>31</v>
      </c>
      <c r="F19" s="44">
        <f>600000</f>
        <v>600000</v>
      </c>
      <c r="G19" s="45" t="s">
        <v>0</v>
      </c>
      <c r="H19" s="51" t="s">
        <v>0</v>
      </c>
    </row>
    <row r="20" spans="1:8" s="1" customFormat="1" ht="13.5" customHeight="1">
      <c r="A20" s="50" t="s">
        <v>19</v>
      </c>
      <c r="B20" s="43" t="s">
        <v>20</v>
      </c>
      <c r="C20" s="43" t="s">
        <v>28</v>
      </c>
      <c r="D20" s="43" t="s">
        <v>32</v>
      </c>
      <c r="E20" s="43" t="s">
        <v>0</v>
      </c>
      <c r="F20" s="44">
        <f>127624.1</f>
        <v>127624.1</v>
      </c>
      <c r="G20" s="45" t="s">
        <v>0</v>
      </c>
      <c r="H20" s="51" t="s">
        <v>0</v>
      </c>
    </row>
    <row r="21" spans="1:8" s="1" customFormat="1" ht="13.5" customHeight="1">
      <c r="A21" s="50" t="s">
        <v>19</v>
      </c>
      <c r="B21" s="43" t="s">
        <v>20</v>
      </c>
      <c r="C21" s="43" t="s">
        <v>33</v>
      </c>
      <c r="D21" s="43" t="s">
        <v>25</v>
      </c>
      <c r="E21" s="43" t="s">
        <v>0</v>
      </c>
      <c r="F21" s="44">
        <f>402548.43</f>
        <v>402548.43</v>
      </c>
      <c r="G21" s="45" t="s">
        <v>0</v>
      </c>
      <c r="H21" s="51" t="s">
        <v>0</v>
      </c>
    </row>
    <row r="22" spans="1:8" s="1" customFormat="1" ht="13.5" customHeight="1">
      <c r="A22" s="50" t="s">
        <v>19</v>
      </c>
      <c r="B22" s="43" t="s">
        <v>20</v>
      </c>
      <c r="C22" s="43" t="s">
        <v>33</v>
      </c>
      <c r="D22" s="43" t="s">
        <v>26</v>
      </c>
      <c r="E22" s="43" t="s">
        <v>0</v>
      </c>
      <c r="F22" s="44">
        <f>218372.67</f>
        <v>218372.67</v>
      </c>
      <c r="G22" s="44">
        <f>182684</f>
        <v>182684</v>
      </c>
      <c r="H22" s="52">
        <f>182684</f>
        <v>182684</v>
      </c>
    </row>
    <row r="23" spans="1:8" s="1" customFormat="1" ht="13.5" customHeight="1">
      <c r="A23" s="50" t="s">
        <v>19</v>
      </c>
      <c r="B23" s="43" t="s">
        <v>20</v>
      </c>
      <c r="C23" s="43" t="s">
        <v>33</v>
      </c>
      <c r="D23" s="43" t="s">
        <v>27</v>
      </c>
      <c r="E23" s="43" t="s">
        <v>0</v>
      </c>
      <c r="F23" s="44">
        <f>46078.9</f>
        <v>46078.9</v>
      </c>
      <c r="G23" s="44">
        <f>84316</f>
        <v>84316</v>
      </c>
      <c r="H23" s="52">
        <f>84316</f>
        <v>84316</v>
      </c>
    </row>
    <row r="24" spans="1:8" s="1" customFormat="1" ht="13.5" customHeight="1">
      <c r="A24" s="50" t="s">
        <v>19</v>
      </c>
      <c r="B24" s="43" t="s">
        <v>20</v>
      </c>
      <c r="C24" s="43" t="s">
        <v>34</v>
      </c>
      <c r="D24" s="43" t="s">
        <v>25</v>
      </c>
      <c r="E24" s="43" t="s">
        <v>0</v>
      </c>
      <c r="F24" s="44">
        <f>253786</f>
        <v>253786</v>
      </c>
      <c r="G24" s="45" t="s">
        <v>0</v>
      </c>
      <c r="H24" s="51" t="s">
        <v>0</v>
      </c>
    </row>
    <row r="25" spans="1:8" s="1" customFormat="1" ht="13.5" customHeight="1">
      <c r="A25" s="50" t="s">
        <v>19</v>
      </c>
      <c r="B25" s="43" t="s">
        <v>20</v>
      </c>
      <c r="C25" s="43" t="s">
        <v>34</v>
      </c>
      <c r="D25" s="43" t="s">
        <v>26</v>
      </c>
      <c r="E25" s="43" t="s">
        <v>0</v>
      </c>
      <c r="F25" s="44">
        <f>64589</f>
        <v>64589</v>
      </c>
      <c r="G25" s="44">
        <f>194000</f>
        <v>194000</v>
      </c>
      <c r="H25" s="52">
        <f>194000</f>
        <v>194000</v>
      </c>
    </row>
    <row r="26" spans="1:8" s="1" customFormat="1" ht="13.5" customHeight="1">
      <c r="A26" s="50" t="s">
        <v>19</v>
      </c>
      <c r="B26" s="43" t="s">
        <v>20</v>
      </c>
      <c r="C26" s="43" t="s">
        <v>34</v>
      </c>
      <c r="D26" s="43" t="s">
        <v>27</v>
      </c>
      <c r="E26" s="43" t="s">
        <v>0</v>
      </c>
      <c r="F26" s="44">
        <f>260625</f>
        <v>260625</v>
      </c>
      <c r="G26" s="44">
        <f>385000</f>
        <v>385000</v>
      </c>
      <c r="H26" s="52">
        <f>385000</f>
        <v>385000</v>
      </c>
    </row>
    <row r="27" spans="1:8" s="1" customFormat="1" ht="13.5" customHeight="1">
      <c r="A27" s="50" t="s">
        <v>19</v>
      </c>
      <c r="B27" s="43" t="s">
        <v>20</v>
      </c>
      <c r="C27" s="43" t="s">
        <v>35</v>
      </c>
      <c r="D27" s="43" t="s">
        <v>25</v>
      </c>
      <c r="E27" s="43" t="s">
        <v>0</v>
      </c>
      <c r="F27" s="44">
        <f>260226.72</f>
        <v>260226.72</v>
      </c>
      <c r="G27" s="45" t="s">
        <v>0</v>
      </c>
      <c r="H27" s="51" t="s">
        <v>0</v>
      </c>
    </row>
    <row r="28" spans="1:8" s="1" customFormat="1" ht="13.5" customHeight="1">
      <c r="A28" s="50" t="s">
        <v>19</v>
      </c>
      <c r="B28" s="43" t="s">
        <v>20</v>
      </c>
      <c r="C28" s="43" t="s">
        <v>35</v>
      </c>
      <c r="D28" s="43" t="s">
        <v>36</v>
      </c>
      <c r="E28" s="43" t="s">
        <v>0</v>
      </c>
      <c r="F28" s="44">
        <f>709975.92</f>
        <v>709975.92</v>
      </c>
      <c r="G28" s="45" t="s">
        <v>0</v>
      </c>
      <c r="H28" s="51" t="s">
        <v>0</v>
      </c>
    </row>
    <row r="29" spans="1:8" s="1" customFormat="1" ht="13.5" customHeight="1">
      <c r="A29" s="50" t="s">
        <v>19</v>
      </c>
      <c r="B29" s="43" t="s">
        <v>20</v>
      </c>
      <c r="C29" s="43" t="s">
        <v>35</v>
      </c>
      <c r="D29" s="43" t="s">
        <v>27</v>
      </c>
      <c r="E29" s="43" t="s">
        <v>0</v>
      </c>
      <c r="F29" s="44">
        <f>2694579.36</f>
        <v>2694579.36</v>
      </c>
      <c r="G29" s="44">
        <f>3900500</f>
        <v>3900500</v>
      </c>
      <c r="H29" s="52">
        <f>3900500</f>
        <v>3900500</v>
      </c>
    </row>
    <row r="30" spans="1:8" s="1" customFormat="1" ht="13.5" customHeight="1">
      <c r="A30" s="50" t="s">
        <v>19</v>
      </c>
      <c r="B30" s="43" t="s">
        <v>20</v>
      </c>
      <c r="C30" s="43" t="s">
        <v>37</v>
      </c>
      <c r="D30" s="43" t="s">
        <v>22</v>
      </c>
      <c r="E30" s="43" t="s">
        <v>0</v>
      </c>
      <c r="F30" s="44">
        <f>446661.26</f>
        <v>446661.26</v>
      </c>
      <c r="G30" s="45" t="s">
        <v>0</v>
      </c>
      <c r="H30" s="51" t="s">
        <v>0</v>
      </c>
    </row>
    <row r="31" spans="1:8" s="1" customFormat="1" ht="13.5" customHeight="1">
      <c r="A31" s="50" t="s">
        <v>19</v>
      </c>
      <c r="B31" s="43" t="s">
        <v>20</v>
      </c>
      <c r="C31" s="43" t="s">
        <v>37</v>
      </c>
      <c r="D31" s="43" t="s">
        <v>24</v>
      </c>
      <c r="E31" s="43" t="s">
        <v>0</v>
      </c>
      <c r="F31" s="44">
        <f>161671.79</f>
        <v>161671.79</v>
      </c>
      <c r="G31" s="45" t="s">
        <v>0</v>
      </c>
      <c r="H31" s="51" t="s">
        <v>0</v>
      </c>
    </row>
    <row r="32" spans="1:8" s="1" customFormat="1" ht="13.5" customHeight="1">
      <c r="A32" s="50" t="s">
        <v>19</v>
      </c>
      <c r="B32" s="43" t="s">
        <v>20</v>
      </c>
      <c r="C32" s="43" t="s">
        <v>37</v>
      </c>
      <c r="D32" s="43" t="s">
        <v>26</v>
      </c>
      <c r="E32" s="43" t="s">
        <v>0</v>
      </c>
      <c r="F32" s="44">
        <f>8770298.15</f>
        <v>8770298.15</v>
      </c>
      <c r="G32" s="44">
        <f>9239875</f>
        <v>9239875</v>
      </c>
      <c r="H32" s="52">
        <f>9239875</f>
        <v>9239875</v>
      </c>
    </row>
    <row r="33" spans="1:8" s="1" customFormat="1" ht="13.5" customHeight="1">
      <c r="A33" s="50" t="s">
        <v>19</v>
      </c>
      <c r="B33" s="43" t="s">
        <v>20</v>
      </c>
      <c r="C33" s="43" t="s">
        <v>37</v>
      </c>
      <c r="D33" s="43" t="s">
        <v>27</v>
      </c>
      <c r="E33" s="43" t="s">
        <v>0</v>
      </c>
      <c r="F33" s="44">
        <f>2479048.8</f>
        <v>2479048.8</v>
      </c>
      <c r="G33" s="44">
        <f>2617805</f>
        <v>2617805</v>
      </c>
      <c r="H33" s="52">
        <f>2617805</f>
        <v>2617805</v>
      </c>
    </row>
    <row r="34" spans="1:8" s="1" customFormat="1" ht="13.5" customHeight="1">
      <c r="A34" s="50" t="s">
        <v>19</v>
      </c>
      <c r="B34" s="43" t="s">
        <v>20</v>
      </c>
      <c r="C34" s="43" t="s">
        <v>38</v>
      </c>
      <c r="D34" s="43" t="s">
        <v>25</v>
      </c>
      <c r="E34" s="43" t="s">
        <v>0</v>
      </c>
      <c r="F34" s="44">
        <f>8204000</f>
        <v>8204000</v>
      </c>
      <c r="G34" s="45" t="s">
        <v>0</v>
      </c>
      <c r="H34" s="51" t="s">
        <v>0</v>
      </c>
    </row>
    <row r="35" spans="1:8" s="1" customFormat="1" ht="13.5" customHeight="1">
      <c r="A35" s="50" t="s">
        <v>19</v>
      </c>
      <c r="B35" s="43" t="s">
        <v>20</v>
      </c>
      <c r="C35" s="43" t="s">
        <v>39</v>
      </c>
      <c r="D35" s="43" t="s">
        <v>25</v>
      </c>
      <c r="E35" s="43" t="s">
        <v>0</v>
      </c>
      <c r="F35" s="44">
        <f>69000</f>
        <v>69000</v>
      </c>
      <c r="G35" s="45" t="s">
        <v>0</v>
      </c>
      <c r="H35" s="51" t="s">
        <v>0</v>
      </c>
    </row>
    <row r="36" spans="1:8" s="1" customFormat="1" ht="13.5" customHeight="1">
      <c r="A36" s="50" t="s">
        <v>19</v>
      </c>
      <c r="B36" s="43" t="s">
        <v>20</v>
      </c>
      <c r="C36" s="43" t="s">
        <v>39</v>
      </c>
      <c r="D36" s="43" t="s">
        <v>26</v>
      </c>
      <c r="E36" s="43" t="s">
        <v>0</v>
      </c>
      <c r="F36" s="44">
        <f>81000</f>
        <v>81000</v>
      </c>
      <c r="G36" s="45" t="s">
        <v>0</v>
      </c>
      <c r="H36" s="51" t="s">
        <v>0</v>
      </c>
    </row>
    <row r="37" spans="1:8" s="1" customFormat="1" ht="13.5" customHeight="1">
      <c r="A37" s="50" t="s">
        <v>19</v>
      </c>
      <c r="B37" s="43" t="s">
        <v>20</v>
      </c>
      <c r="C37" s="43" t="s">
        <v>40</v>
      </c>
      <c r="D37" s="43" t="s">
        <v>27</v>
      </c>
      <c r="E37" s="43" t="s">
        <v>41</v>
      </c>
      <c r="F37" s="44">
        <f>69600</f>
        <v>69600</v>
      </c>
      <c r="G37" s="44">
        <f>69600</f>
        <v>69600</v>
      </c>
      <c r="H37" s="52">
        <f>69600</f>
        <v>69600</v>
      </c>
    </row>
    <row r="38" spans="1:8" s="1" customFormat="1" ht="13.5" customHeight="1">
      <c r="A38" s="50" t="s">
        <v>19</v>
      </c>
      <c r="B38" s="43" t="s">
        <v>20</v>
      </c>
      <c r="C38" s="43" t="s">
        <v>42</v>
      </c>
      <c r="D38" s="43" t="s">
        <v>22</v>
      </c>
      <c r="E38" s="43" t="s">
        <v>43</v>
      </c>
      <c r="F38" s="44">
        <f>871658.43</f>
        <v>871658.43</v>
      </c>
      <c r="G38" s="45" t="s">
        <v>0</v>
      </c>
      <c r="H38" s="51" t="s">
        <v>0</v>
      </c>
    </row>
    <row r="39" spans="1:8" s="1" customFormat="1" ht="13.5" customHeight="1">
      <c r="A39" s="50" t="s">
        <v>19</v>
      </c>
      <c r="B39" s="43" t="s">
        <v>20</v>
      </c>
      <c r="C39" s="43" t="s">
        <v>42</v>
      </c>
      <c r="D39" s="43" t="s">
        <v>24</v>
      </c>
      <c r="E39" s="43" t="s">
        <v>43</v>
      </c>
      <c r="F39" s="44">
        <f>568888.03</f>
        <v>568888.03</v>
      </c>
      <c r="G39" s="45" t="s">
        <v>0</v>
      </c>
      <c r="H39" s="51" t="s">
        <v>0</v>
      </c>
    </row>
    <row r="40" spans="1:8" s="1" customFormat="1" ht="13.5" customHeight="1">
      <c r="A40" s="50" t="s">
        <v>19</v>
      </c>
      <c r="B40" s="43" t="s">
        <v>20</v>
      </c>
      <c r="C40" s="43" t="s">
        <v>42</v>
      </c>
      <c r="D40" s="43" t="s">
        <v>26</v>
      </c>
      <c r="E40" s="43" t="s">
        <v>43</v>
      </c>
      <c r="F40" s="44">
        <f>8315826.31</f>
        <v>8315826.31</v>
      </c>
      <c r="G40" s="44">
        <f>5173460</f>
        <v>5173460</v>
      </c>
      <c r="H40" s="51" t="s">
        <v>0</v>
      </c>
    </row>
    <row r="41" spans="1:8" s="1" customFormat="1" ht="13.5" customHeight="1">
      <c r="A41" s="50" t="s">
        <v>19</v>
      </c>
      <c r="B41" s="43" t="s">
        <v>20</v>
      </c>
      <c r="C41" s="43" t="s">
        <v>42</v>
      </c>
      <c r="D41" s="43" t="s">
        <v>27</v>
      </c>
      <c r="E41" s="43" t="s">
        <v>43</v>
      </c>
      <c r="F41" s="44">
        <f>3070217.23</f>
        <v>3070217.23</v>
      </c>
      <c r="G41" s="44">
        <f>1972000</f>
        <v>1972000</v>
      </c>
      <c r="H41" s="51" t="s">
        <v>0</v>
      </c>
    </row>
    <row r="42" spans="1:8" s="1" customFormat="1" ht="13.5" customHeight="1">
      <c r="A42" s="50" t="s">
        <v>19</v>
      </c>
      <c r="B42" s="43" t="s">
        <v>20</v>
      </c>
      <c r="C42" s="43" t="s">
        <v>44</v>
      </c>
      <c r="D42" s="43" t="s">
        <v>45</v>
      </c>
      <c r="E42" s="43" t="s">
        <v>0</v>
      </c>
      <c r="F42" s="45" t="s">
        <v>0</v>
      </c>
      <c r="G42" s="44">
        <f>15885304.32</f>
        <v>15885304.32</v>
      </c>
      <c r="H42" s="51" t="s">
        <v>0</v>
      </c>
    </row>
    <row r="43" spans="1:8" s="1" customFormat="1" ht="13.5" customHeight="1">
      <c r="A43" s="50" t="s">
        <v>19</v>
      </c>
      <c r="B43" s="43" t="s">
        <v>20</v>
      </c>
      <c r="C43" s="43" t="s">
        <v>44</v>
      </c>
      <c r="D43" s="43" t="s">
        <v>45</v>
      </c>
      <c r="E43" s="43" t="s">
        <v>31</v>
      </c>
      <c r="F43" s="44">
        <f>6463800.55</f>
        <v>6463800.55</v>
      </c>
      <c r="G43" s="45" t="s">
        <v>0</v>
      </c>
      <c r="H43" s="51" t="s">
        <v>0</v>
      </c>
    </row>
    <row r="44" spans="1:8" s="1" customFormat="1" ht="13.5" customHeight="1">
      <c r="A44" s="50" t="s">
        <v>19</v>
      </c>
      <c r="B44" s="43" t="s">
        <v>20</v>
      </c>
      <c r="C44" s="43" t="s">
        <v>46</v>
      </c>
      <c r="D44" s="43" t="s">
        <v>45</v>
      </c>
      <c r="E44" s="43" t="s">
        <v>47</v>
      </c>
      <c r="F44" s="44">
        <f>31760620</f>
        <v>31760620</v>
      </c>
      <c r="G44" s="45" t="s">
        <v>0</v>
      </c>
      <c r="H44" s="51" t="s">
        <v>0</v>
      </c>
    </row>
    <row r="45" spans="1:8" s="1" customFormat="1" ht="33.75" customHeight="1">
      <c r="A45" s="50" t="s">
        <v>19</v>
      </c>
      <c r="B45" s="43" t="s">
        <v>20</v>
      </c>
      <c r="C45" s="43" t="s">
        <v>48</v>
      </c>
      <c r="D45" s="43" t="s">
        <v>45</v>
      </c>
      <c r="E45" s="43" t="s">
        <v>49</v>
      </c>
      <c r="F45" s="44">
        <f>10390000</f>
        <v>10390000</v>
      </c>
      <c r="G45" s="45" t="s">
        <v>0</v>
      </c>
      <c r="H45" s="51" t="s">
        <v>0</v>
      </c>
    </row>
    <row r="46" spans="1:8" s="1" customFormat="1" ht="13.5" customHeight="1">
      <c r="A46" s="50" t="s">
        <v>19</v>
      </c>
      <c r="B46" s="43" t="s">
        <v>50</v>
      </c>
      <c r="C46" s="43" t="s">
        <v>21</v>
      </c>
      <c r="D46" s="43" t="s">
        <v>22</v>
      </c>
      <c r="E46" s="43" t="s">
        <v>23</v>
      </c>
      <c r="F46" s="44">
        <f>16659934.83</f>
        <v>16659934.83</v>
      </c>
      <c r="G46" s="45" t="s">
        <v>0</v>
      </c>
      <c r="H46" s="51" t="s">
        <v>0</v>
      </c>
    </row>
    <row r="47" spans="1:8" s="1" customFormat="1" ht="13.5" customHeight="1">
      <c r="A47" s="50" t="s">
        <v>19</v>
      </c>
      <c r="B47" s="43" t="s">
        <v>50</v>
      </c>
      <c r="C47" s="43" t="s">
        <v>21</v>
      </c>
      <c r="D47" s="43" t="s">
        <v>51</v>
      </c>
      <c r="E47" s="43" t="s">
        <v>23</v>
      </c>
      <c r="F47" s="44">
        <f>119100</f>
        <v>119100</v>
      </c>
      <c r="G47" s="45" t="s">
        <v>0</v>
      </c>
      <c r="H47" s="51" t="s">
        <v>0</v>
      </c>
    </row>
    <row r="48" spans="1:8" s="1" customFormat="1" ht="13.5" customHeight="1">
      <c r="A48" s="50" t="s">
        <v>19</v>
      </c>
      <c r="B48" s="43" t="s">
        <v>50</v>
      </c>
      <c r="C48" s="43" t="s">
        <v>21</v>
      </c>
      <c r="D48" s="43" t="s">
        <v>24</v>
      </c>
      <c r="E48" s="43" t="s">
        <v>23</v>
      </c>
      <c r="F48" s="44">
        <f>5631481.93</f>
        <v>5631481.93</v>
      </c>
      <c r="G48" s="45" t="s">
        <v>0</v>
      </c>
      <c r="H48" s="51" t="s">
        <v>0</v>
      </c>
    </row>
    <row r="49" spans="1:8" s="1" customFormat="1" ht="13.5" customHeight="1">
      <c r="A49" s="50" t="s">
        <v>19</v>
      </c>
      <c r="B49" s="43" t="s">
        <v>50</v>
      </c>
      <c r="C49" s="43" t="s">
        <v>21</v>
      </c>
      <c r="D49" s="43" t="s">
        <v>25</v>
      </c>
      <c r="E49" s="43" t="s">
        <v>23</v>
      </c>
      <c r="F49" s="44">
        <f>1033966.5</f>
        <v>1033966.5</v>
      </c>
      <c r="G49" s="45" t="s">
        <v>0</v>
      </c>
      <c r="H49" s="51" t="s">
        <v>0</v>
      </c>
    </row>
    <row r="50" spans="1:8" s="1" customFormat="1" ht="13.5" customHeight="1">
      <c r="A50" s="50" t="s">
        <v>19</v>
      </c>
      <c r="B50" s="43" t="s">
        <v>50</v>
      </c>
      <c r="C50" s="43" t="s">
        <v>21</v>
      </c>
      <c r="D50" s="43" t="s">
        <v>26</v>
      </c>
      <c r="E50" s="43" t="s">
        <v>23</v>
      </c>
      <c r="F50" s="44">
        <f>169780426.74</f>
        <v>169780426.74</v>
      </c>
      <c r="G50" s="44">
        <f>111982300</f>
        <v>111982300</v>
      </c>
      <c r="H50" s="52">
        <f>123914800</f>
        <v>123914800</v>
      </c>
    </row>
    <row r="51" spans="1:8" s="1" customFormat="1" ht="33.75" customHeight="1">
      <c r="A51" s="50" t="s">
        <v>19</v>
      </c>
      <c r="B51" s="43" t="s">
        <v>50</v>
      </c>
      <c r="C51" s="43" t="s">
        <v>52</v>
      </c>
      <c r="D51" s="43" t="s">
        <v>22</v>
      </c>
      <c r="E51" s="43" t="s">
        <v>53</v>
      </c>
      <c r="F51" s="44">
        <f>3707327.85</f>
        <v>3707327.85</v>
      </c>
      <c r="G51" s="45" t="s">
        <v>0</v>
      </c>
      <c r="H51" s="51" t="s">
        <v>0</v>
      </c>
    </row>
    <row r="52" spans="1:8" s="1" customFormat="1" ht="33.75" customHeight="1">
      <c r="A52" s="50" t="s">
        <v>19</v>
      </c>
      <c r="B52" s="43" t="s">
        <v>50</v>
      </c>
      <c r="C52" s="43" t="s">
        <v>52</v>
      </c>
      <c r="D52" s="43" t="s">
        <v>24</v>
      </c>
      <c r="E52" s="43" t="s">
        <v>53</v>
      </c>
      <c r="F52" s="44">
        <f>1143936.87</f>
        <v>1143936.87</v>
      </c>
      <c r="G52" s="45" t="s">
        <v>0</v>
      </c>
      <c r="H52" s="51" t="s">
        <v>0</v>
      </c>
    </row>
    <row r="53" spans="1:8" s="1" customFormat="1" ht="33.75" customHeight="1">
      <c r="A53" s="50" t="s">
        <v>19</v>
      </c>
      <c r="B53" s="43" t="s">
        <v>50</v>
      </c>
      <c r="C53" s="43" t="s">
        <v>52</v>
      </c>
      <c r="D53" s="43" t="s">
        <v>29</v>
      </c>
      <c r="E53" s="43" t="s">
        <v>53</v>
      </c>
      <c r="F53" s="44">
        <f>15422935.28</f>
        <v>15422935.28</v>
      </c>
      <c r="G53" s="44">
        <f>20906900</f>
        <v>20906900</v>
      </c>
      <c r="H53" s="52">
        <f>20906900</f>
        <v>20906900</v>
      </c>
    </row>
    <row r="54" spans="1:8" s="1" customFormat="1" ht="13.5" customHeight="1">
      <c r="A54" s="50" t="s">
        <v>19</v>
      </c>
      <c r="B54" s="43" t="s">
        <v>50</v>
      </c>
      <c r="C54" s="43" t="s">
        <v>28</v>
      </c>
      <c r="D54" s="43" t="s">
        <v>51</v>
      </c>
      <c r="E54" s="43" t="s">
        <v>0</v>
      </c>
      <c r="F54" s="44">
        <f>407</f>
        <v>407</v>
      </c>
      <c r="G54" s="45" t="s">
        <v>0</v>
      </c>
      <c r="H54" s="51" t="s">
        <v>0</v>
      </c>
    </row>
    <row r="55" spans="1:8" s="1" customFormat="1" ht="13.5" customHeight="1">
      <c r="A55" s="50" t="s">
        <v>19</v>
      </c>
      <c r="B55" s="43" t="s">
        <v>50</v>
      </c>
      <c r="C55" s="43" t="s">
        <v>28</v>
      </c>
      <c r="D55" s="43" t="s">
        <v>25</v>
      </c>
      <c r="E55" s="43" t="s">
        <v>0</v>
      </c>
      <c r="F55" s="44">
        <f>15528738.68</f>
        <v>15528738.68</v>
      </c>
      <c r="G55" s="45" t="s">
        <v>0</v>
      </c>
      <c r="H55" s="51" t="s">
        <v>0</v>
      </c>
    </row>
    <row r="56" spans="1:8" s="1" customFormat="1" ht="13.5" customHeight="1">
      <c r="A56" s="50" t="s">
        <v>19</v>
      </c>
      <c r="B56" s="43" t="s">
        <v>50</v>
      </c>
      <c r="C56" s="43" t="s">
        <v>28</v>
      </c>
      <c r="D56" s="43" t="s">
        <v>26</v>
      </c>
      <c r="E56" s="43" t="s">
        <v>0</v>
      </c>
      <c r="F56" s="44">
        <f>18708191.98</f>
        <v>18708191.98</v>
      </c>
      <c r="G56" s="44">
        <f>21769385.24</f>
        <v>21769385.24</v>
      </c>
      <c r="H56" s="52">
        <f>33387971.32</f>
        <v>33387971.32</v>
      </c>
    </row>
    <row r="57" spans="1:8" s="1" customFormat="1" ht="13.5" customHeight="1">
      <c r="A57" s="50" t="s">
        <v>19</v>
      </c>
      <c r="B57" s="43" t="s">
        <v>50</v>
      </c>
      <c r="C57" s="43" t="s">
        <v>28</v>
      </c>
      <c r="D57" s="43" t="s">
        <v>29</v>
      </c>
      <c r="E57" s="43" t="s">
        <v>0</v>
      </c>
      <c r="F57" s="44">
        <f>4318768.11</f>
        <v>4318768.11</v>
      </c>
      <c r="G57" s="44">
        <f>1158200</f>
        <v>1158200</v>
      </c>
      <c r="H57" s="52">
        <f>1158200</f>
        <v>1158200</v>
      </c>
    </row>
    <row r="58" spans="1:8" s="1" customFormat="1" ht="13.5" customHeight="1">
      <c r="A58" s="50" t="s">
        <v>19</v>
      </c>
      <c r="B58" s="43" t="s">
        <v>50</v>
      </c>
      <c r="C58" s="43" t="s">
        <v>28</v>
      </c>
      <c r="D58" s="43" t="s">
        <v>32</v>
      </c>
      <c r="E58" s="43" t="s">
        <v>0</v>
      </c>
      <c r="F58" s="44">
        <f>1486111.2</f>
        <v>1486111.2</v>
      </c>
      <c r="G58" s="45" t="s">
        <v>0</v>
      </c>
      <c r="H58" s="51" t="s">
        <v>0</v>
      </c>
    </row>
    <row r="59" spans="1:8" s="1" customFormat="1" ht="13.5" customHeight="1">
      <c r="A59" s="50" t="s">
        <v>19</v>
      </c>
      <c r="B59" s="43" t="s">
        <v>50</v>
      </c>
      <c r="C59" s="43" t="s">
        <v>28</v>
      </c>
      <c r="D59" s="43" t="s">
        <v>54</v>
      </c>
      <c r="E59" s="43" t="s">
        <v>0</v>
      </c>
      <c r="F59" s="44">
        <f>28809.04</f>
        <v>28809.04</v>
      </c>
      <c r="G59" s="45" t="s">
        <v>0</v>
      </c>
      <c r="H59" s="51" t="s">
        <v>0</v>
      </c>
    </row>
    <row r="60" spans="1:8" s="1" customFormat="1" ht="13.5" customHeight="1">
      <c r="A60" s="50" t="s">
        <v>19</v>
      </c>
      <c r="B60" s="43" t="s">
        <v>50</v>
      </c>
      <c r="C60" s="43" t="s">
        <v>33</v>
      </c>
      <c r="D60" s="43" t="s">
        <v>25</v>
      </c>
      <c r="E60" s="43" t="s">
        <v>0</v>
      </c>
      <c r="F60" s="44">
        <f>751309.95</f>
        <v>751309.95</v>
      </c>
      <c r="G60" s="45" t="s">
        <v>0</v>
      </c>
      <c r="H60" s="51" t="s">
        <v>0</v>
      </c>
    </row>
    <row r="61" spans="1:8" s="1" customFormat="1" ht="13.5" customHeight="1">
      <c r="A61" s="50" t="s">
        <v>19</v>
      </c>
      <c r="B61" s="43" t="s">
        <v>50</v>
      </c>
      <c r="C61" s="43" t="s">
        <v>33</v>
      </c>
      <c r="D61" s="43" t="s">
        <v>26</v>
      </c>
      <c r="E61" s="43" t="s">
        <v>0</v>
      </c>
      <c r="F61" s="44">
        <f>2665340.44</f>
        <v>2665340.44</v>
      </c>
      <c r="G61" s="44">
        <f>3416650</f>
        <v>3416650</v>
      </c>
      <c r="H61" s="52">
        <f>3416650</f>
        <v>3416650</v>
      </c>
    </row>
    <row r="62" spans="1:8" s="1" customFormat="1" ht="13.5" customHeight="1">
      <c r="A62" s="50" t="s">
        <v>19</v>
      </c>
      <c r="B62" s="43" t="s">
        <v>50</v>
      </c>
      <c r="C62" s="43" t="s">
        <v>34</v>
      </c>
      <c r="D62" s="43" t="s">
        <v>25</v>
      </c>
      <c r="E62" s="43" t="s">
        <v>0</v>
      </c>
      <c r="F62" s="44">
        <f>167511</f>
        <v>167511</v>
      </c>
      <c r="G62" s="45" t="s">
        <v>0</v>
      </c>
      <c r="H62" s="51" t="s">
        <v>0</v>
      </c>
    </row>
    <row r="63" spans="1:8" s="1" customFormat="1" ht="13.5" customHeight="1">
      <c r="A63" s="50" t="s">
        <v>19</v>
      </c>
      <c r="B63" s="43" t="s">
        <v>50</v>
      </c>
      <c r="C63" s="43" t="s">
        <v>34</v>
      </c>
      <c r="D63" s="43" t="s">
        <v>26</v>
      </c>
      <c r="E63" s="43" t="s">
        <v>0</v>
      </c>
      <c r="F63" s="44">
        <f>1820689</f>
        <v>1820689</v>
      </c>
      <c r="G63" s="44">
        <f>1988200</f>
        <v>1988200</v>
      </c>
      <c r="H63" s="52">
        <f>1988200</f>
        <v>1988200</v>
      </c>
    </row>
    <row r="64" spans="1:8" s="1" customFormat="1" ht="13.5" customHeight="1">
      <c r="A64" s="50" t="s">
        <v>19</v>
      </c>
      <c r="B64" s="43" t="s">
        <v>50</v>
      </c>
      <c r="C64" s="43" t="s">
        <v>35</v>
      </c>
      <c r="D64" s="43" t="s">
        <v>25</v>
      </c>
      <c r="E64" s="43" t="s">
        <v>0</v>
      </c>
      <c r="F64" s="44">
        <f>2031829.94</f>
        <v>2031829.94</v>
      </c>
      <c r="G64" s="45" t="s">
        <v>0</v>
      </c>
      <c r="H64" s="51" t="s">
        <v>0</v>
      </c>
    </row>
    <row r="65" spans="1:8" s="1" customFormat="1" ht="13.5" customHeight="1">
      <c r="A65" s="50" t="s">
        <v>19</v>
      </c>
      <c r="B65" s="43" t="s">
        <v>50</v>
      </c>
      <c r="C65" s="43" t="s">
        <v>35</v>
      </c>
      <c r="D65" s="43" t="s">
        <v>25</v>
      </c>
      <c r="E65" s="43" t="s">
        <v>31</v>
      </c>
      <c r="F65" s="44">
        <f>287609.9</f>
        <v>287609.9</v>
      </c>
      <c r="G65" s="45" t="s">
        <v>0</v>
      </c>
      <c r="H65" s="51" t="s">
        <v>0</v>
      </c>
    </row>
    <row r="66" spans="1:8" s="1" customFormat="1" ht="13.5" customHeight="1">
      <c r="A66" s="50" t="s">
        <v>19</v>
      </c>
      <c r="B66" s="43" t="s">
        <v>50</v>
      </c>
      <c r="C66" s="43" t="s">
        <v>35</v>
      </c>
      <c r="D66" s="43" t="s">
        <v>36</v>
      </c>
      <c r="E66" s="43" t="s">
        <v>0</v>
      </c>
      <c r="F66" s="44">
        <f>3685257.29</f>
        <v>3685257.29</v>
      </c>
      <c r="G66" s="45" t="s">
        <v>0</v>
      </c>
      <c r="H66" s="51" t="s">
        <v>0</v>
      </c>
    </row>
    <row r="67" spans="1:8" s="1" customFormat="1" ht="13.5" customHeight="1">
      <c r="A67" s="50" t="s">
        <v>19</v>
      </c>
      <c r="B67" s="43" t="s">
        <v>50</v>
      </c>
      <c r="C67" s="43" t="s">
        <v>35</v>
      </c>
      <c r="D67" s="43" t="s">
        <v>26</v>
      </c>
      <c r="E67" s="43" t="s">
        <v>0</v>
      </c>
      <c r="F67" s="44">
        <f>16815387.61</f>
        <v>16815387.61</v>
      </c>
      <c r="G67" s="44">
        <f>17685000</f>
        <v>17685000</v>
      </c>
      <c r="H67" s="52">
        <f>17685000</f>
        <v>17685000</v>
      </c>
    </row>
    <row r="68" spans="1:8" s="1" customFormat="1" ht="13.5" customHeight="1">
      <c r="A68" s="50" t="s">
        <v>19</v>
      </c>
      <c r="B68" s="43" t="s">
        <v>50</v>
      </c>
      <c r="C68" s="43" t="s">
        <v>37</v>
      </c>
      <c r="D68" s="43" t="s">
        <v>22</v>
      </c>
      <c r="E68" s="43" t="s">
        <v>0</v>
      </c>
      <c r="F68" s="44">
        <f>1740884.08</f>
        <v>1740884.08</v>
      </c>
      <c r="G68" s="45" t="s">
        <v>0</v>
      </c>
      <c r="H68" s="51" t="s">
        <v>0</v>
      </c>
    </row>
    <row r="69" spans="1:8" s="1" customFormat="1" ht="13.5" customHeight="1">
      <c r="A69" s="50" t="s">
        <v>19</v>
      </c>
      <c r="B69" s="43" t="s">
        <v>50</v>
      </c>
      <c r="C69" s="43" t="s">
        <v>37</v>
      </c>
      <c r="D69" s="43" t="s">
        <v>24</v>
      </c>
      <c r="E69" s="43" t="s">
        <v>0</v>
      </c>
      <c r="F69" s="44">
        <f>693016.96</f>
        <v>693016.96</v>
      </c>
      <c r="G69" s="45" t="s">
        <v>0</v>
      </c>
      <c r="H69" s="51" t="s">
        <v>0</v>
      </c>
    </row>
    <row r="70" spans="1:8" s="1" customFormat="1" ht="13.5" customHeight="1">
      <c r="A70" s="50" t="s">
        <v>19</v>
      </c>
      <c r="B70" s="43" t="s">
        <v>50</v>
      </c>
      <c r="C70" s="43" t="s">
        <v>37</v>
      </c>
      <c r="D70" s="43" t="s">
        <v>26</v>
      </c>
      <c r="E70" s="43" t="s">
        <v>0</v>
      </c>
      <c r="F70" s="44">
        <f>27344707.3</f>
        <v>27344707.3</v>
      </c>
      <c r="G70" s="44">
        <f>25817778.57</f>
        <v>25817778.57</v>
      </c>
      <c r="H70" s="52">
        <f>29459700</f>
        <v>29459700</v>
      </c>
    </row>
    <row r="71" spans="1:8" s="1" customFormat="1" ht="13.5" customHeight="1">
      <c r="A71" s="50" t="s">
        <v>19</v>
      </c>
      <c r="B71" s="43" t="s">
        <v>50</v>
      </c>
      <c r="C71" s="43" t="s">
        <v>38</v>
      </c>
      <c r="D71" s="43" t="s">
        <v>25</v>
      </c>
      <c r="E71" s="43" t="s">
        <v>0</v>
      </c>
      <c r="F71" s="44">
        <f>2568336</f>
        <v>2568336</v>
      </c>
      <c r="G71" s="45" t="s">
        <v>0</v>
      </c>
      <c r="H71" s="51" t="s">
        <v>0</v>
      </c>
    </row>
    <row r="72" spans="1:8" s="1" customFormat="1" ht="13.5" customHeight="1">
      <c r="A72" s="50" t="s">
        <v>19</v>
      </c>
      <c r="B72" s="43" t="s">
        <v>50</v>
      </c>
      <c r="C72" s="43" t="s">
        <v>55</v>
      </c>
      <c r="D72" s="43" t="s">
        <v>25</v>
      </c>
      <c r="E72" s="43" t="s">
        <v>0</v>
      </c>
      <c r="F72" s="44">
        <f>133767.54</f>
        <v>133767.54</v>
      </c>
      <c r="G72" s="45" t="s">
        <v>0</v>
      </c>
      <c r="H72" s="51" t="s">
        <v>0</v>
      </c>
    </row>
    <row r="73" spans="1:8" s="1" customFormat="1" ht="33.75" customHeight="1">
      <c r="A73" s="50" t="s">
        <v>19</v>
      </c>
      <c r="B73" s="43" t="s">
        <v>50</v>
      </c>
      <c r="C73" s="43" t="s">
        <v>55</v>
      </c>
      <c r="D73" s="43" t="s">
        <v>25</v>
      </c>
      <c r="E73" s="43" t="s">
        <v>56</v>
      </c>
      <c r="F73" s="44">
        <f>3465816.5</f>
        <v>3465816.5</v>
      </c>
      <c r="G73" s="45" t="s">
        <v>0</v>
      </c>
      <c r="H73" s="51" t="s">
        <v>0</v>
      </c>
    </row>
    <row r="74" spans="1:8" s="1" customFormat="1" ht="13.5" customHeight="1">
      <c r="A74" s="50" t="s">
        <v>19</v>
      </c>
      <c r="B74" s="43" t="s">
        <v>50</v>
      </c>
      <c r="C74" s="43" t="s">
        <v>55</v>
      </c>
      <c r="D74" s="43" t="s">
        <v>29</v>
      </c>
      <c r="E74" s="43" t="s">
        <v>0</v>
      </c>
      <c r="F74" s="44">
        <f>174620.95</f>
        <v>174620.95</v>
      </c>
      <c r="G74" s="44">
        <f>308389.8</f>
        <v>308389.8</v>
      </c>
      <c r="H74" s="52">
        <f>269242.86</f>
        <v>269242.86</v>
      </c>
    </row>
    <row r="75" spans="1:8" s="1" customFormat="1" ht="33.75" customHeight="1">
      <c r="A75" s="50" t="s">
        <v>19</v>
      </c>
      <c r="B75" s="43" t="s">
        <v>50</v>
      </c>
      <c r="C75" s="43" t="s">
        <v>55</v>
      </c>
      <c r="D75" s="43" t="s">
        <v>29</v>
      </c>
      <c r="E75" s="43" t="s">
        <v>56</v>
      </c>
      <c r="F75" s="44">
        <f>11645219.49</f>
        <v>11645219.49</v>
      </c>
      <c r="G75" s="44">
        <f>15111035.99</f>
        <v>15111035.99</v>
      </c>
      <c r="H75" s="52">
        <f>13192936.51</f>
        <v>13192936.51</v>
      </c>
    </row>
    <row r="76" spans="1:8" s="1" customFormat="1" ht="13.5" customHeight="1">
      <c r="A76" s="50" t="s">
        <v>19</v>
      </c>
      <c r="B76" s="43" t="s">
        <v>50</v>
      </c>
      <c r="C76" s="43" t="s">
        <v>57</v>
      </c>
      <c r="D76" s="43" t="s">
        <v>58</v>
      </c>
      <c r="E76" s="43" t="s">
        <v>0</v>
      </c>
      <c r="F76" s="44">
        <f>34000</f>
        <v>34000</v>
      </c>
      <c r="G76" s="45" t="s">
        <v>0</v>
      </c>
      <c r="H76" s="51" t="s">
        <v>0</v>
      </c>
    </row>
    <row r="77" spans="1:8" s="1" customFormat="1" ht="33.75" customHeight="1">
      <c r="A77" s="50" t="s">
        <v>19</v>
      </c>
      <c r="B77" s="43" t="s">
        <v>50</v>
      </c>
      <c r="C77" s="43" t="s">
        <v>57</v>
      </c>
      <c r="D77" s="43" t="s">
        <v>58</v>
      </c>
      <c r="E77" s="43" t="s">
        <v>59</v>
      </c>
      <c r="F77" s="44">
        <f>686000</f>
        <v>686000</v>
      </c>
      <c r="G77" s="45" t="s">
        <v>0</v>
      </c>
      <c r="H77" s="51" t="s">
        <v>0</v>
      </c>
    </row>
    <row r="78" spans="1:8" s="1" customFormat="1" ht="13.5" customHeight="1">
      <c r="A78" s="50" t="s">
        <v>19</v>
      </c>
      <c r="B78" s="43" t="s">
        <v>50</v>
      </c>
      <c r="C78" s="43" t="s">
        <v>57</v>
      </c>
      <c r="D78" s="43" t="s">
        <v>58</v>
      </c>
      <c r="E78" s="43" t="s">
        <v>60</v>
      </c>
      <c r="F78" s="44">
        <f>680000</f>
        <v>680000</v>
      </c>
      <c r="G78" s="45" t="s">
        <v>0</v>
      </c>
      <c r="H78" s="51" t="s">
        <v>0</v>
      </c>
    </row>
    <row r="79" spans="1:8" s="1" customFormat="1" ht="13.5" customHeight="1">
      <c r="A79" s="50" t="s">
        <v>19</v>
      </c>
      <c r="B79" s="43" t="s">
        <v>50</v>
      </c>
      <c r="C79" s="43" t="s">
        <v>57</v>
      </c>
      <c r="D79" s="43" t="s">
        <v>29</v>
      </c>
      <c r="E79" s="43" t="s">
        <v>0</v>
      </c>
      <c r="F79" s="44">
        <f>6000</f>
        <v>6000</v>
      </c>
      <c r="G79" s="45" t="s">
        <v>0</v>
      </c>
      <c r="H79" s="51" t="s">
        <v>0</v>
      </c>
    </row>
    <row r="80" spans="1:8" s="1" customFormat="1" ht="33.75" customHeight="1">
      <c r="A80" s="50" t="s">
        <v>19</v>
      </c>
      <c r="B80" s="43" t="s">
        <v>50</v>
      </c>
      <c r="C80" s="43" t="s">
        <v>57</v>
      </c>
      <c r="D80" s="43" t="s">
        <v>29</v>
      </c>
      <c r="E80" s="43" t="s">
        <v>59</v>
      </c>
      <c r="F80" s="44">
        <f>-686000</f>
        <v>-686000</v>
      </c>
      <c r="G80" s="45" t="s">
        <v>0</v>
      </c>
      <c r="H80" s="51" t="s">
        <v>0</v>
      </c>
    </row>
    <row r="81" spans="1:8" s="1" customFormat="1" ht="13.5" customHeight="1">
      <c r="A81" s="50" t="s">
        <v>19</v>
      </c>
      <c r="B81" s="43" t="s">
        <v>50</v>
      </c>
      <c r="C81" s="43" t="s">
        <v>57</v>
      </c>
      <c r="D81" s="43" t="s">
        <v>29</v>
      </c>
      <c r="E81" s="43" t="s">
        <v>60</v>
      </c>
      <c r="F81" s="44">
        <f>1280000</f>
        <v>1280000</v>
      </c>
      <c r="G81" s="45" t="s">
        <v>0</v>
      </c>
      <c r="H81" s="51" t="s">
        <v>0</v>
      </c>
    </row>
    <row r="82" spans="1:8" s="1" customFormat="1" ht="13.5" customHeight="1">
      <c r="A82" s="50" t="s">
        <v>19</v>
      </c>
      <c r="B82" s="43" t="s">
        <v>50</v>
      </c>
      <c r="C82" s="43" t="s">
        <v>40</v>
      </c>
      <c r="D82" s="43" t="s">
        <v>22</v>
      </c>
      <c r="E82" s="43" t="s">
        <v>41</v>
      </c>
      <c r="F82" s="44">
        <f>184605</f>
        <v>184605</v>
      </c>
      <c r="G82" s="45" t="s">
        <v>0</v>
      </c>
      <c r="H82" s="51" t="s">
        <v>0</v>
      </c>
    </row>
    <row r="83" spans="1:8" s="1" customFormat="1" ht="13.5" customHeight="1">
      <c r="A83" s="50" t="s">
        <v>19</v>
      </c>
      <c r="B83" s="43" t="s">
        <v>50</v>
      </c>
      <c r="C83" s="43" t="s">
        <v>40</v>
      </c>
      <c r="D83" s="43" t="s">
        <v>24</v>
      </c>
      <c r="E83" s="43" t="s">
        <v>41</v>
      </c>
      <c r="F83" s="44">
        <f>55750.14</f>
        <v>55750.14</v>
      </c>
      <c r="G83" s="45" t="s">
        <v>0</v>
      </c>
      <c r="H83" s="51" t="s">
        <v>0</v>
      </c>
    </row>
    <row r="84" spans="1:8" s="1" customFormat="1" ht="13.5" customHeight="1">
      <c r="A84" s="50" t="s">
        <v>19</v>
      </c>
      <c r="B84" s="43" t="s">
        <v>50</v>
      </c>
      <c r="C84" s="43" t="s">
        <v>40</v>
      </c>
      <c r="D84" s="43" t="s">
        <v>26</v>
      </c>
      <c r="E84" s="43" t="s">
        <v>0</v>
      </c>
      <c r="F84" s="44">
        <f>32920.49</f>
        <v>32920.49</v>
      </c>
      <c r="G84" s="44">
        <f>20200</f>
        <v>20200</v>
      </c>
      <c r="H84" s="52">
        <f>20200</f>
        <v>20200</v>
      </c>
    </row>
    <row r="85" spans="1:8" s="1" customFormat="1" ht="13.5" customHeight="1">
      <c r="A85" s="50" t="s">
        <v>19</v>
      </c>
      <c r="B85" s="43" t="s">
        <v>50</v>
      </c>
      <c r="C85" s="43" t="s">
        <v>40</v>
      </c>
      <c r="D85" s="43" t="s">
        <v>26</v>
      </c>
      <c r="E85" s="43" t="s">
        <v>41</v>
      </c>
      <c r="F85" s="44">
        <f>836424.37</f>
        <v>836424.37</v>
      </c>
      <c r="G85" s="44">
        <f>920200</f>
        <v>920200</v>
      </c>
      <c r="H85" s="52">
        <f>920200</f>
        <v>920200</v>
      </c>
    </row>
    <row r="86" spans="1:8" s="1" customFormat="1" ht="13.5" customHeight="1">
      <c r="A86" s="50" t="s">
        <v>19</v>
      </c>
      <c r="B86" s="43" t="s">
        <v>50</v>
      </c>
      <c r="C86" s="43" t="s">
        <v>61</v>
      </c>
      <c r="D86" s="43" t="s">
        <v>25</v>
      </c>
      <c r="E86" s="43" t="s">
        <v>0</v>
      </c>
      <c r="F86" s="44">
        <f>29883.14</f>
        <v>29883.14</v>
      </c>
      <c r="G86" s="45" t="s">
        <v>0</v>
      </c>
      <c r="H86" s="51" t="s">
        <v>0</v>
      </c>
    </row>
    <row r="87" spans="1:8" s="1" customFormat="1" ht="13.5" customHeight="1">
      <c r="A87" s="50" t="s">
        <v>19</v>
      </c>
      <c r="B87" s="43" t="s">
        <v>50</v>
      </c>
      <c r="C87" s="43" t="s">
        <v>61</v>
      </c>
      <c r="D87" s="43" t="s">
        <v>25</v>
      </c>
      <c r="E87" s="43" t="s">
        <v>62</v>
      </c>
      <c r="F87" s="44">
        <f>627863.32</f>
        <v>627863.32</v>
      </c>
      <c r="G87" s="45" t="s">
        <v>0</v>
      </c>
      <c r="H87" s="51" t="s">
        <v>0</v>
      </c>
    </row>
    <row r="88" spans="1:8" s="1" customFormat="1" ht="13.5" customHeight="1">
      <c r="A88" s="50" t="s">
        <v>19</v>
      </c>
      <c r="B88" s="43" t="s">
        <v>50</v>
      </c>
      <c r="C88" s="43" t="s">
        <v>61</v>
      </c>
      <c r="D88" s="43" t="s">
        <v>26</v>
      </c>
      <c r="E88" s="43" t="s">
        <v>0</v>
      </c>
      <c r="F88" s="44">
        <f>19263.8</f>
        <v>19263.8</v>
      </c>
      <c r="G88" s="44">
        <f>49146.94</f>
        <v>49146.94</v>
      </c>
      <c r="H88" s="52">
        <f>49146.94</f>
        <v>49146.94</v>
      </c>
    </row>
    <row r="89" spans="1:8" s="1" customFormat="1" ht="13.5" customHeight="1">
      <c r="A89" s="50" t="s">
        <v>19</v>
      </c>
      <c r="B89" s="43" t="s">
        <v>50</v>
      </c>
      <c r="C89" s="43" t="s">
        <v>61</v>
      </c>
      <c r="D89" s="43" t="s">
        <v>26</v>
      </c>
      <c r="E89" s="43" t="s">
        <v>62</v>
      </c>
      <c r="F89" s="44">
        <f>1780336.68</f>
        <v>1780336.68</v>
      </c>
      <c r="G89" s="44">
        <f>2408200</f>
        <v>2408200</v>
      </c>
      <c r="H89" s="52">
        <f>2408200</f>
        <v>2408200</v>
      </c>
    </row>
    <row r="90" spans="1:8" s="1" customFormat="1" ht="13.5" customHeight="1">
      <c r="A90" s="50" t="s">
        <v>19</v>
      </c>
      <c r="B90" s="43" t="s">
        <v>50</v>
      </c>
      <c r="C90" s="43" t="s">
        <v>63</v>
      </c>
      <c r="D90" s="43" t="s">
        <v>25</v>
      </c>
      <c r="E90" s="43" t="s">
        <v>0</v>
      </c>
      <c r="F90" s="44">
        <f>1103.19</f>
        <v>1103.19</v>
      </c>
      <c r="G90" s="45" t="s">
        <v>0</v>
      </c>
      <c r="H90" s="51" t="s">
        <v>0</v>
      </c>
    </row>
    <row r="91" spans="1:8" s="1" customFormat="1" ht="13.5" customHeight="1">
      <c r="A91" s="50" t="s">
        <v>19</v>
      </c>
      <c r="B91" s="43" t="s">
        <v>50</v>
      </c>
      <c r="C91" s="43" t="s">
        <v>63</v>
      </c>
      <c r="D91" s="43" t="s">
        <v>25</v>
      </c>
      <c r="E91" s="43" t="s">
        <v>64</v>
      </c>
      <c r="F91" s="44">
        <f>24024.95</f>
        <v>24024.95</v>
      </c>
      <c r="G91" s="45" t="s">
        <v>0</v>
      </c>
      <c r="H91" s="51" t="s">
        <v>0</v>
      </c>
    </row>
    <row r="92" spans="1:8" s="1" customFormat="1" ht="13.5" customHeight="1">
      <c r="A92" s="50" t="s">
        <v>19</v>
      </c>
      <c r="B92" s="43" t="s">
        <v>50</v>
      </c>
      <c r="C92" s="43" t="s">
        <v>63</v>
      </c>
      <c r="D92" s="43" t="s">
        <v>26</v>
      </c>
      <c r="E92" s="43" t="s">
        <v>0</v>
      </c>
      <c r="F92" s="44">
        <f>13945.4</f>
        <v>13945.4</v>
      </c>
      <c r="G92" s="45" t="s">
        <v>0</v>
      </c>
      <c r="H92" s="51" t="s">
        <v>0</v>
      </c>
    </row>
    <row r="93" spans="1:8" s="1" customFormat="1" ht="13.5" customHeight="1">
      <c r="A93" s="50" t="s">
        <v>19</v>
      </c>
      <c r="B93" s="43" t="s">
        <v>50</v>
      </c>
      <c r="C93" s="43" t="s">
        <v>63</v>
      </c>
      <c r="D93" s="43" t="s">
        <v>26</v>
      </c>
      <c r="E93" s="43" t="s">
        <v>64</v>
      </c>
      <c r="F93" s="44">
        <f>713356.14</f>
        <v>713356.14</v>
      </c>
      <c r="G93" s="45" t="s">
        <v>0</v>
      </c>
      <c r="H93" s="51" t="s">
        <v>0</v>
      </c>
    </row>
    <row r="94" spans="1:8" s="1" customFormat="1" ht="13.5" customHeight="1">
      <c r="A94" s="50" t="s">
        <v>19</v>
      </c>
      <c r="B94" s="43" t="s">
        <v>50</v>
      </c>
      <c r="C94" s="43" t="s">
        <v>42</v>
      </c>
      <c r="D94" s="43" t="s">
        <v>22</v>
      </c>
      <c r="E94" s="43" t="s">
        <v>0</v>
      </c>
      <c r="F94" s="44">
        <f>346335.81</f>
        <v>346335.81</v>
      </c>
      <c r="G94" s="45" t="s">
        <v>0</v>
      </c>
      <c r="H94" s="51" t="s">
        <v>0</v>
      </c>
    </row>
    <row r="95" spans="1:8" s="1" customFormat="1" ht="13.5" customHeight="1">
      <c r="A95" s="50" t="s">
        <v>19</v>
      </c>
      <c r="B95" s="43" t="s">
        <v>50</v>
      </c>
      <c r="C95" s="43" t="s">
        <v>42</v>
      </c>
      <c r="D95" s="43" t="s">
        <v>22</v>
      </c>
      <c r="E95" s="43" t="s">
        <v>43</v>
      </c>
      <c r="F95" s="44">
        <f>6969818.5</f>
        <v>6969818.5</v>
      </c>
      <c r="G95" s="45" t="s">
        <v>0</v>
      </c>
      <c r="H95" s="51" t="s">
        <v>0</v>
      </c>
    </row>
    <row r="96" spans="1:8" s="1" customFormat="1" ht="13.5" customHeight="1">
      <c r="A96" s="50" t="s">
        <v>19</v>
      </c>
      <c r="B96" s="43" t="s">
        <v>50</v>
      </c>
      <c r="C96" s="43" t="s">
        <v>42</v>
      </c>
      <c r="D96" s="43" t="s">
        <v>24</v>
      </c>
      <c r="E96" s="43" t="s">
        <v>0</v>
      </c>
      <c r="F96" s="44">
        <f>17732.56</f>
        <v>17732.56</v>
      </c>
      <c r="G96" s="45" t="s">
        <v>0</v>
      </c>
      <c r="H96" s="51" t="s">
        <v>0</v>
      </c>
    </row>
    <row r="97" spans="1:8" s="1" customFormat="1" ht="13.5" customHeight="1">
      <c r="A97" s="50" t="s">
        <v>19</v>
      </c>
      <c r="B97" s="43" t="s">
        <v>50</v>
      </c>
      <c r="C97" s="43" t="s">
        <v>42</v>
      </c>
      <c r="D97" s="43" t="s">
        <v>24</v>
      </c>
      <c r="E97" s="43" t="s">
        <v>43</v>
      </c>
      <c r="F97" s="44">
        <f>2386928.85</f>
        <v>2386928.85</v>
      </c>
      <c r="G97" s="45" t="s">
        <v>0</v>
      </c>
      <c r="H97" s="51" t="s">
        <v>0</v>
      </c>
    </row>
    <row r="98" spans="1:8" s="1" customFormat="1" ht="13.5" customHeight="1">
      <c r="A98" s="50" t="s">
        <v>19</v>
      </c>
      <c r="B98" s="43" t="s">
        <v>50</v>
      </c>
      <c r="C98" s="43" t="s">
        <v>42</v>
      </c>
      <c r="D98" s="43" t="s">
        <v>26</v>
      </c>
      <c r="E98" s="43" t="s">
        <v>0</v>
      </c>
      <c r="F98" s="44">
        <f>488335.6</f>
        <v>488335.6</v>
      </c>
      <c r="G98" s="44">
        <f>325180.81</f>
        <v>325180.81</v>
      </c>
      <c r="H98" s="51" t="s">
        <v>0</v>
      </c>
    </row>
    <row r="99" spans="1:8" s="1" customFormat="1" ht="13.5" customHeight="1">
      <c r="A99" s="50" t="s">
        <v>19</v>
      </c>
      <c r="B99" s="43" t="s">
        <v>50</v>
      </c>
      <c r="C99" s="43" t="s">
        <v>42</v>
      </c>
      <c r="D99" s="43" t="s">
        <v>26</v>
      </c>
      <c r="E99" s="43" t="s">
        <v>43</v>
      </c>
      <c r="F99" s="44">
        <f>26417661.65</f>
        <v>26417661.65</v>
      </c>
      <c r="G99" s="44">
        <f>12667670</f>
        <v>12667670</v>
      </c>
      <c r="H99" s="51" t="s">
        <v>0</v>
      </c>
    </row>
    <row r="100" spans="1:8" s="1" customFormat="1" ht="13.5" customHeight="1">
      <c r="A100" s="50" t="s">
        <v>19</v>
      </c>
      <c r="B100" s="43" t="s">
        <v>50</v>
      </c>
      <c r="C100" s="43" t="s">
        <v>65</v>
      </c>
      <c r="D100" s="43" t="s">
        <v>25</v>
      </c>
      <c r="E100" s="43" t="s">
        <v>0</v>
      </c>
      <c r="F100" s="44">
        <f>350000</f>
        <v>350000</v>
      </c>
      <c r="G100" s="45" t="s">
        <v>0</v>
      </c>
      <c r="H100" s="51" t="s">
        <v>0</v>
      </c>
    </row>
    <row r="101" spans="1:8" s="1" customFormat="1" ht="13.5" customHeight="1">
      <c r="A101" s="50" t="s">
        <v>19</v>
      </c>
      <c r="B101" s="43" t="s">
        <v>50</v>
      </c>
      <c r="C101" s="43" t="s">
        <v>65</v>
      </c>
      <c r="D101" s="43" t="s">
        <v>29</v>
      </c>
      <c r="E101" s="43" t="s">
        <v>0</v>
      </c>
      <c r="F101" s="44">
        <f>2429433</f>
        <v>2429433</v>
      </c>
      <c r="G101" s="45" t="s">
        <v>0</v>
      </c>
      <c r="H101" s="51" t="s">
        <v>0</v>
      </c>
    </row>
    <row r="102" spans="1:8" s="1" customFormat="1" ht="13.5" customHeight="1">
      <c r="A102" s="50" t="s">
        <v>19</v>
      </c>
      <c r="B102" s="43" t="s">
        <v>50</v>
      </c>
      <c r="C102" s="43" t="s">
        <v>66</v>
      </c>
      <c r="D102" s="43" t="s">
        <v>29</v>
      </c>
      <c r="E102" s="43" t="s">
        <v>0</v>
      </c>
      <c r="F102" s="44">
        <f>306282.01</f>
        <v>306282.01</v>
      </c>
      <c r="G102" s="45" t="s">
        <v>0</v>
      </c>
      <c r="H102" s="51" t="s">
        <v>0</v>
      </c>
    </row>
    <row r="103" spans="1:8" s="1" customFormat="1" ht="33.75" customHeight="1">
      <c r="A103" s="50" t="s">
        <v>19</v>
      </c>
      <c r="B103" s="43" t="s">
        <v>50</v>
      </c>
      <c r="C103" s="43" t="s">
        <v>66</v>
      </c>
      <c r="D103" s="43" t="s">
        <v>29</v>
      </c>
      <c r="E103" s="43" t="s">
        <v>67</v>
      </c>
      <c r="F103" s="44">
        <f>30321919.19</f>
        <v>30321919.19</v>
      </c>
      <c r="G103" s="45" t="s">
        <v>0</v>
      </c>
      <c r="H103" s="51" t="s">
        <v>0</v>
      </c>
    </row>
    <row r="104" spans="1:8" s="1" customFormat="1" ht="13.5" customHeight="1">
      <c r="A104" s="50" t="s">
        <v>19</v>
      </c>
      <c r="B104" s="43" t="s">
        <v>50</v>
      </c>
      <c r="C104" s="43" t="s">
        <v>68</v>
      </c>
      <c r="D104" s="43" t="s">
        <v>29</v>
      </c>
      <c r="E104" s="43" t="s">
        <v>0</v>
      </c>
      <c r="F104" s="44">
        <f>22794.32</f>
        <v>22794.32</v>
      </c>
      <c r="G104" s="45" t="s">
        <v>0</v>
      </c>
      <c r="H104" s="51" t="s">
        <v>0</v>
      </c>
    </row>
    <row r="105" spans="1:8" s="1" customFormat="1" ht="13.5" customHeight="1">
      <c r="A105" s="50" t="s">
        <v>19</v>
      </c>
      <c r="B105" s="43" t="s">
        <v>50</v>
      </c>
      <c r="C105" s="43" t="s">
        <v>68</v>
      </c>
      <c r="D105" s="43" t="s">
        <v>29</v>
      </c>
      <c r="E105" s="43" t="s">
        <v>69</v>
      </c>
      <c r="F105" s="44">
        <f>2256638.09</f>
        <v>2256638.09</v>
      </c>
      <c r="G105" s="45" t="s">
        <v>0</v>
      </c>
      <c r="H105" s="51" t="s">
        <v>0</v>
      </c>
    </row>
    <row r="106" spans="1:8" s="1" customFormat="1" ht="13.5" customHeight="1">
      <c r="A106" s="50" t="s">
        <v>19</v>
      </c>
      <c r="B106" s="43" t="s">
        <v>50</v>
      </c>
      <c r="C106" s="43" t="s">
        <v>70</v>
      </c>
      <c r="D106" s="43" t="s">
        <v>29</v>
      </c>
      <c r="E106" s="43" t="s">
        <v>0</v>
      </c>
      <c r="F106" s="44">
        <f>119317.66</f>
        <v>119317.66</v>
      </c>
      <c r="G106" s="45" t="s">
        <v>0</v>
      </c>
      <c r="H106" s="51" t="s">
        <v>0</v>
      </c>
    </row>
    <row r="107" spans="1:8" s="1" customFormat="1" ht="33.75" customHeight="1">
      <c r="A107" s="50" t="s">
        <v>19</v>
      </c>
      <c r="B107" s="43" t="s">
        <v>50</v>
      </c>
      <c r="C107" s="43" t="s">
        <v>70</v>
      </c>
      <c r="D107" s="43" t="s">
        <v>29</v>
      </c>
      <c r="E107" s="43" t="s">
        <v>71</v>
      </c>
      <c r="F107" s="44">
        <f>5846565.66</f>
        <v>5846565.66</v>
      </c>
      <c r="G107" s="45" t="s">
        <v>0</v>
      </c>
      <c r="H107" s="51" t="s">
        <v>0</v>
      </c>
    </row>
    <row r="108" spans="1:8" s="1" customFormat="1" ht="33.75" customHeight="1">
      <c r="A108" s="50" t="s">
        <v>19</v>
      </c>
      <c r="B108" s="43" t="s">
        <v>50</v>
      </c>
      <c r="C108" s="43" t="s">
        <v>72</v>
      </c>
      <c r="D108" s="43" t="s">
        <v>22</v>
      </c>
      <c r="E108" s="43" t="s">
        <v>73</v>
      </c>
      <c r="F108" s="44">
        <f>125615.6</f>
        <v>125615.6</v>
      </c>
      <c r="G108" s="45" t="s">
        <v>0</v>
      </c>
      <c r="H108" s="51" t="s">
        <v>0</v>
      </c>
    </row>
    <row r="109" spans="1:8" s="1" customFormat="1" ht="33.75" customHeight="1">
      <c r="A109" s="50" t="s">
        <v>19</v>
      </c>
      <c r="B109" s="43" t="s">
        <v>50</v>
      </c>
      <c r="C109" s="43" t="s">
        <v>72</v>
      </c>
      <c r="D109" s="43" t="s">
        <v>24</v>
      </c>
      <c r="E109" s="43" t="s">
        <v>73</v>
      </c>
      <c r="F109" s="44">
        <f>37935.89</f>
        <v>37935.89</v>
      </c>
      <c r="G109" s="45" t="s">
        <v>0</v>
      </c>
      <c r="H109" s="51" t="s">
        <v>0</v>
      </c>
    </row>
    <row r="110" spans="1:8" s="1" customFormat="1" ht="33.75" customHeight="1">
      <c r="A110" s="50" t="s">
        <v>19</v>
      </c>
      <c r="B110" s="43" t="s">
        <v>50</v>
      </c>
      <c r="C110" s="43" t="s">
        <v>72</v>
      </c>
      <c r="D110" s="43" t="s">
        <v>29</v>
      </c>
      <c r="E110" s="43" t="s">
        <v>73</v>
      </c>
      <c r="F110" s="44">
        <f>163551.51</f>
        <v>163551.51</v>
      </c>
      <c r="G110" s="44">
        <f>2400991</f>
        <v>2400991</v>
      </c>
      <c r="H110" s="52">
        <f>2450495</f>
        <v>2450495</v>
      </c>
    </row>
    <row r="111" spans="1:8" s="1" customFormat="1" ht="13.5" customHeight="1">
      <c r="A111" s="50" t="s">
        <v>19</v>
      </c>
      <c r="B111" s="43" t="s">
        <v>74</v>
      </c>
      <c r="C111" s="43" t="s">
        <v>75</v>
      </c>
      <c r="D111" s="43" t="s">
        <v>45</v>
      </c>
      <c r="E111" s="43" t="s">
        <v>0</v>
      </c>
      <c r="F111" s="45" t="s">
        <v>0</v>
      </c>
      <c r="G111" s="45" t="s">
        <v>0</v>
      </c>
      <c r="H111" s="52">
        <f>315774603.17</f>
        <v>315774603.17</v>
      </c>
    </row>
    <row r="112" spans="1:8" s="1" customFormat="1" ht="13.5" customHeight="1">
      <c r="A112" s="50" t="s">
        <v>19</v>
      </c>
      <c r="B112" s="43" t="s">
        <v>74</v>
      </c>
      <c r="C112" s="43" t="s">
        <v>76</v>
      </c>
      <c r="D112" s="43" t="s">
        <v>26</v>
      </c>
      <c r="E112" s="43" t="s">
        <v>0</v>
      </c>
      <c r="F112" s="44">
        <f>280988</f>
        <v>280988</v>
      </c>
      <c r="G112" s="44">
        <f>214100</f>
        <v>214100</v>
      </c>
      <c r="H112" s="52">
        <f>214100</f>
        <v>214100</v>
      </c>
    </row>
    <row r="113" spans="1:8" s="1" customFormat="1" ht="13.5" customHeight="1">
      <c r="A113" s="50" t="s">
        <v>19</v>
      </c>
      <c r="B113" s="43" t="s">
        <v>74</v>
      </c>
      <c r="C113" s="43" t="s">
        <v>76</v>
      </c>
      <c r="D113" s="43" t="s">
        <v>29</v>
      </c>
      <c r="E113" s="43" t="s">
        <v>0</v>
      </c>
      <c r="F113" s="44">
        <f>30000</f>
        <v>30000</v>
      </c>
      <c r="G113" s="44">
        <f>25200</f>
        <v>25200</v>
      </c>
      <c r="H113" s="52">
        <f>25200</f>
        <v>25200</v>
      </c>
    </row>
    <row r="114" spans="1:8" s="1" customFormat="1" ht="13.5" customHeight="1">
      <c r="A114" s="50" t="s">
        <v>19</v>
      </c>
      <c r="B114" s="43" t="s">
        <v>74</v>
      </c>
      <c r="C114" s="43" t="s">
        <v>76</v>
      </c>
      <c r="D114" s="43" t="s">
        <v>27</v>
      </c>
      <c r="E114" s="43" t="s">
        <v>0</v>
      </c>
      <c r="F114" s="44">
        <f>1923250</f>
        <v>1923250</v>
      </c>
      <c r="G114" s="44">
        <f>1022700</f>
        <v>1022700</v>
      </c>
      <c r="H114" s="52">
        <f>1022700</f>
        <v>1022700</v>
      </c>
    </row>
    <row r="115" spans="1:8" s="1" customFormat="1" ht="13.5" customHeight="1">
      <c r="A115" s="50" t="s">
        <v>19</v>
      </c>
      <c r="B115" s="43" t="s">
        <v>74</v>
      </c>
      <c r="C115" s="43" t="s">
        <v>76</v>
      </c>
      <c r="D115" s="43" t="s">
        <v>27</v>
      </c>
      <c r="E115" s="43" t="s">
        <v>31</v>
      </c>
      <c r="F115" s="44">
        <f>100000</f>
        <v>100000</v>
      </c>
      <c r="G115" s="45" t="s">
        <v>0</v>
      </c>
      <c r="H115" s="51" t="s">
        <v>0</v>
      </c>
    </row>
    <row r="116" spans="1:8" s="1" customFormat="1" ht="13.5" customHeight="1">
      <c r="A116" s="50" t="s">
        <v>19</v>
      </c>
      <c r="B116" s="43" t="s">
        <v>74</v>
      </c>
      <c r="C116" s="43" t="s">
        <v>76</v>
      </c>
      <c r="D116" s="43" t="s">
        <v>30</v>
      </c>
      <c r="E116" s="43" t="s">
        <v>0</v>
      </c>
      <c r="F116" s="44">
        <f>490000</f>
        <v>490000</v>
      </c>
      <c r="G116" s="44">
        <f>75600</f>
        <v>75600</v>
      </c>
      <c r="H116" s="52">
        <f>75600</f>
        <v>75600</v>
      </c>
    </row>
    <row r="117" spans="1:8" s="1" customFormat="1" ht="13.5" customHeight="1">
      <c r="A117" s="50" t="s">
        <v>19</v>
      </c>
      <c r="B117" s="43" t="s">
        <v>74</v>
      </c>
      <c r="C117" s="43" t="s">
        <v>77</v>
      </c>
      <c r="D117" s="43" t="s">
        <v>26</v>
      </c>
      <c r="E117" s="43" t="s">
        <v>0</v>
      </c>
      <c r="F117" s="44">
        <f>35000</f>
        <v>35000</v>
      </c>
      <c r="G117" s="45" t="s">
        <v>0</v>
      </c>
      <c r="H117" s="51" t="s">
        <v>0</v>
      </c>
    </row>
    <row r="118" spans="1:8" s="1" customFormat="1" ht="13.5" customHeight="1">
      <c r="A118" s="50" t="s">
        <v>19</v>
      </c>
      <c r="B118" s="43" t="s">
        <v>74</v>
      </c>
      <c r="C118" s="43" t="s">
        <v>77</v>
      </c>
      <c r="D118" s="43" t="s">
        <v>27</v>
      </c>
      <c r="E118" s="43" t="s">
        <v>0</v>
      </c>
      <c r="F118" s="44">
        <f>178000</f>
        <v>178000</v>
      </c>
      <c r="G118" s="45" t="s">
        <v>0</v>
      </c>
      <c r="H118" s="51" t="s">
        <v>0</v>
      </c>
    </row>
    <row r="119" spans="1:8" s="1" customFormat="1" ht="13.5" customHeight="1">
      <c r="A119" s="50" t="s">
        <v>19</v>
      </c>
      <c r="B119" s="43" t="s">
        <v>74</v>
      </c>
      <c r="C119" s="43" t="s">
        <v>78</v>
      </c>
      <c r="D119" s="43" t="s">
        <v>27</v>
      </c>
      <c r="E119" s="43" t="s">
        <v>0</v>
      </c>
      <c r="F119" s="44">
        <f>2052000</f>
        <v>2052000</v>
      </c>
      <c r="G119" s="44">
        <f>2072000</f>
        <v>2072000</v>
      </c>
      <c r="H119" s="52">
        <f>2072000</f>
        <v>2072000</v>
      </c>
    </row>
    <row r="120" spans="1:8" s="1" customFormat="1" ht="13.5" customHeight="1">
      <c r="A120" s="50" t="s">
        <v>19</v>
      </c>
      <c r="B120" s="43" t="s">
        <v>74</v>
      </c>
      <c r="C120" s="43" t="s">
        <v>79</v>
      </c>
      <c r="D120" s="43" t="s">
        <v>26</v>
      </c>
      <c r="E120" s="43" t="s">
        <v>0</v>
      </c>
      <c r="F120" s="44">
        <f>3105300</f>
        <v>3105300</v>
      </c>
      <c r="G120" s="44">
        <f>6006625</f>
        <v>6006625</v>
      </c>
      <c r="H120" s="52">
        <f>6198830</f>
        <v>6198830</v>
      </c>
    </row>
    <row r="121" spans="1:8" s="1" customFormat="1" ht="13.5" customHeight="1">
      <c r="A121" s="50" t="s">
        <v>19</v>
      </c>
      <c r="B121" s="43" t="s">
        <v>74</v>
      </c>
      <c r="C121" s="43" t="s">
        <v>79</v>
      </c>
      <c r="D121" s="43" t="s">
        <v>27</v>
      </c>
      <c r="E121" s="43" t="s">
        <v>0</v>
      </c>
      <c r="F121" s="44">
        <f>9946394.49</f>
        <v>9946394.49</v>
      </c>
      <c r="G121" s="44">
        <f>10378135</f>
        <v>10378135</v>
      </c>
      <c r="H121" s="52">
        <f>10635930</f>
        <v>10635930</v>
      </c>
    </row>
    <row r="122" spans="1:8" s="1" customFormat="1" ht="13.5" customHeight="1">
      <c r="A122" s="50" t="s">
        <v>19</v>
      </c>
      <c r="B122" s="43" t="s">
        <v>74</v>
      </c>
      <c r="C122" s="43" t="s">
        <v>80</v>
      </c>
      <c r="D122" s="43" t="s">
        <v>27</v>
      </c>
      <c r="E122" s="43" t="s">
        <v>0</v>
      </c>
      <c r="F122" s="44">
        <f>5875.51</f>
        <v>5875.51</v>
      </c>
      <c r="G122" s="45" t="s">
        <v>0</v>
      </c>
      <c r="H122" s="51" t="s">
        <v>0</v>
      </c>
    </row>
    <row r="123" spans="1:8" s="1" customFormat="1" ht="13.5" customHeight="1">
      <c r="A123" s="50" t="s">
        <v>19</v>
      </c>
      <c r="B123" s="43" t="s">
        <v>74</v>
      </c>
      <c r="C123" s="43" t="s">
        <v>80</v>
      </c>
      <c r="D123" s="43" t="s">
        <v>27</v>
      </c>
      <c r="E123" s="43" t="s">
        <v>81</v>
      </c>
      <c r="F123" s="44">
        <f>287900</f>
        <v>287900</v>
      </c>
      <c r="G123" s="45" t="s">
        <v>0</v>
      </c>
      <c r="H123" s="51" t="s">
        <v>0</v>
      </c>
    </row>
    <row r="124" spans="1:8" s="1" customFormat="1" ht="13.5" customHeight="1">
      <c r="A124" s="50" t="s">
        <v>19</v>
      </c>
      <c r="B124" s="43" t="s">
        <v>74</v>
      </c>
      <c r="C124" s="43" t="s">
        <v>82</v>
      </c>
      <c r="D124" s="43" t="s">
        <v>26</v>
      </c>
      <c r="E124" s="43" t="s">
        <v>43</v>
      </c>
      <c r="F124" s="44">
        <f>550340</f>
        <v>550340</v>
      </c>
      <c r="G124" s="44">
        <f>306600</f>
        <v>306600</v>
      </c>
      <c r="H124" s="51" t="s">
        <v>0</v>
      </c>
    </row>
    <row r="125" spans="1:8" s="1" customFormat="1" ht="13.5" customHeight="1">
      <c r="A125" s="50" t="s">
        <v>19</v>
      </c>
      <c r="B125" s="43" t="s">
        <v>74</v>
      </c>
      <c r="C125" s="43" t="s">
        <v>82</v>
      </c>
      <c r="D125" s="43" t="s">
        <v>27</v>
      </c>
      <c r="E125" s="43" t="s">
        <v>43</v>
      </c>
      <c r="F125" s="44">
        <f>3998690</f>
        <v>3998690</v>
      </c>
      <c r="G125" s="44">
        <f>1258100</f>
        <v>1258100</v>
      </c>
      <c r="H125" s="51" t="s">
        <v>0</v>
      </c>
    </row>
    <row r="126" spans="1:8" s="1" customFormat="1" ht="13.5" customHeight="1">
      <c r="A126" s="50" t="s">
        <v>19</v>
      </c>
      <c r="B126" s="43" t="s">
        <v>74</v>
      </c>
      <c r="C126" s="43" t="s">
        <v>83</v>
      </c>
      <c r="D126" s="43" t="s">
        <v>84</v>
      </c>
      <c r="E126" s="43" t="s">
        <v>0</v>
      </c>
      <c r="F126" s="44">
        <f>1591046.62</f>
        <v>1591046.62</v>
      </c>
      <c r="G126" s="45" t="s">
        <v>0</v>
      </c>
      <c r="H126" s="51" t="s">
        <v>0</v>
      </c>
    </row>
    <row r="127" spans="1:8" s="1" customFormat="1" ht="13.5" customHeight="1">
      <c r="A127" s="50" t="s">
        <v>19</v>
      </c>
      <c r="B127" s="43" t="s">
        <v>74</v>
      </c>
      <c r="C127" s="43" t="s">
        <v>83</v>
      </c>
      <c r="D127" s="43" t="s">
        <v>85</v>
      </c>
      <c r="E127" s="43" t="s">
        <v>0</v>
      </c>
      <c r="F127" s="44">
        <f>2838083.17</f>
        <v>2838083.17</v>
      </c>
      <c r="G127" s="45" t="s">
        <v>0</v>
      </c>
      <c r="H127" s="51" t="s">
        <v>0</v>
      </c>
    </row>
    <row r="128" spans="1:8" s="1" customFormat="1" ht="13.5" customHeight="1">
      <c r="A128" s="50" t="s">
        <v>19</v>
      </c>
      <c r="B128" s="43" t="s">
        <v>74</v>
      </c>
      <c r="C128" s="43" t="s">
        <v>83</v>
      </c>
      <c r="D128" s="43" t="s">
        <v>86</v>
      </c>
      <c r="E128" s="43" t="s">
        <v>0</v>
      </c>
      <c r="F128" s="44">
        <f>5252870.21</f>
        <v>5252870.21</v>
      </c>
      <c r="G128" s="45" t="s">
        <v>0</v>
      </c>
      <c r="H128" s="51" t="s">
        <v>0</v>
      </c>
    </row>
    <row r="129" spans="1:8" s="1" customFormat="1" ht="13.5" customHeight="1">
      <c r="A129" s="50" t="s">
        <v>19</v>
      </c>
      <c r="B129" s="43" t="s">
        <v>87</v>
      </c>
      <c r="C129" s="43" t="s">
        <v>88</v>
      </c>
      <c r="D129" s="43" t="s">
        <v>25</v>
      </c>
      <c r="E129" s="43" t="s">
        <v>89</v>
      </c>
      <c r="F129" s="44">
        <f>22478.27</f>
        <v>22478.27</v>
      </c>
      <c r="G129" s="45" t="s">
        <v>0</v>
      </c>
      <c r="H129" s="51" t="s">
        <v>0</v>
      </c>
    </row>
    <row r="130" spans="1:8" s="1" customFormat="1" ht="13.5" customHeight="1">
      <c r="A130" s="50" t="s">
        <v>19</v>
      </c>
      <c r="B130" s="43" t="s">
        <v>87</v>
      </c>
      <c r="C130" s="43" t="s">
        <v>88</v>
      </c>
      <c r="D130" s="43" t="s">
        <v>90</v>
      </c>
      <c r="E130" s="43" t="s">
        <v>89</v>
      </c>
      <c r="F130" s="44">
        <f>60000</f>
        <v>60000</v>
      </c>
      <c r="G130" s="44">
        <f>60000</f>
        <v>60000</v>
      </c>
      <c r="H130" s="52">
        <f>60000</f>
        <v>60000</v>
      </c>
    </row>
    <row r="131" spans="1:8" s="1" customFormat="1" ht="13.5" customHeight="1">
      <c r="A131" s="50" t="s">
        <v>19</v>
      </c>
      <c r="B131" s="43" t="s">
        <v>87</v>
      </c>
      <c r="C131" s="43" t="s">
        <v>88</v>
      </c>
      <c r="D131" s="43" t="s">
        <v>29</v>
      </c>
      <c r="E131" s="43" t="s">
        <v>89</v>
      </c>
      <c r="F131" s="44">
        <f>1577821.73</f>
        <v>1577821.73</v>
      </c>
      <c r="G131" s="44">
        <f>1271500</f>
        <v>1271500</v>
      </c>
      <c r="H131" s="52">
        <f>1271500</f>
        <v>1271500</v>
      </c>
    </row>
    <row r="132" spans="1:8" s="1" customFormat="1" ht="13.5" customHeight="1">
      <c r="A132" s="50" t="s">
        <v>19</v>
      </c>
      <c r="B132" s="43" t="s">
        <v>87</v>
      </c>
      <c r="C132" s="43" t="s">
        <v>91</v>
      </c>
      <c r="D132" s="43" t="s">
        <v>92</v>
      </c>
      <c r="E132" s="43" t="s">
        <v>0</v>
      </c>
      <c r="F132" s="44">
        <f>3014727</f>
        <v>3014727</v>
      </c>
      <c r="G132" s="44">
        <f>2809700</f>
        <v>2809700</v>
      </c>
      <c r="H132" s="52">
        <f>2809700</f>
        <v>2809700</v>
      </c>
    </row>
    <row r="133" spans="1:8" s="1" customFormat="1" ht="13.5" customHeight="1">
      <c r="A133" s="50" t="s">
        <v>19</v>
      </c>
      <c r="B133" s="43" t="s">
        <v>87</v>
      </c>
      <c r="C133" s="43" t="s">
        <v>91</v>
      </c>
      <c r="D133" s="43" t="s">
        <v>93</v>
      </c>
      <c r="E133" s="43" t="s">
        <v>0</v>
      </c>
      <c r="F133" s="44">
        <f>5800</f>
        <v>5800</v>
      </c>
      <c r="G133" s="45" t="s">
        <v>0</v>
      </c>
      <c r="H133" s="51" t="s">
        <v>0</v>
      </c>
    </row>
    <row r="134" spans="1:8" s="1" customFormat="1" ht="13.5" customHeight="1">
      <c r="A134" s="50" t="s">
        <v>19</v>
      </c>
      <c r="B134" s="43" t="s">
        <v>87</v>
      </c>
      <c r="C134" s="43" t="s">
        <v>91</v>
      </c>
      <c r="D134" s="43" t="s">
        <v>94</v>
      </c>
      <c r="E134" s="43" t="s">
        <v>0</v>
      </c>
      <c r="F134" s="44">
        <f>910448</f>
        <v>910448</v>
      </c>
      <c r="G134" s="44">
        <f>848530</f>
        <v>848530</v>
      </c>
      <c r="H134" s="52">
        <f>848530</f>
        <v>848530</v>
      </c>
    </row>
    <row r="135" spans="1:8" s="1" customFormat="1" ht="13.5" customHeight="1">
      <c r="A135" s="50" t="s">
        <v>19</v>
      </c>
      <c r="B135" s="43" t="s">
        <v>87</v>
      </c>
      <c r="C135" s="43" t="s">
        <v>91</v>
      </c>
      <c r="D135" s="43" t="s">
        <v>25</v>
      </c>
      <c r="E135" s="43" t="s">
        <v>0</v>
      </c>
      <c r="F135" s="44">
        <f>1950</f>
        <v>1950</v>
      </c>
      <c r="G135" s="45" t="s">
        <v>0</v>
      </c>
      <c r="H135" s="51" t="s">
        <v>0</v>
      </c>
    </row>
    <row r="136" spans="1:8" s="1" customFormat="1" ht="13.5" customHeight="1">
      <c r="A136" s="50" t="s">
        <v>19</v>
      </c>
      <c r="B136" s="43" t="s">
        <v>87</v>
      </c>
      <c r="C136" s="43" t="s">
        <v>91</v>
      </c>
      <c r="D136" s="43" t="s">
        <v>54</v>
      </c>
      <c r="E136" s="43" t="s">
        <v>0</v>
      </c>
      <c r="F136" s="44">
        <f>10200</f>
        <v>10200</v>
      </c>
      <c r="G136" s="45" t="s">
        <v>0</v>
      </c>
      <c r="H136" s="51" t="s">
        <v>0</v>
      </c>
    </row>
    <row r="137" spans="1:8" s="1" customFormat="1" ht="13.5" customHeight="1">
      <c r="A137" s="50" t="s">
        <v>19</v>
      </c>
      <c r="B137" s="43" t="s">
        <v>87</v>
      </c>
      <c r="C137" s="43" t="s">
        <v>95</v>
      </c>
      <c r="D137" s="43" t="s">
        <v>92</v>
      </c>
      <c r="E137" s="43" t="s">
        <v>43</v>
      </c>
      <c r="F137" s="44">
        <f>937732.75</f>
        <v>937732.75</v>
      </c>
      <c r="G137" s="44">
        <f>295046</f>
        <v>295046</v>
      </c>
      <c r="H137" s="51" t="s">
        <v>0</v>
      </c>
    </row>
    <row r="138" spans="1:8" s="1" customFormat="1" ht="13.5" customHeight="1">
      <c r="A138" s="50" t="s">
        <v>19</v>
      </c>
      <c r="B138" s="43" t="s">
        <v>87</v>
      </c>
      <c r="C138" s="43" t="s">
        <v>95</v>
      </c>
      <c r="D138" s="43" t="s">
        <v>94</v>
      </c>
      <c r="E138" s="43" t="s">
        <v>43</v>
      </c>
      <c r="F138" s="44">
        <f>283197.25</f>
        <v>283197.25</v>
      </c>
      <c r="G138" s="44">
        <f>89104</f>
        <v>89104</v>
      </c>
      <c r="H138" s="51" t="s">
        <v>0</v>
      </c>
    </row>
    <row r="139" spans="1:8" s="1" customFormat="1" ht="13.5" customHeight="1">
      <c r="A139" s="50" t="s">
        <v>19</v>
      </c>
      <c r="B139" s="43" t="s">
        <v>87</v>
      </c>
      <c r="C139" s="43" t="s">
        <v>96</v>
      </c>
      <c r="D139" s="43" t="s">
        <v>22</v>
      </c>
      <c r="E139" s="43" t="s">
        <v>0</v>
      </c>
      <c r="F139" s="44">
        <f>3271298</f>
        <v>3271298</v>
      </c>
      <c r="G139" s="44">
        <f>3271298</f>
        <v>3271298</v>
      </c>
      <c r="H139" s="52">
        <f>3271298</f>
        <v>3271298</v>
      </c>
    </row>
    <row r="140" spans="1:8" s="1" customFormat="1" ht="13.5" customHeight="1">
      <c r="A140" s="50" t="s">
        <v>19</v>
      </c>
      <c r="B140" s="43" t="s">
        <v>87</v>
      </c>
      <c r="C140" s="43" t="s">
        <v>96</v>
      </c>
      <c r="D140" s="43" t="s">
        <v>24</v>
      </c>
      <c r="E140" s="43" t="s">
        <v>0</v>
      </c>
      <c r="F140" s="44">
        <f>987932</f>
        <v>987932</v>
      </c>
      <c r="G140" s="44">
        <f>987932</f>
        <v>987932</v>
      </c>
      <c r="H140" s="52">
        <f>987932</f>
        <v>987932</v>
      </c>
    </row>
    <row r="141" spans="1:8" s="1" customFormat="1" ht="13.5" customHeight="1">
      <c r="A141" s="50" t="s">
        <v>19</v>
      </c>
      <c r="B141" s="43" t="s">
        <v>87</v>
      </c>
      <c r="C141" s="43" t="s">
        <v>96</v>
      </c>
      <c r="D141" s="43" t="s">
        <v>25</v>
      </c>
      <c r="E141" s="43" t="s">
        <v>0</v>
      </c>
      <c r="F141" s="44">
        <f>2308750</f>
        <v>2308750</v>
      </c>
      <c r="G141" s="44">
        <f>2008750</f>
        <v>2008750</v>
      </c>
      <c r="H141" s="51" t="s">
        <v>0</v>
      </c>
    </row>
    <row r="142" spans="1:8" s="1" customFormat="1" ht="13.5" customHeight="1">
      <c r="A142" s="50" t="s">
        <v>19</v>
      </c>
      <c r="B142" s="43" t="s">
        <v>87</v>
      </c>
      <c r="C142" s="43" t="s">
        <v>96</v>
      </c>
      <c r="D142" s="43" t="s">
        <v>54</v>
      </c>
      <c r="E142" s="43" t="s">
        <v>0</v>
      </c>
      <c r="F142" s="44">
        <f>11380</f>
        <v>11380</v>
      </c>
      <c r="G142" s="44">
        <f>11380</f>
        <v>11380</v>
      </c>
      <c r="H142" s="51" t="s">
        <v>0</v>
      </c>
    </row>
    <row r="143" spans="1:8" s="1" customFormat="1" ht="13.5" customHeight="1">
      <c r="A143" s="50" t="s">
        <v>19</v>
      </c>
      <c r="B143" s="43" t="s">
        <v>87</v>
      </c>
      <c r="C143" s="43" t="s">
        <v>97</v>
      </c>
      <c r="D143" s="43" t="s">
        <v>22</v>
      </c>
      <c r="E143" s="43" t="s">
        <v>23</v>
      </c>
      <c r="F143" s="44">
        <f>4645495</f>
        <v>4645495</v>
      </c>
      <c r="G143" s="44">
        <f>2764900</f>
        <v>2764900</v>
      </c>
      <c r="H143" s="52">
        <f>3014978</f>
        <v>3014978</v>
      </c>
    </row>
    <row r="144" spans="1:8" s="1" customFormat="1" ht="13.5" customHeight="1">
      <c r="A144" s="50" t="s">
        <v>19</v>
      </c>
      <c r="B144" s="43" t="s">
        <v>87</v>
      </c>
      <c r="C144" s="43" t="s">
        <v>97</v>
      </c>
      <c r="D144" s="43" t="s">
        <v>24</v>
      </c>
      <c r="E144" s="43" t="s">
        <v>23</v>
      </c>
      <c r="F144" s="44">
        <f>1402939</f>
        <v>1402939</v>
      </c>
      <c r="G144" s="44">
        <f>835000</f>
        <v>835000</v>
      </c>
      <c r="H144" s="52">
        <f>910522</f>
        <v>910522</v>
      </c>
    </row>
    <row r="145" spans="1:8" s="1" customFormat="1" ht="13.5" customHeight="1">
      <c r="A145" s="50" t="s">
        <v>19</v>
      </c>
      <c r="B145" s="43" t="s">
        <v>87</v>
      </c>
      <c r="C145" s="43" t="s">
        <v>98</v>
      </c>
      <c r="D145" s="43" t="s">
        <v>22</v>
      </c>
      <c r="E145" s="43" t="s">
        <v>43</v>
      </c>
      <c r="F145" s="44">
        <f>2961366.22</f>
        <v>2961366.22</v>
      </c>
      <c r="G145" s="44">
        <f>931751</f>
        <v>931751</v>
      </c>
      <c r="H145" s="51" t="s">
        <v>0</v>
      </c>
    </row>
    <row r="146" spans="1:8" s="1" customFormat="1" ht="13.5" customHeight="1">
      <c r="A146" s="50" t="s">
        <v>19</v>
      </c>
      <c r="B146" s="43" t="s">
        <v>87</v>
      </c>
      <c r="C146" s="43" t="s">
        <v>98</v>
      </c>
      <c r="D146" s="43" t="s">
        <v>24</v>
      </c>
      <c r="E146" s="43" t="s">
        <v>43</v>
      </c>
      <c r="F146" s="44">
        <f>894333.78</f>
        <v>894333.78</v>
      </c>
      <c r="G146" s="44">
        <f>281389</f>
        <v>281389</v>
      </c>
      <c r="H146" s="51" t="s">
        <v>0</v>
      </c>
    </row>
    <row r="147" spans="1:8" s="1" customFormat="1" ht="13.5" customHeight="1">
      <c r="A147" s="50" t="s">
        <v>19</v>
      </c>
      <c r="B147" s="43" t="s">
        <v>99</v>
      </c>
      <c r="C147" s="43" t="s">
        <v>100</v>
      </c>
      <c r="D147" s="43" t="s">
        <v>25</v>
      </c>
      <c r="E147" s="43" t="s">
        <v>101</v>
      </c>
      <c r="F147" s="44">
        <f>14000</f>
        <v>14000</v>
      </c>
      <c r="G147" s="44">
        <f>14000</f>
        <v>14000</v>
      </c>
      <c r="H147" s="52">
        <f>14000</f>
        <v>14000</v>
      </c>
    </row>
    <row r="148" spans="1:8" s="1" customFormat="1" ht="13.5" customHeight="1">
      <c r="A148" s="50" t="s">
        <v>19</v>
      </c>
      <c r="B148" s="43" t="s">
        <v>99</v>
      </c>
      <c r="C148" s="43" t="s">
        <v>100</v>
      </c>
      <c r="D148" s="43" t="s">
        <v>90</v>
      </c>
      <c r="E148" s="43" t="s">
        <v>101</v>
      </c>
      <c r="F148" s="44">
        <f>2250800</f>
        <v>2250800</v>
      </c>
      <c r="G148" s="44">
        <f>5423000</f>
        <v>5423000</v>
      </c>
      <c r="H148" s="52">
        <f>5423000</f>
        <v>5423000</v>
      </c>
    </row>
    <row r="149" spans="1:8" s="1" customFormat="1" ht="13.5" customHeight="1">
      <c r="A149" s="50" t="s">
        <v>102</v>
      </c>
      <c r="B149" s="43" t="s">
        <v>103</v>
      </c>
      <c r="C149" s="43" t="s">
        <v>104</v>
      </c>
      <c r="D149" s="43" t="s">
        <v>92</v>
      </c>
      <c r="E149" s="43" t="s">
        <v>0</v>
      </c>
      <c r="F149" s="44">
        <f>4306741.89</f>
        <v>4306741.89</v>
      </c>
      <c r="G149" s="44">
        <f>3888271.89</f>
        <v>3888271.89</v>
      </c>
      <c r="H149" s="52">
        <f>3888271.89</f>
        <v>3888271.89</v>
      </c>
    </row>
    <row r="150" spans="1:8" s="1" customFormat="1" ht="13.5" customHeight="1">
      <c r="A150" s="50" t="s">
        <v>102</v>
      </c>
      <c r="B150" s="43" t="s">
        <v>103</v>
      </c>
      <c r="C150" s="43" t="s">
        <v>104</v>
      </c>
      <c r="D150" s="43" t="s">
        <v>93</v>
      </c>
      <c r="E150" s="43" t="s">
        <v>0</v>
      </c>
      <c r="F150" s="44">
        <f>5300</f>
        <v>5300</v>
      </c>
      <c r="G150" s="44">
        <f>5300</f>
        <v>5300</v>
      </c>
      <c r="H150" s="52">
        <f>5300</f>
        <v>5300</v>
      </c>
    </row>
    <row r="151" spans="1:8" s="1" customFormat="1" ht="13.5" customHeight="1">
      <c r="A151" s="50" t="s">
        <v>102</v>
      </c>
      <c r="B151" s="43" t="s">
        <v>103</v>
      </c>
      <c r="C151" s="43" t="s">
        <v>104</v>
      </c>
      <c r="D151" s="43" t="s">
        <v>94</v>
      </c>
      <c r="E151" s="43" t="s">
        <v>0</v>
      </c>
      <c r="F151" s="44">
        <f>1300888.11</f>
        <v>1300888.11</v>
      </c>
      <c r="G151" s="44">
        <f>1174258.11</f>
        <v>1174258.11</v>
      </c>
      <c r="H151" s="52">
        <f>1174258.11</f>
        <v>1174258.11</v>
      </c>
    </row>
    <row r="152" spans="1:8" s="1" customFormat="1" ht="13.5" customHeight="1">
      <c r="A152" s="50" t="s">
        <v>102</v>
      </c>
      <c r="B152" s="43" t="s">
        <v>103</v>
      </c>
      <c r="C152" s="43" t="s">
        <v>104</v>
      </c>
      <c r="D152" s="43" t="s">
        <v>25</v>
      </c>
      <c r="E152" s="43" t="s">
        <v>0</v>
      </c>
      <c r="F152" s="44">
        <f>952695.18</f>
        <v>952695.18</v>
      </c>
      <c r="G152" s="44">
        <f>791500</f>
        <v>791500</v>
      </c>
      <c r="H152" s="52">
        <f>791500</f>
        <v>791500</v>
      </c>
    </row>
    <row r="153" spans="1:8" s="1" customFormat="1" ht="13.5" customHeight="1">
      <c r="A153" s="50" t="s">
        <v>102</v>
      </c>
      <c r="B153" s="43" t="s">
        <v>103</v>
      </c>
      <c r="C153" s="43" t="s">
        <v>104</v>
      </c>
      <c r="D153" s="43" t="s">
        <v>54</v>
      </c>
      <c r="E153" s="43" t="s">
        <v>0</v>
      </c>
      <c r="F153" s="45" t="s">
        <v>0</v>
      </c>
      <c r="G153" s="44">
        <f>4000</f>
        <v>4000</v>
      </c>
      <c r="H153" s="51" t="s">
        <v>0</v>
      </c>
    </row>
    <row r="154" spans="1:8" s="1" customFormat="1" ht="13.5" customHeight="1">
      <c r="A154" s="50" t="s">
        <v>102</v>
      </c>
      <c r="B154" s="43" t="s">
        <v>103</v>
      </c>
      <c r="C154" s="43" t="s">
        <v>104</v>
      </c>
      <c r="D154" s="43" t="s">
        <v>105</v>
      </c>
      <c r="E154" s="43" t="s">
        <v>0</v>
      </c>
      <c r="F154" s="44">
        <f>7604.82</f>
        <v>7604.82</v>
      </c>
      <c r="G154" s="44">
        <f>1000</f>
        <v>1000</v>
      </c>
      <c r="H154" s="51" t="s">
        <v>0</v>
      </c>
    </row>
    <row r="155" spans="1:8" s="1" customFormat="1" ht="13.5" customHeight="1">
      <c r="A155" s="50" t="s">
        <v>102</v>
      </c>
      <c r="B155" s="43" t="s">
        <v>106</v>
      </c>
      <c r="C155" s="43" t="s">
        <v>107</v>
      </c>
      <c r="D155" s="43" t="s">
        <v>108</v>
      </c>
      <c r="E155" s="43" t="s">
        <v>0</v>
      </c>
      <c r="F155" s="45" t="s">
        <v>0</v>
      </c>
      <c r="G155" s="44">
        <f>613000</f>
        <v>613000</v>
      </c>
      <c r="H155" s="52">
        <f>613000</f>
        <v>613000</v>
      </c>
    </row>
    <row r="156" spans="1:8" s="1" customFormat="1" ht="13.5" customHeight="1">
      <c r="A156" s="50" t="s">
        <v>102</v>
      </c>
      <c r="B156" s="43" t="s">
        <v>106</v>
      </c>
      <c r="C156" s="43" t="s">
        <v>109</v>
      </c>
      <c r="D156" s="43" t="s">
        <v>108</v>
      </c>
      <c r="E156" s="43" t="s">
        <v>0</v>
      </c>
      <c r="F156" s="44">
        <f>600000</f>
        <v>600000</v>
      </c>
      <c r="G156" s="44">
        <f>2500000</f>
        <v>2500000</v>
      </c>
      <c r="H156" s="52">
        <f>2500000</f>
        <v>2500000</v>
      </c>
    </row>
    <row r="157" spans="1:8" s="1" customFormat="1" ht="13.5" customHeight="1">
      <c r="A157" s="50" t="s">
        <v>102</v>
      </c>
      <c r="B157" s="43" t="s">
        <v>110</v>
      </c>
      <c r="C157" s="43" t="s">
        <v>111</v>
      </c>
      <c r="D157" s="43" t="s">
        <v>112</v>
      </c>
      <c r="E157" s="43" t="s">
        <v>0</v>
      </c>
      <c r="F157" s="44">
        <f>120000</f>
        <v>120000</v>
      </c>
      <c r="G157" s="45" t="s">
        <v>0</v>
      </c>
      <c r="H157" s="51" t="s">
        <v>0</v>
      </c>
    </row>
    <row r="158" spans="1:8" s="1" customFormat="1" ht="13.5" customHeight="1">
      <c r="A158" s="50" t="s">
        <v>102</v>
      </c>
      <c r="B158" s="43" t="s">
        <v>113</v>
      </c>
      <c r="C158" s="43" t="s">
        <v>114</v>
      </c>
      <c r="D158" s="43" t="s">
        <v>112</v>
      </c>
      <c r="E158" s="43" t="s">
        <v>0</v>
      </c>
      <c r="F158" s="44">
        <f>118424</f>
        <v>118424</v>
      </c>
      <c r="G158" s="45" t="s">
        <v>0</v>
      </c>
      <c r="H158" s="51" t="s">
        <v>0</v>
      </c>
    </row>
    <row r="159" spans="1:8" s="1" customFormat="1" ht="13.5" customHeight="1">
      <c r="A159" s="50" t="s">
        <v>102</v>
      </c>
      <c r="B159" s="43" t="s">
        <v>115</v>
      </c>
      <c r="C159" s="43" t="s">
        <v>116</v>
      </c>
      <c r="D159" s="43" t="s">
        <v>112</v>
      </c>
      <c r="E159" s="43" t="s">
        <v>31</v>
      </c>
      <c r="F159" s="44">
        <f>150000</f>
        <v>150000</v>
      </c>
      <c r="G159" s="45" t="s">
        <v>0</v>
      </c>
      <c r="H159" s="51" t="s">
        <v>0</v>
      </c>
    </row>
    <row r="160" spans="1:8" s="1" customFormat="1" ht="13.5" customHeight="1">
      <c r="A160" s="50" t="s">
        <v>102</v>
      </c>
      <c r="B160" s="43" t="s">
        <v>115</v>
      </c>
      <c r="C160" s="43" t="s">
        <v>117</v>
      </c>
      <c r="D160" s="43" t="s">
        <v>112</v>
      </c>
      <c r="E160" s="43" t="s">
        <v>0</v>
      </c>
      <c r="F160" s="44">
        <f>462220</f>
        <v>462220</v>
      </c>
      <c r="G160" s="45" t="s">
        <v>0</v>
      </c>
      <c r="H160" s="51" t="s">
        <v>0</v>
      </c>
    </row>
    <row r="161" spans="1:8" s="1" customFormat="1" ht="13.5" customHeight="1">
      <c r="A161" s="50" t="s">
        <v>102</v>
      </c>
      <c r="B161" s="43" t="s">
        <v>118</v>
      </c>
      <c r="C161" s="43" t="s">
        <v>119</v>
      </c>
      <c r="D161" s="43" t="s">
        <v>120</v>
      </c>
      <c r="E161" s="43" t="s">
        <v>121</v>
      </c>
      <c r="F161" s="44">
        <f>250000</f>
        <v>250000</v>
      </c>
      <c r="G161" s="45" t="s">
        <v>0</v>
      </c>
      <c r="H161" s="51" t="s">
        <v>0</v>
      </c>
    </row>
    <row r="162" spans="1:8" s="1" customFormat="1" ht="13.5" customHeight="1">
      <c r="A162" s="50" t="s">
        <v>102</v>
      </c>
      <c r="B162" s="43" t="s">
        <v>118</v>
      </c>
      <c r="C162" s="43" t="s">
        <v>122</v>
      </c>
      <c r="D162" s="43" t="s">
        <v>120</v>
      </c>
      <c r="E162" s="43" t="s">
        <v>123</v>
      </c>
      <c r="F162" s="44">
        <f>157600</f>
        <v>157600</v>
      </c>
      <c r="G162" s="45" t="s">
        <v>0</v>
      </c>
      <c r="H162" s="51" t="s">
        <v>0</v>
      </c>
    </row>
    <row r="163" spans="1:8" s="1" customFormat="1" ht="13.5" customHeight="1">
      <c r="A163" s="50" t="s">
        <v>102</v>
      </c>
      <c r="B163" s="43" t="s">
        <v>118</v>
      </c>
      <c r="C163" s="43" t="s">
        <v>114</v>
      </c>
      <c r="D163" s="43" t="s">
        <v>112</v>
      </c>
      <c r="E163" s="43" t="s">
        <v>0</v>
      </c>
      <c r="F163" s="44">
        <f>1710050</f>
        <v>1710050</v>
      </c>
      <c r="G163" s="45" t="s">
        <v>0</v>
      </c>
      <c r="H163" s="51" t="s">
        <v>0</v>
      </c>
    </row>
    <row r="164" spans="1:8" s="1" customFormat="1" ht="13.5" customHeight="1">
      <c r="A164" s="50" t="s">
        <v>102</v>
      </c>
      <c r="B164" s="43" t="s">
        <v>124</v>
      </c>
      <c r="C164" s="43" t="s">
        <v>116</v>
      </c>
      <c r="D164" s="43" t="s">
        <v>112</v>
      </c>
      <c r="E164" s="43" t="s">
        <v>31</v>
      </c>
      <c r="F164" s="44">
        <f>730000</f>
        <v>730000</v>
      </c>
      <c r="G164" s="45" t="s">
        <v>0</v>
      </c>
      <c r="H164" s="51" t="s">
        <v>0</v>
      </c>
    </row>
    <row r="165" spans="1:8" s="1" customFormat="1" ht="13.5" customHeight="1">
      <c r="A165" s="50" t="s">
        <v>102</v>
      </c>
      <c r="B165" s="43" t="s">
        <v>125</v>
      </c>
      <c r="C165" s="43" t="s">
        <v>126</v>
      </c>
      <c r="D165" s="43" t="s">
        <v>127</v>
      </c>
      <c r="E165" s="43" t="s">
        <v>0</v>
      </c>
      <c r="F165" s="45" t="s">
        <v>0</v>
      </c>
      <c r="G165" s="44">
        <f>17000</f>
        <v>17000</v>
      </c>
      <c r="H165" s="52">
        <f>17000</f>
        <v>17000</v>
      </c>
    </row>
    <row r="166" spans="1:8" s="1" customFormat="1" ht="13.5" customHeight="1">
      <c r="A166" s="50" t="s">
        <v>102</v>
      </c>
      <c r="B166" s="43" t="s">
        <v>128</v>
      </c>
      <c r="C166" s="43" t="s">
        <v>129</v>
      </c>
      <c r="D166" s="43" t="s">
        <v>130</v>
      </c>
      <c r="E166" s="43" t="s">
        <v>0</v>
      </c>
      <c r="F166" s="44">
        <f>26121100</f>
        <v>26121100</v>
      </c>
      <c r="G166" s="44">
        <f>26121100</f>
        <v>26121100</v>
      </c>
      <c r="H166" s="52">
        <f>26121100</f>
        <v>26121100</v>
      </c>
    </row>
    <row r="167" spans="1:8" s="1" customFormat="1" ht="13.5" customHeight="1">
      <c r="A167" s="50" t="s">
        <v>102</v>
      </c>
      <c r="B167" s="43" t="s">
        <v>131</v>
      </c>
      <c r="C167" s="43" t="s">
        <v>114</v>
      </c>
      <c r="D167" s="43" t="s">
        <v>112</v>
      </c>
      <c r="E167" s="43" t="s">
        <v>0</v>
      </c>
      <c r="F167" s="44">
        <f>2333586.73</f>
        <v>2333586.73</v>
      </c>
      <c r="G167" s="45" t="s">
        <v>0</v>
      </c>
      <c r="H167" s="51" t="s">
        <v>0</v>
      </c>
    </row>
    <row r="168" spans="1:8" s="1" customFormat="1" ht="13.5" customHeight="1">
      <c r="A168" s="50" t="s">
        <v>102</v>
      </c>
      <c r="B168" s="43" t="s">
        <v>131</v>
      </c>
      <c r="C168" s="43" t="s">
        <v>114</v>
      </c>
      <c r="D168" s="43" t="s">
        <v>112</v>
      </c>
      <c r="E168" s="43" t="s">
        <v>31</v>
      </c>
      <c r="F168" s="44">
        <f>350000</f>
        <v>350000</v>
      </c>
      <c r="G168" s="45" t="s">
        <v>0</v>
      </c>
      <c r="H168" s="51" t="s">
        <v>0</v>
      </c>
    </row>
    <row r="169" spans="1:8" s="1" customFormat="1" ht="13.5" customHeight="1">
      <c r="A169" s="50" t="s">
        <v>102</v>
      </c>
      <c r="B169" s="43" t="s">
        <v>131</v>
      </c>
      <c r="C169" s="43" t="s">
        <v>116</v>
      </c>
      <c r="D169" s="43" t="s">
        <v>112</v>
      </c>
      <c r="E169" s="43" t="s">
        <v>0</v>
      </c>
      <c r="F169" s="44">
        <f>1853917.25</f>
        <v>1853917.25</v>
      </c>
      <c r="G169" s="45" t="s">
        <v>0</v>
      </c>
      <c r="H169" s="51" t="s">
        <v>0</v>
      </c>
    </row>
    <row r="170" spans="1:8" s="1" customFormat="1" ht="13.5" customHeight="1">
      <c r="A170" s="50" t="s">
        <v>102</v>
      </c>
      <c r="B170" s="43" t="s">
        <v>131</v>
      </c>
      <c r="C170" s="43" t="s">
        <v>116</v>
      </c>
      <c r="D170" s="43" t="s">
        <v>112</v>
      </c>
      <c r="E170" s="43" t="s">
        <v>31</v>
      </c>
      <c r="F170" s="44">
        <f>127390.1</f>
        <v>127390.1</v>
      </c>
      <c r="G170" s="45" t="s">
        <v>0</v>
      </c>
      <c r="H170" s="51" t="s">
        <v>0</v>
      </c>
    </row>
    <row r="171" spans="1:8" s="1" customFormat="1" ht="13.5" customHeight="1">
      <c r="A171" s="50" t="s">
        <v>102</v>
      </c>
      <c r="B171" s="43" t="s">
        <v>131</v>
      </c>
      <c r="C171" s="43" t="s">
        <v>132</v>
      </c>
      <c r="D171" s="43" t="s">
        <v>120</v>
      </c>
      <c r="E171" s="43" t="s">
        <v>43</v>
      </c>
      <c r="F171" s="44">
        <f>18092060</f>
        <v>18092060</v>
      </c>
      <c r="G171" s="44">
        <f>5105000</f>
        <v>5105000</v>
      </c>
      <c r="H171" s="51" t="s">
        <v>0</v>
      </c>
    </row>
    <row r="172" spans="1:8" s="1" customFormat="1" ht="13.5" customHeight="1">
      <c r="A172" s="50" t="s">
        <v>102</v>
      </c>
      <c r="B172" s="43" t="s">
        <v>131</v>
      </c>
      <c r="C172" s="43" t="s">
        <v>109</v>
      </c>
      <c r="D172" s="43" t="s">
        <v>112</v>
      </c>
      <c r="E172" s="43" t="s">
        <v>0</v>
      </c>
      <c r="F172" s="44">
        <f>304497.32</f>
        <v>304497.32</v>
      </c>
      <c r="G172" s="45" t="s">
        <v>0</v>
      </c>
      <c r="H172" s="51" t="s">
        <v>0</v>
      </c>
    </row>
    <row r="173" spans="1:8" s="1" customFormat="1" ht="13.5" customHeight="1">
      <c r="A173" s="50" t="s">
        <v>133</v>
      </c>
      <c r="B173" s="43" t="s">
        <v>134</v>
      </c>
      <c r="C173" s="43" t="s">
        <v>135</v>
      </c>
      <c r="D173" s="43" t="s">
        <v>92</v>
      </c>
      <c r="E173" s="43" t="s">
        <v>0</v>
      </c>
      <c r="F173" s="44">
        <f>1973754.59</f>
        <v>1973754.59</v>
      </c>
      <c r="G173" s="44">
        <f>1581625.19</f>
        <v>1581625.19</v>
      </c>
      <c r="H173" s="52">
        <f>1581625.19</f>
        <v>1581625.19</v>
      </c>
    </row>
    <row r="174" spans="1:8" s="1" customFormat="1" ht="13.5" customHeight="1">
      <c r="A174" s="50" t="s">
        <v>133</v>
      </c>
      <c r="B174" s="43" t="s">
        <v>134</v>
      </c>
      <c r="C174" s="43" t="s">
        <v>135</v>
      </c>
      <c r="D174" s="43" t="s">
        <v>94</v>
      </c>
      <c r="E174" s="43" t="s">
        <v>0</v>
      </c>
      <c r="F174" s="44">
        <f>596073.9</f>
        <v>596073.9</v>
      </c>
      <c r="G174" s="44">
        <f>477650.81</f>
        <v>477650.81</v>
      </c>
      <c r="H174" s="52">
        <f>477650.81</f>
        <v>477650.81</v>
      </c>
    </row>
    <row r="175" spans="1:8" s="1" customFormat="1" ht="13.5" customHeight="1">
      <c r="A175" s="50" t="s">
        <v>133</v>
      </c>
      <c r="B175" s="43" t="s">
        <v>136</v>
      </c>
      <c r="C175" s="43" t="s">
        <v>137</v>
      </c>
      <c r="D175" s="43" t="s">
        <v>92</v>
      </c>
      <c r="E175" s="43" t="s">
        <v>0</v>
      </c>
      <c r="F175" s="44">
        <f>472393.38</f>
        <v>472393.38</v>
      </c>
      <c r="G175" s="44">
        <f>427703.53</f>
        <v>427703.53</v>
      </c>
      <c r="H175" s="52">
        <f>427703.53</f>
        <v>427703.53</v>
      </c>
    </row>
    <row r="176" spans="1:8" s="1" customFormat="1" ht="13.5" customHeight="1">
      <c r="A176" s="50" t="s">
        <v>133</v>
      </c>
      <c r="B176" s="43" t="s">
        <v>136</v>
      </c>
      <c r="C176" s="43" t="s">
        <v>137</v>
      </c>
      <c r="D176" s="43" t="s">
        <v>138</v>
      </c>
      <c r="E176" s="43" t="s">
        <v>0</v>
      </c>
      <c r="F176" s="44">
        <f>288000</f>
        <v>288000</v>
      </c>
      <c r="G176" s="44">
        <f>324000</f>
        <v>324000</v>
      </c>
      <c r="H176" s="52">
        <f>324000</f>
        <v>324000</v>
      </c>
    </row>
    <row r="177" spans="1:8" s="1" customFormat="1" ht="13.5" customHeight="1">
      <c r="A177" s="50" t="s">
        <v>133</v>
      </c>
      <c r="B177" s="43" t="s">
        <v>136</v>
      </c>
      <c r="C177" s="43" t="s">
        <v>137</v>
      </c>
      <c r="D177" s="43" t="s">
        <v>94</v>
      </c>
      <c r="E177" s="43" t="s">
        <v>0</v>
      </c>
      <c r="F177" s="44">
        <f>142662.81</f>
        <v>142662.81</v>
      </c>
      <c r="G177" s="44">
        <f>129166.47</f>
        <v>129166.47</v>
      </c>
      <c r="H177" s="52">
        <f>129166.47</f>
        <v>129166.47</v>
      </c>
    </row>
    <row r="178" spans="1:8" s="1" customFormat="1" ht="13.5" customHeight="1">
      <c r="A178" s="50" t="s">
        <v>133</v>
      </c>
      <c r="B178" s="43" t="s">
        <v>136</v>
      </c>
      <c r="C178" s="43" t="s">
        <v>139</v>
      </c>
      <c r="D178" s="43" t="s">
        <v>92</v>
      </c>
      <c r="E178" s="43" t="s">
        <v>0</v>
      </c>
      <c r="F178" s="44">
        <f>979003.86</f>
        <v>979003.86</v>
      </c>
      <c r="G178" s="44">
        <f>946662.06</f>
        <v>946662.06</v>
      </c>
      <c r="H178" s="52">
        <f>946662.06</f>
        <v>946662.06</v>
      </c>
    </row>
    <row r="179" spans="1:8" s="1" customFormat="1" ht="13.5" customHeight="1">
      <c r="A179" s="50" t="s">
        <v>133</v>
      </c>
      <c r="B179" s="43" t="s">
        <v>136</v>
      </c>
      <c r="C179" s="43" t="s">
        <v>139</v>
      </c>
      <c r="D179" s="43" t="s">
        <v>94</v>
      </c>
      <c r="E179" s="43" t="s">
        <v>0</v>
      </c>
      <c r="F179" s="44">
        <f>295659.17</f>
        <v>295659.17</v>
      </c>
      <c r="G179" s="44">
        <f>285891.94</f>
        <v>285891.94</v>
      </c>
      <c r="H179" s="52">
        <f>285891.94</f>
        <v>285891.94</v>
      </c>
    </row>
    <row r="180" spans="1:8" s="1" customFormat="1" ht="13.5" customHeight="1">
      <c r="A180" s="50" t="s">
        <v>133</v>
      </c>
      <c r="B180" s="43" t="s">
        <v>140</v>
      </c>
      <c r="C180" s="43" t="s">
        <v>141</v>
      </c>
      <c r="D180" s="43" t="s">
        <v>92</v>
      </c>
      <c r="E180" s="43" t="s">
        <v>0</v>
      </c>
      <c r="F180" s="44">
        <f>12885782.65</f>
        <v>12885782.65</v>
      </c>
      <c r="G180" s="44">
        <f>11745729.65</f>
        <v>11745729.65</v>
      </c>
      <c r="H180" s="52">
        <f>11745729.65</f>
        <v>11745729.65</v>
      </c>
    </row>
    <row r="181" spans="1:8" s="1" customFormat="1" ht="13.5" customHeight="1">
      <c r="A181" s="50" t="s">
        <v>133</v>
      </c>
      <c r="B181" s="43" t="s">
        <v>140</v>
      </c>
      <c r="C181" s="43" t="s">
        <v>141</v>
      </c>
      <c r="D181" s="43" t="s">
        <v>93</v>
      </c>
      <c r="E181" s="43" t="s">
        <v>0</v>
      </c>
      <c r="F181" s="44">
        <f>68520</f>
        <v>68520</v>
      </c>
      <c r="G181" s="44">
        <f>148520</f>
        <v>148520</v>
      </c>
      <c r="H181" s="52">
        <f>148520</f>
        <v>148520</v>
      </c>
    </row>
    <row r="182" spans="1:8" s="1" customFormat="1" ht="13.5" customHeight="1">
      <c r="A182" s="50" t="s">
        <v>133</v>
      </c>
      <c r="B182" s="43" t="s">
        <v>140</v>
      </c>
      <c r="C182" s="43" t="s">
        <v>141</v>
      </c>
      <c r="D182" s="43" t="s">
        <v>94</v>
      </c>
      <c r="E182" s="43" t="s">
        <v>0</v>
      </c>
      <c r="F182" s="44">
        <f>3891506.18</f>
        <v>3891506.18</v>
      </c>
      <c r="G182" s="44">
        <f>3547210.35</f>
        <v>3547210.35</v>
      </c>
      <c r="H182" s="52">
        <f>3547210.35</f>
        <v>3547210.35</v>
      </c>
    </row>
    <row r="183" spans="1:8" s="1" customFormat="1" ht="13.5" customHeight="1">
      <c r="A183" s="50" t="s">
        <v>133</v>
      </c>
      <c r="B183" s="43" t="s">
        <v>140</v>
      </c>
      <c r="C183" s="43" t="s">
        <v>141</v>
      </c>
      <c r="D183" s="43" t="s">
        <v>25</v>
      </c>
      <c r="E183" s="43" t="s">
        <v>0</v>
      </c>
      <c r="F183" s="44">
        <f>431123.26</f>
        <v>431123.26</v>
      </c>
      <c r="G183" s="45" t="s">
        <v>0</v>
      </c>
      <c r="H183" s="51" t="s">
        <v>0</v>
      </c>
    </row>
    <row r="184" spans="1:8" s="1" customFormat="1" ht="13.5" customHeight="1">
      <c r="A184" s="50" t="s">
        <v>133</v>
      </c>
      <c r="B184" s="43" t="s">
        <v>140</v>
      </c>
      <c r="C184" s="43" t="s">
        <v>142</v>
      </c>
      <c r="D184" s="43" t="s">
        <v>92</v>
      </c>
      <c r="E184" s="43" t="s">
        <v>43</v>
      </c>
      <c r="F184" s="44">
        <f>1007509.89</f>
        <v>1007509.89</v>
      </c>
      <c r="G184" s="44">
        <f>355491.55</f>
        <v>355491.55</v>
      </c>
      <c r="H184" s="51" t="s">
        <v>0</v>
      </c>
    </row>
    <row r="185" spans="1:8" s="1" customFormat="1" ht="13.5" customHeight="1">
      <c r="A185" s="50" t="s">
        <v>133</v>
      </c>
      <c r="B185" s="43" t="s">
        <v>140</v>
      </c>
      <c r="C185" s="43" t="s">
        <v>142</v>
      </c>
      <c r="D185" s="43" t="s">
        <v>94</v>
      </c>
      <c r="E185" s="43" t="s">
        <v>43</v>
      </c>
      <c r="F185" s="44">
        <f>304268.11</f>
        <v>304268.11</v>
      </c>
      <c r="G185" s="44">
        <f>107358.45</f>
        <v>107358.45</v>
      </c>
      <c r="H185" s="51" t="s">
        <v>0</v>
      </c>
    </row>
    <row r="186" spans="1:8" s="1" customFormat="1" ht="13.5" customHeight="1">
      <c r="A186" s="50" t="s">
        <v>133</v>
      </c>
      <c r="B186" s="43" t="s">
        <v>140</v>
      </c>
      <c r="C186" s="43" t="s">
        <v>143</v>
      </c>
      <c r="D186" s="43" t="s">
        <v>92</v>
      </c>
      <c r="E186" s="43" t="s">
        <v>144</v>
      </c>
      <c r="F186" s="44">
        <f>86482.33</f>
        <v>86482.33</v>
      </c>
      <c r="G186" s="44">
        <f>86251.92</f>
        <v>86251.92</v>
      </c>
      <c r="H186" s="52">
        <f>86251.92</f>
        <v>86251.92</v>
      </c>
    </row>
    <row r="187" spans="1:8" s="1" customFormat="1" ht="13.5" customHeight="1">
      <c r="A187" s="50" t="s">
        <v>133</v>
      </c>
      <c r="B187" s="43" t="s">
        <v>140</v>
      </c>
      <c r="C187" s="43" t="s">
        <v>143</v>
      </c>
      <c r="D187" s="43" t="s">
        <v>94</v>
      </c>
      <c r="E187" s="43" t="s">
        <v>144</v>
      </c>
      <c r="F187" s="44">
        <f>26117.67</f>
        <v>26117.67</v>
      </c>
      <c r="G187" s="44">
        <f>26048.08</f>
        <v>26048.08</v>
      </c>
      <c r="H187" s="52">
        <f>26048.08</f>
        <v>26048.08</v>
      </c>
    </row>
    <row r="188" spans="1:8" s="1" customFormat="1" ht="13.5" customHeight="1">
      <c r="A188" s="50" t="s">
        <v>133</v>
      </c>
      <c r="B188" s="43" t="s">
        <v>140</v>
      </c>
      <c r="C188" s="43" t="s">
        <v>145</v>
      </c>
      <c r="D188" s="43" t="s">
        <v>92</v>
      </c>
      <c r="E188" s="43" t="s">
        <v>146</v>
      </c>
      <c r="F188" s="44">
        <f>994854.07</f>
        <v>994854.07</v>
      </c>
      <c r="G188" s="44">
        <f>994854.07</f>
        <v>994854.07</v>
      </c>
      <c r="H188" s="52">
        <f>994854.07</f>
        <v>994854.07</v>
      </c>
    </row>
    <row r="189" spans="1:8" s="1" customFormat="1" ht="13.5" customHeight="1">
      <c r="A189" s="50" t="s">
        <v>133</v>
      </c>
      <c r="B189" s="43" t="s">
        <v>140</v>
      </c>
      <c r="C189" s="43" t="s">
        <v>145</v>
      </c>
      <c r="D189" s="43" t="s">
        <v>93</v>
      </c>
      <c r="E189" s="43" t="s">
        <v>146</v>
      </c>
      <c r="F189" s="44">
        <f>10000</f>
        <v>10000</v>
      </c>
      <c r="G189" s="44">
        <f>10000</f>
        <v>10000</v>
      </c>
      <c r="H189" s="52">
        <f>10000</f>
        <v>10000</v>
      </c>
    </row>
    <row r="190" spans="1:8" s="1" customFormat="1" ht="13.5" customHeight="1">
      <c r="A190" s="50" t="s">
        <v>133</v>
      </c>
      <c r="B190" s="43" t="s">
        <v>140</v>
      </c>
      <c r="C190" s="43" t="s">
        <v>145</v>
      </c>
      <c r="D190" s="43" t="s">
        <v>94</v>
      </c>
      <c r="E190" s="43" t="s">
        <v>146</v>
      </c>
      <c r="F190" s="44">
        <f>300445.93</f>
        <v>300445.93</v>
      </c>
      <c r="G190" s="44">
        <f>300445.93</f>
        <v>300445.93</v>
      </c>
      <c r="H190" s="52">
        <f>300445.93</f>
        <v>300445.93</v>
      </c>
    </row>
    <row r="191" spans="1:8" s="1" customFormat="1" ht="13.5" customHeight="1">
      <c r="A191" s="50" t="s">
        <v>133</v>
      </c>
      <c r="B191" s="43" t="s">
        <v>140</v>
      </c>
      <c r="C191" s="43" t="s">
        <v>145</v>
      </c>
      <c r="D191" s="43" t="s">
        <v>25</v>
      </c>
      <c r="E191" s="43" t="s">
        <v>146</v>
      </c>
      <c r="F191" s="44">
        <f>100000</f>
        <v>100000</v>
      </c>
      <c r="G191" s="44">
        <f>100000</f>
        <v>100000</v>
      </c>
      <c r="H191" s="52">
        <f>100000</f>
        <v>100000</v>
      </c>
    </row>
    <row r="192" spans="1:8" s="1" customFormat="1" ht="13.5" customHeight="1">
      <c r="A192" s="50" t="s">
        <v>133</v>
      </c>
      <c r="B192" s="43" t="s">
        <v>140</v>
      </c>
      <c r="C192" s="43" t="s">
        <v>147</v>
      </c>
      <c r="D192" s="43" t="s">
        <v>25</v>
      </c>
      <c r="E192" s="43" t="s">
        <v>148</v>
      </c>
      <c r="F192" s="44">
        <f>100</f>
        <v>100</v>
      </c>
      <c r="G192" s="44">
        <f>100</f>
        <v>100</v>
      </c>
      <c r="H192" s="52">
        <f>100</f>
        <v>100</v>
      </c>
    </row>
    <row r="193" spans="1:8" s="1" customFormat="1" ht="33.75" customHeight="1">
      <c r="A193" s="50" t="s">
        <v>133</v>
      </c>
      <c r="B193" s="43" t="s">
        <v>149</v>
      </c>
      <c r="C193" s="43" t="s">
        <v>150</v>
      </c>
      <c r="D193" s="43" t="s">
        <v>25</v>
      </c>
      <c r="E193" s="43" t="s">
        <v>151</v>
      </c>
      <c r="F193" s="44">
        <f>1600</f>
        <v>1600</v>
      </c>
      <c r="G193" s="44">
        <f>1700</f>
        <v>1700</v>
      </c>
      <c r="H193" s="52">
        <f>1500</f>
        <v>1500</v>
      </c>
    </row>
    <row r="194" spans="1:8" s="1" customFormat="1" ht="13.5" customHeight="1">
      <c r="A194" s="50" t="s">
        <v>133</v>
      </c>
      <c r="B194" s="43" t="s">
        <v>103</v>
      </c>
      <c r="C194" s="43" t="s">
        <v>137</v>
      </c>
      <c r="D194" s="43" t="s">
        <v>92</v>
      </c>
      <c r="E194" s="43" t="s">
        <v>0</v>
      </c>
      <c r="F194" s="44">
        <f>1104294.56</f>
        <v>1104294.56</v>
      </c>
      <c r="G194" s="44">
        <f>995683.56</f>
        <v>995683.56</v>
      </c>
      <c r="H194" s="52">
        <f>995683.56</f>
        <v>995683.56</v>
      </c>
    </row>
    <row r="195" spans="1:8" s="1" customFormat="1" ht="13.5" customHeight="1">
      <c r="A195" s="50" t="s">
        <v>133</v>
      </c>
      <c r="B195" s="43" t="s">
        <v>103</v>
      </c>
      <c r="C195" s="43" t="s">
        <v>137</v>
      </c>
      <c r="D195" s="43" t="s">
        <v>94</v>
      </c>
      <c r="E195" s="43" t="s">
        <v>0</v>
      </c>
      <c r="F195" s="44">
        <f>333496.96</f>
        <v>333496.96</v>
      </c>
      <c r="G195" s="44">
        <f>300696.44</f>
        <v>300696.44</v>
      </c>
      <c r="H195" s="52">
        <f>300696.44</f>
        <v>300696.44</v>
      </c>
    </row>
    <row r="196" spans="1:8" s="1" customFormat="1" ht="13.5" customHeight="1">
      <c r="A196" s="50" t="s">
        <v>133</v>
      </c>
      <c r="B196" s="43" t="s">
        <v>152</v>
      </c>
      <c r="C196" s="43" t="s">
        <v>153</v>
      </c>
      <c r="D196" s="43" t="s">
        <v>154</v>
      </c>
      <c r="E196" s="43" t="s">
        <v>0</v>
      </c>
      <c r="F196" s="44">
        <f>3236330</f>
        <v>3236330</v>
      </c>
      <c r="G196" s="45" t="s">
        <v>0</v>
      </c>
      <c r="H196" s="51" t="s">
        <v>0</v>
      </c>
    </row>
    <row r="197" spans="1:8" s="1" customFormat="1" ht="13.5" customHeight="1">
      <c r="A197" s="50" t="s">
        <v>133</v>
      </c>
      <c r="B197" s="43" t="s">
        <v>152</v>
      </c>
      <c r="C197" s="43" t="s">
        <v>109</v>
      </c>
      <c r="D197" s="43" t="s">
        <v>154</v>
      </c>
      <c r="E197" s="43" t="s">
        <v>0</v>
      </c>
      <c r="F197" s="44">
        <f>32772</f>
        <v>32772</v>
      </c>
      <c r="G197" s="45" t="s">
        <v>0</v>
      </c>
      <c r="H197" s="51" t="s">
        <v>0</v>
      </c>
    </row>
    <row r="198" spans="1:8" s="1" customFormat="1" ht="13.5" customHeight="1">
      <c r="A198" s="50" t="s">
        <v>133</v>
      </c>
      <c r="B198" s="43" t="s">
        <v>155</v>
      </c>
      <c r="C198" s="43" t="s">
        <v>156</v>
      </c>
      <c r="D198" s="43" t="s">
        <v>92</v>
      </c>
      <c r="E198" s="43" t="s">
        <v>157</v>
      </c>
      <c r="F198" s="44">
        <f>653686.65</f>
        <v>653686.65</v>
      </c>
      <c r="G198" s="44">
        <f>653686.65</f>
        <v>653686.65</v>
      </c>
      <c r="H198" s="52">
        <f>653686.65</f>
        <v>653686.65</v>
      </c>
    </row>
    <row r="199" spans="1:8" s="1" customFormat="1" ht="13.5" customHeight="1">
      <c r="A199" s="50" t="s">
        <v>133</v>
      </c>
      <c r="B199" s="43" t="s">
        <v>155</v>
      </c>
      <c r="C199" s="43" t="s">
        <v>156</v>
      </c>
      <c r="D199" s="43" t="s">
        <v>93</v>
      </c>
      <c r="E199" s="43" t="s">
        <v>157</v>
      </c>
      <c r="F199" s="44">
        <f>10000</f>
        <v>10000</v>
      </c>
      <c r="G199" s="44">
        <f>8500</f>
        <v>8500</v>
      </c>
      <c r="H199" s="52">
        <f>8500</f>
        <v>8500</v>
      </c>
    </row>
    <row r="200" spans="1:8" s="1" customFormat="1" ht="13.5" customHeight="1">
      <c r="A200" s="50" t="s">
        <v>133</v>
      </c>
      <c r="B200" s="43" t="s">
        <v>155</v>
      </c>
      <c r="C200" s="43" t="s">
        <v>156</v>
      </c>
      <c r="D200" s="43" t="s">
        <v>94</v>
      </c>
      <c r="E200" s="43" t="s">
        <v>157</v>
      </c>
      <c r="F200" s="44">
        <f>197413.35</f>
        <v>197413.35</v>
      </c>
      <c r="G200" s="44">
        <f>197413.35</f>
        <v>197413.35</v>
      </c>
      <c r="H200" s="52">
        <f>197413.35</f>
        <v>197413.35</v>
      </c>
    </row>
    <row r="201" spans="1:8" s="1" customFormat="1" ht="13.5" customHeight="1">
      <c r="A201" s="50" t="s">
        <v>133</v>
      </c>
      <c r="B201" s="43" t="s">
        <v>155</v>
      </c>
      <c r="C201" s="43" t="s">
        <v>156</v>
      </c>
      <c r="D201" s="43" t="s">
        <v>25</v>
      </c>
      <c r="E201" s="43" t="s">
        <v>157</v>
      </c>
      <c r="F201" s="44">
        <f>25000</f>
        <v>25000</v>
      </c>
      <c r="G201" s="44">
        <f>25000</f>
        <v>25000</v>
      </c>
      <c r="H201" s="52">
        <f>25000</f>
        <v>25000</v>
      </c>
    </row>
    <row r="202" spans="1:8" s="1" customFormat="1" ht="13.5" customHeight="1">
      <c r="A202" s="50" t="s">
        <v>133</v>
      </c>
      <c r="B202" s="43" t="s">
        <v>155</v>
      </c>
      <c r="C202" s="43" t="s">
        <v>158</v>
      </c>
      <c r="D202" s="43" t="s">
        <v>25</v>
      </c>
      <c r="E202" s="43" t="s">
        <v>159</v>
      </c>
      <c r="F202" s="44">
        <f>76700</f>
        <v>76700</v>
      </c>
      <c r="G202" s="44">
        <f>76400</f>
        <v>76400</v>
      </c>
      <c r="H202" s="52">
        <f>76400</f>
        <v>76400</v>
      </c>
    </row>
    <row r="203" spans="1:8" s="1" customFormat="1" ht="13.5" customHeight="1">
      <c r="A203" s="50" t="s">
        <v>133</v>
      </c>
      <c r="B203" s="43" t="s">
        <v>155</v>
      </c>
      <c r="C203" s="43" t="s">
        <v>160</v>
      </c>
      <c r="D203" s="43" t="s">
        <v>92</v>
      </c>
      <c r="E203" s="43" t="s">
        <v>161</v>
      </c>
      <c r="F203" s="44">
        <f>261904.76</f>
        <v>261904.76</v>
      </c>
      <c r="G203" s="44">
        <f>261443.93</f>
        <v>261443.93</v>
      </c>
      <c r="H203" s="52">
        <f>261443.93</f>
        <v>261443.93</v>
      </c>
    </row>
    <row r="204" spans="1:8" s="1" customFormat="1" ht="13.5" customHeight="1">
      <c r="A204" s="50" t="s">
        <v>133</v>
      </c>
      <c r="B204" s="43" t="s">
        <v>155</v>
      </c>
      <c r="C204" s="43" t="s">
        <v>160</v>
      </c>
      <c r="D204" s="43" t="s">
        <v>94</v>
      </c>
      <c r="E204" s="43" t="s">
        <v>161</v>
      </c>
      <c r="F204" s="44">
        <f>79095.24</f>
        <v>79095.24</v>
      </c>
      <c r="G204" s="44">
        <f>78956.07</f>
        <v>78956.07</v>
      </c>
      <c r="H204" s="52">
        <f>78956.07</f>
        <v>78956.07</v>
      </c>
    </row>
    <row r="205" spans="1:8" s="1" customFormat="1" ht="13.5" customHeight="1">
      <c r="A205" s="50" t="s">
        <v>133</v>
      </c>
      <c r="B205" s="43" t="s">
        <v>155</v>
      </c>
      <c r="C205" s="43" t="s">
        <v>162</v>
      </c>
      <c r="D205" s="43" t="s">
        <v>163</v>
      </c>
      <c r="E205" s="43" t="s">
        <v>0</v>
      </c>
      <c r="F205" s="44">
        <f>608.16</f>
        <v>608.16</v>
      </c>
      <c r="G205" s="44">
        <f>608.16</f>
        <v>608.16</v>
      </c>
      <c r="H205" s="52">
        <f>608.16</f>
        <v>608.16</v>
      </c>
    </row>
    <row r="206" spans="1:8" s="1" customFormat="1" ht="13.5" customHeight="1">
      <c r="A206" s="50" t="s">
        <v>133</v>
      </c>
      <c r="B206" s="43" t="s">
        <v>155</v>
      </c>
      <c r="C206" s="43" t="s">
        <v>162</v>
      </c>
      <c r="D206" s="43" t="s">
        <v>163</v>
      </c>
      <c r="E206" s="43" t="s">
        <v>164</v>
      </c>
      <c r="F206" s="44">
        <f>29860</f>
        <v>29860</v>
      </c>
      <c r="G206" s="44">
        <f>29860</f>
        <v>29860</v>
      </c>
      <c r="H206" s="52">
        <f>29860</f>
        <v>29860</v>
      </c>
    </row>
    <row r="207" spans="1:8" s="1" customFormat="1" ht="13.5" customHeight="1">
      <c r="A207" s="50" t="s">
        <v>133</v>
      </c>
      <c r="B207" s="43" t="s">
        <v>155</v>
      </c>
      <c r="C207" s="43" t="s">
        <v>165</v>
      </c>
      <c r="D207" s="43" t="s">
        <v>25</v>
      </c>
      <c r="E207" s="43" t="s">
        <v>0</v>
      </c>
      <c r="F207" s="44">
        <f>10000</f>
        <v>10000</v>
      </c>
      <c r="G207" s="45" t="s">
        <v>0</v>
      </c>
      <c r="H207" s="51" t="s">
        <v>0</v>
      </c>
    </row>
    <row r="208" spans="1:8" s="1" customFormat="1" ht="13.5" customHeight="1">
      <c r="A208" s="50" t="s">
        <v>133</v>
      </c>
      <c r="B208" s="43" t="s">
        <v>155</v>
      </c>
      <c r="C208" s="43" t="s">
        <v>109</v>
      </c>
      <c r="D208" s="43" t="s">
        <v>166</v>
      </c>
      <c r="E208" s="43" t="s">
        <v>0</v>
      </c>
      <c r="F208" s="44">
        <f>25000</f>
        <v>25000</v>
      </c>
      <c r="G208" s="45" t="s">
        <v>0</v>
      </c>
      <c r="H208" s="51" t="s">
        <v>0</v>
      </c>
    </row>
    <row r="209" spans="1:8" s="1" customFormat="1" ht="13.5" customHeight="1">
      <c r="A209" s="50" t="s">
        <v>133</v>
      </c>
      <c r="B209" s="43" t="s">
        <v>167</v>
      </c>
      <c r="C209" s="43" t="s">
        <v>168</v>
      </c>
      <c r="D209" s="43" t="s">
        <v>25</v>
      </c>
      <c r="E209" s="43" t="s">
        <v>0</v>
      </c>
      <c r="F209" s="44">
        <f>68000</f>
        <v>68000</v>
      </c>
      <c r="G209" s="44">
        <f>68000</f>
        <v>68000</v>
      </c>
      <c r="H209" s="52">
        <f>68000</f>
        <v>68000</v>
      </c>
    </row>
    <row r="210" spans="1:8" s="1" customFormat="1" ht="13.5" customHeight="1">
      <c r="A210" s="50" t="s">
        <v>133</v>
      </c>
      <c r="B210" s="43" t="s">
        <v>167</v>
      </c>
      <c r="C210" s="43" t="s">
        <v>169</v>
      </c>
      <c r="D210" s="43">
        <v>111</v>
      </c>
      <c r="E210" s="43" t="s">
        <v>0</v>
      </c>
      <c r="F210" s="44">
        <v>0</v>
      </c>
      <c r="G210" s="45" t="s">
        <v>0</v>
      </c>
      <c r="H210" s="51" t="s">
        <v>0</v>
      </c>
    </row>
    <row r="211" spans="1:8" s="1" customFormat="1" ht="13.5" customHeight="1">
      <c r="A211" s="50" t="s">
        <v>133</v>
      </c>
      <c r="B211" s="43" t="s">
        <v>167</v>
      </c>
      <c r="C211" s="43" t="s">
        <v>169</v>
      </c>
      <c r="D211" s="43" t="s">
        <v>22</v>
      </c>
      <c r="E211" s="43" t="s">
        <v>0</v>
      </c>
      <c r="F211" s="44">
        <f>2786958.53+179645</f>
        <v>2966603.53</v>
      </c>
      <c r="G211" s="44">
        <f>2786958.53</f>
        <v>2786958.53</v>
      </c>
      <c r="H211" s="52">
        <f>2786958.53</f>
        <v>2786958.53</v>
      </c>
    </row>
    <row r="212" spans="1:8" s="1" customFormat="1" ht="13.5" customHeight="1">
      <c r="A212" s="50" t="s">
        <v>133</v>
      </c>
      <c r="B212" s="43" t="s">
        <v>167</v>
      </c>
      <c r="C212" s="43" t="s">
        <v>169</v>
      </c>
      <c r="D212" s="43" t="s">
        <v>24</v>
      </c>
      <c r="E212" s="43" t="s">
        <v>0</v>
      </c>
      <c r="F212" s="44">
        <f>841661.47+54250</f>
        <v>895911.47</v>
      </c>
      <c r="G212" s="44">
        <f>841661.47</f>
        <v>841661.47</v>
      </c>
      <c r="H212" s="52">
        <f>841661.47</f>
        <v>841661.47</v>
      </c>
    </row>
    <row r="213" spans="1:8" s="1" customFormat="1" ht="13.5" customHeight="1">
      <c r="A213" s="50" t="s">
        <v>133</v>
      </c>
      <c r="B213" s="43" t="s">
        <v>167</v>
      </c>
      <c r="C213" s="43" t="s">
        <v>169</v>
      </c>
      <c r="D213" s="43" t="s">
        <v>25</v>
      </c>
      <c r="E213" s="43" t="s">
        <v>0</v>
      </c>
      <c r="F213" s="44">
        <f>287400</f>
        <v>287400</v>
      </c>
      <c r="G213" s="45" t="s">
        <v>0</v>
      </c>
      <c r="H213" s="51" t="s">
        <v>0</v>
      </c>
    </row>
    <row r="214" spans="1:8" s="1" customFormat="1" ht="13.5" customHeight="1">
      <c r="A214" s="50" t="s">
        <v>133</v>
      </c>
      <c r="B214" s="43" t="s">
        <v>167</v>
      </c>
      <c r="C214" s="43" t="s">
        <v>170</v>
      </c>
      <c r="D214" s="43" t="s">
        <v>22</v>
      </c>
      <c r="E214" s="43" t="s">
        <v>43</v>
      </c>
      <c r="F214" s="44">
        <f>660549.02</f>
        <v>660549.02</v>
      </c>
      <c r="G214" s="44">
        <f>236781.87</f>
        <v>236781.87</v>
      </c>
      <c r="H214" s="51" t="s">
        <v>0</v>
      </c>
    </row>
    <row r="215" spans="1:8" s="1" customFormat="1" ht="13.5" customHeight="1">
      <c r="A215" s="50" t="s">
        <v>133</v>
      </c>
      <c r="B215" s="43" t="s">
        <v>167</v>
      </c>
      <c r="C215" s="43" t="s">
        <v>170</v>
      </c>
      <c r="D215" s="43" t="s">
        <v>24</v>
      </c>
      <c r="E215" s="43" t="s">
        <v>43</v>
      </c>
      <c r="F215" s="44">
        <f>199485.98</f>
        <v>199485.98</v>
      </c>
      <c r="G215" s="44">
        <f>71508.13</f>
        <v>71508.13</v>
      </c>
      <c r="H215" s="51" t="s">
        <v>0</v>
      </c>
    </row>
    <row r="216" spans="1:8" s="1" customFormat="1" ht="13.5" customHeight="1">
      <c r="A216" s="50" t="s">
        <v>133</v>
      </c>
      <c r="B216" s="43" t="s">
        <v>167</v>
      </c>
      <c r="C216" s="43" t="s">
        <v>109</v>
      </c>
      <c r="D216" s="43" t="s">
        <v>25</v>
      </c>
      <c r="E216" s="43" t="s">
        <v>0</v>
      </c>
      <c r="F216" s="44">
        <f>203400</f>
        <v>203400</v>
      </c>
      <c r="G216" s="45" t="s">
        <v>0</v>
      </c>
      <c r="H216" s="51" t="s">
        <v>0</v>
      </c>
    </row>
    <row r="217" spans="1:8" s="1" customFormat="1" ht="13.5" customHeight="1">
      <c r="A217" s="50" t="s">
        <v>133</v>
      </c>
      <c r="B217" s="43" t="s">
        <v>171</v>
      </c>
      <c r="C217" s="43" t="s">
        <v>172</v>
      </c>
      <c r="D217" s="43" t="s">
        <v>25</v>
      </c>
      <c r="E217" s="43" t="s">
        <v>0</v>
      </c>
      <c r="F217" s="44">
        <f>21665</f>
        <v>21665</v>
      </c>
      <c r="G217" s="45" t="s">
        <v>0</v>
      </c>
      <c r="H217" s="51" t="s">
        <v>0</v>
      </c>
    </row>
    <row r="218" spans="1:8" s="1" customFormat="1" ht="13.5" customHeight="1">
      <c r="A218" s="50" t="s">
        <v>133</v>
      </c>
      <c r="B218" s="43" t="s">
        <v>171</v>
      </c>
      <c r="C218" s="43" t="s">
        <v>173</v>
      </c>
      <c r="D218" s="43" t="s">
        <v>25</v>
      </c>
      <c r="E218" s="43" t="s">
        <v>0</v>
      </c>
      <c r="F218" s="45" t="s">
        <v>0</v>
      </c>
      <c r="G218" s="44">
        <f>195560</f>
        <v>195560</v>
      </c>
      <c r="H218" s="51" t="s">
        <v>0</v>
      </c>
    </row>
    <row r="219" spans="1:8" s="1" customFormat="1" ht="13.5" customHeight="1">
      <c r="A219" s="50" t="s">
        <v>133</v>
      </c>
      <c r="B219" s="43" t="s">
        <v>171</v>
      </c>
      <c r="C219" s="43" t="s">
        <v>174</v>
      </c>
      <c r="D219" s="43" t="s">
        <v>25</v>
      </c>
      <c r="E219" s="43" t="s">
        <v>0</v>
      </c>
      <c r="F219" s="44">
        <f>7675</f>
        <v>7675</v>
      </c>
      <c r="G219" s="45" t="s">
        <v>0</v>
      </c>
      <c r="H219" s="51" t="s">
        <v>0</v>
      </c>
    </row>
    <row r="220" spans="1:8" s="1" customFormat="1" ht="13.5" customHeight="1">
      <c r="A220" s="50" t="s">
        <v>133</v>
      </c>
      <c r="B220" s="43" t="s">
        <v>175</v>
      </c>
      <c r="C220" s="43" t="s">
        <v>176</v>
      </c>
      <c r="D220" s="43" t="s">
        <v>25</v>
      </c>
      <c r="E220" s="43" t="s">
        <v>0</v>
      </c>
      <c r="F220" s="44">
        <f>120000</f>
        <v>120000</v>
      </c>
      <c r="G220" s="44">
        <f>240000</f>
        <v>240000</v>
      </c>
      <c r="H220" s="51" t="s">
        <v>0</v>
      </c>
    </row>
    <row r="221" spans="1:8" s="1" customFormat="1" ht="13.5" customHeight="1">
      <c r="A221" s="50" t="s">
        <v>133</v>
      </c>
      <c r="B221" s="43" t="s">
        <v>175</v>
      </c>
      <c r="C221" s="43" t="s">
        <v>177</v>
      </c>
      <c r="D221" s="43" t="s">
        <v>25</v>
      </c>
      <c r="E221" s="43" t="s">
        <v>178</v>
      </c>
      <c r="F221" s="44">
        <f>189600</f>
        <v>189600</v>
      </c>
      <c r="G221" s="44">
        <f>189600</f>
        <v>189600</v>
      </c>
      <c r="H221" s="52">
        <f>189600</f>
        <v>189600</v>
      </c>
    </row>
    <row r="222" spans="1:8" s="1" customFormat="1" ht="13.5" customHeight="1">
      <c r="A222" s="50" t="s">
        <v>133</v>
      </c>
      <c r="B222" s="43" t="s">
        <v>175</v>
      </c>
      <c r="C222" s="43" t="s">
        <v>179</v>
      </c>
      <c r="D222" s="43" t="s">
        <v>25</v>
      </c>
      <c r="E222" s="43" t="s">
        <v>180</v>
      </c>
      <c r="F222" s="44">
        <f>524600</f>
        <v>524600</v>
      </c>
      <c r="G222" s="44">
        <f>524600</f>
        <v>524600</v>
      </c>
      <c r="H222" s="52">
        <f>524600</f>
        <v>524600</v>
      </c>
    </row>
    <row r="223" spans="1:8" s="1" customFormat="1" ht="13.5" customHeight="1">
      <c r="A223" s="50" t="s">
        <v>133</v>
      </c>
      <c r="B223" s="43" t="s">
        <v>181</v>
      </c>
      <c r="C223" s="43" t="s">
        <v>182</v>
      </c>
      <c r="D223" s="43" t="s">
        <v>25</v>
      </c>
      <c r="E223" s="43" t="s">
        <v>0</v>
      </c>
      <c r="F223" s="45" t="s">
        <v>0</v>
      </c>
      <c r="G223" s="44">
        <f>4050000</f>
        <v>4050000</v>
      </c>
      <c r="H223" s="52">
        <f>4050000</f>
        <v>4050000</v>
      </c>
    </row>
    <row r="224" spans="1:8" s="1" customFormat="1" ht="13.5" customHeight="1">
      <c r="A224" s="50" t="s">
        <v>133</v>
      </c>
      <c r="B224" s="43" t="s">
        <v>183</v>
      </c>
      <c r="C224" s="43" t="s">
        <v>184</v>
      </c>
      <c r="D224" s="43" t="s">
        <v>25</v>
      </c>
      <c r="E224" s="43" t="s">
        <v>0</v>
      </c>
      <c r="F224" s="44">
        <f>21571236.56</f>
        <v>21571236.56</v>
      </c>
      <c r="G224" s="44">
        <f>15597820</f>
        <v>15597820</v>
      </c>
      <c r="H224" s="52">
        <f>16800340</f>
        <v>16800340</v>
      </c>
    </row>
    <row r="225" spans="1:8" s="1" customFormat="1" ht="13.5" customHeight="1">
      <c r="A225" s="50" t="s">
        <v>133</v>
      </c>
      <c r="B225" s="43" t="s">
        <v>110</v>
      </c>
      <c r="C225" s="43" t="s">
        <v>185</v>
      </c>
      <c r="D225" s="43" t="s">
        <v>92</v>
      </c>
      <c r="E225" s="43" t="s">
        <v>186</v>
      </c>
      <c r="F225" s="44">
        <f>54623.66</f>
        <v>54623.66</v>
      </c>
      <c r="G225" s="44">
        <f>53763.44</f>
        <v>53763.44</v>
      </c>
      <c r="H225" s="52">
        <f>53763.44</f>
        <v>53763.44</v>
      </c>
    </row>
    <row r="226" spans="1:8" s="1" customFormat="1" ht="13.5" customHeight="1">
      <c r="A226" s="50" t="s">
        <v>133</v>
      </c>
      <c r="B226" s="43" t="s">
        <v>110</v>
      </c>
      <c r="C226" s="43" t="s">
        <v>185</v>
      </c>
      <c r="D226" s="43" t="s">
        <v>94</v>
      </c>
      <c r="E226" s="43" t="s">
        <v>186</v>
      </c>
      <c r="F226" s="44">
        <f>16496.34</f>
        <v>16496.34</v>
      </c>
      <c r="G226" s="44">
        <f>16236.56</f>
        <v>16236.56</v>
      </c>
      <c r="H226" s="52">
        <f>16236.56</f>
        <v>16236.56</v>
      </c>
    </row>
    <row r="227" spans="1:8" s="1" customFormat="1" ht="13.5" customHeight="1">
      <c r="A227" s="50" t="s">
        <v>133</v>
      </c>
      <c r="B227" s="43" t="s">
        <v>110</v>
      </c>
      <c r="C227" s="43" t="s">
        <v>185</v>
      </c>
      <c r="D227" s="43" t="s">
        <v>25</v>
      </c>
      <c r="E227" s="43" t="s">
        <v>186</v>
      </c>
      <c r="F227" s="44">
        <f>2380</f>
        <v>2380</v>
      </c>
      <c r="G227" s="44">
        <f>3400</f>
        <v>3400</v>
      </c>
      <c r="H227" s="52">
        <f>3400</f>
        <v>3400</v>
      </c>
    </row>
    <row r="228" spans="1:8" s="1" customFormat="1" ht="13.5" customHeight="1">
      <c r="A228" s="50" t="s">
        <v>133</v>
      </c>
      <c r="B228" s="43" t="s">
        <v>110</v>
      </c>
      <c r="C228" s="43" t="s">
        <v>187</v>
      </c>
      <c r="D228" s="43" t="s">
        <v>188</v>
      </c>
      <c r="E228" s="43" t="s">
        <v>0</v>
      </c>
      <c r="F228" s="44">
        <f>350000</f>
        <v>350000</v>
      </c>
      <c r="G228" s="44">
        <f>350000</f>
        <v>350000</v>
      </c>
      <c r="H228" s="51" t="s">
        <v>0</v>
      </c>
    </row>
    <row r="229" spans="1:8" s="1" customFormat="1" ht="13.5" customHeight="1">
      <c r="A229" s="50" t="s">
        <v>133</v>
      </c>
      <c r="B229" s="43" t="s">
        <v>110</v>
      </c>
      <c r="C229" s="43" t="s">
        <v>189</v>
      </c>
      <c r="D229" s="43" t="s">
        <v>25</v>
      </c>
      <c r="E229" s="43" t="s">
        <v>0</v>
      </c>
      <c r="F229" s="44">
        <f>42700</f>
        <v>42700</v>
      </c>
      <c r="G229" s="44">
        <f>100000</f>
        <v>100000</v>
      </c>
      <c r="H229" s="51" t="s">
        <v>0</v>
      </c>
    </row>
    <row r="230" spans="1:8" s="1" customFormat="1" ht="13.5" customHeight="1">
      <c r="A230" s="50" t="s">
        <v>133</v>
      </c>
      <c r="B230" s="43" t="s">
        <v>110</v>
      </c>
      <c r="C230" s="43" t="s">
        <v>190</v>
      </c>
      <c r="D230" s="43" t="s">
        <v>36</v>
      </c>
      <c r="E230" s="43" t="s">
        <v>0</v>
      </c>
      <c r="F230" s="44">
        <f>5078202.6</f>
        <v>5078202.6</v>
      </c>
      <c r="G230" s="44">
        <f>406440</f>
        <v>406440</v>
      </c>
      <c r="H230" s="52">
        <f>406440</f>
        <v>406440</v>
      </c>
    </row>
    <row r="231" spans="1:8" s="1" customFormat="1" ht="13.5" customHeight="1">
      <c r="A231" s="50" t="s">
        <v>133</v>
      </c>
      <c r="B231" s="43" t="s">
        <v>110</v>
      </c>
      <c r="C231" s="43" t="s">
        <v>191</v>
      </c>
      <c r="D231" s="43" t="s">
        <v>25</v>
      </c>
      <c r="E231" s="43" t="s">
        <v>0</v>
      </c>
      <c r="F231" s="44">
        <f>1717644.21</f>
        <v>1717644.21</v>
      </c>
      <c r="G231" s="45" t="s">
        <v>0</v>
      </c>
      <c r="H231" s="51" t="s">
        <v>0</v>
      </c>
    </row>
    <row r="232" spans="1:8" s="1" customFormat="1" ht="13.5" customHeight="1">
      <c r="A232" s="50" t="s">
        <v>133</v>
      </c>
      <c r="B232" s="43" t="s">
        <v>110</v>
      </c>
      <c r="C232" s="43" t="s">
        <v>191</v>
      </c>
      <c r="D232" s="43" t="s">
        <v>32</v>
      </c>
      <c r="E232" s="43" t="s">
        <v>0</v>
      </c>
      <c r="F232" s="44">
        <f>1407623</f>
        <v>1407623</v>
      </c>
      <c r="G232" s="45" t="s">
        <v>0</v>
      </c>
      <c r="H232" s="51" t="s">
        <v>0</v>
      </c>
    </row>
    <row r="233" spans="1:8" s="1" customFormat="1" ht="13.5" customHeight="1">
      <c r="A233" s="50" t="s">
        <v>133</v>
      </c>
      <c r="B233" s="43" t="s">
        <v>110</v>
      </c>
      <c r="C233" s="43" t="s">
        <v>191</v>
      </c>
      <c r="D233" s="43" t="s">
        <v>54</v>
      </c>
      <c r="E233" s="43" t="s">
        <v>0</v>
      </c>
      <c r="F233" s="44">
        <f>85160</f>
        <v>85160</v>
      </c>
      <c r="G233" s="45" t="s">
        <v>0</v>
      </c>
      <c r="H233" s="51" t="s">
        <v>0</v>
      </c>
    </row>
    <row r="234" spans="1:8" s="1" customFormat="1" ht="13.5" customHeight="1">
      <c r="A234" s="50" t="s">
        <v>133</v>
      </c>
      <c r="B234" s="43" t="s">
        <v>110</v>
      </c>
      <c r="C234" s="43" t="s">
        <v>192</v>
      </c>
      <c r="D234" s="43" t="s">
        <v>22</v>
      </c>
      <c r="E234" s="43" t="s">
        <v>0</v>
      </c>
      <c r="F234" s="44">
        <f>3749370.2</f>
        <v>3749370.2</v>
      </c>
      <c r="G234" s="44">
        <f>3902457.76</f>
        <v>3902457.76</v>
      </c>
      <c r="H234" s="52">
        <f>3902457.76</f>
        <v>3902457.76</v>
      </c>
    </row>
    <row r="235" spans="1:8" s="1" customFormat="1" ht="13.5" customHeight="1">
      <c r="A235" s="50" t="s">
        <v>133</v>
      </c>
      <c r="B235" s="43" t="s">
        <v>110</v>
      </c>
      <c r="C235" s="43" t="s">
        <v>192</v>
      </c>
      <c r="D235" s="43" t="s">
        <v>51</v>
      </c>
      <c r="E235" s="43" t="s">
        <v>0</v>
      </c>
      <c r="F235" s="44">
        <f>65000</f>
        <v>65000</v>
      </c>
      <c r="G235" s="45" t="s">
        <v>0</v>
      </c>
      <c r="H235" s="51" t="s">
        <v>0</v>
      </c>
    </row>
    <row r="236" spans="1:8" s="1" customFormat="1" ht="13.5" customHeight="1">
      <c r="A236" s="50" t="s">
        <v>133</v>
      </c>
      <c r="B236" s="43" t="s">
        <v>110</v>
      </c>
      <c r="C236" s="43" t="s">
        <v>192</v>
      </c>
      <c r="D236" s="43" t="s">
        <v>24</v>
      </c>
      <c r="E236" s="43" t="s">
        <v>0</v>
      </c>
      <c r="F236" s="44">
        <f>1132309.8</f>
        <v>1132309.8</v>
      </c>
      <c r="G236" s="44">
        <f>1178542.24</f>
        <v>1178542.24</v>
      </c>
      <c r="H236" s="52">
        <f>1178542.24</f>
        <v>1178542.24</v>
      </c>
    </row>
    <row r="237" spans="1:8" s="1" customFormat="1" ht="13.5" customHeight="1">
      <c r="A237" s="50" t="s">
        <v>133</v>
      </c>
      <c r="B237" s="43" t="s">
        <v>110</v>
      </c>
      <c r="C237" s="43" t="s">
        <v>192</v>
      </c>
      <c r="D237" s="43" t="s">
        <v>25</v>
      </c>
      <c r="E237" s="43" t="s">
        <v>0</v>
      </c>
      <c r="F237" s="44">
        <f>2484880</f>
        <v>2484880</v>
      </c>
      <c r="G237" s="44">
        <f>2644880</f>
        <v>2644880</v>
      </c>
      <c r="H237" s="51" t="s">
        <v>0</v>
      </c>
    </row>
    <row r="238" spans="1:8" s="1" customFormat="1" ht="13.5" customHeight="1">
      <c r="A238" s="50" t="s">
        <v>133</v>
      </c>
      <c r="B238" s="43" t="s">
        <v>110</v>
      </c>
      <c r="C238" s="43" t="s">
        <v>192</v>
      </c>
      <c r="D238" s="43" t="s">
        <v>32</v>
      </c>
      <c r="E238" s="43" t="s">
        <v>0</v>
      </c>
      <c r="F238" s="44">
        <f>59107.5</f>
        <v>59107.5</v>
      </c>
      <c r="G238" s="44">
        <f>236430</f>
        <v>236430</v>
      </c>
      <c r="H238" s="51" t="s">
        <v>0</v>
      </c>
    </row>
    <row r="239" spans="1:8" s="1" customFormat="1" ht="13.5" customHeight="1">
      <c r="A239" s="50" t="s">
        <v>133</v>
      </c>
      <c r="B239" s="43" t="s">
        <v>110</v>
      </c>
      <c r="C239" s="43" t="s">
        <v>192</v>
      </c>
      <c r="D239" s="43" t="s">
        <v>54</v>
      </c>
      <c r="E239" s="43" t="s">
        <v>0</v>
      </c>
      <c r="F239" s="44">
        <f>900</f>
        <v>900</v>
      </c>
      <c r="G239" s="44">
        <f>900</f>
        <v>900</v>
      </c>
      <c r="H239" s="51" t="s">
        <v>0</v>
      </c>
    </row>
    <row r="240" spans="1:8" s="1" customFormat="1" ht="13.5" customHeight="1">
      <c r="A240" s="50" t="s">
        <v>133</v>
      </c>
      <c r="B240" s="43" t="s">
        <v>110</v>
      </c>
      <c r="C240" s="43" t="s">
        <v>193</v>
      </c>
      <c r="D240" s="43" t="s">
        <v>22</v>
      </c>
      <c r="E240" s="43" t="s">
        <v>43</v>
      </c>
      <c r="F240" s="44">
        <f>1994366.07</f>
        <v>1994366.07</v>
      </c>
      <c r="G240" s="44">
        <f>651989.25</f>
        <v>651989.25</v>
      </c>
      <c r="H240" s="51" t="s">
        <v>0</v>
      </c>
    </row>
    <row r="241" spans="1:8" s="1" customFormat="1" ht="13.5" customHeight="1">
      <c r="A241" s="50" t="s">
        <v>133</v>
      </c>
      <c r="B241" s="43" t="s">
        <v>110</v>
      </c>
      <c r="C241" s="43" t="s">
        <v>193</v>
      </c>
      <c r="D241" s="43" t="s">
        <v>24</v>
      </c>
      <c r="E241" s="43" t="s">
        <v>43</v>
      </c>
      <c r="F241" s="44">
        <f>602300.93</f>
        <v>602300.93</v>
      </c>
      <c r="G241" s="44">
        <f>196900.75</f>
        <v>196900.75</v>
      </c>
      <c r="H241" s="51" t="s">
        <v>0</v>
      </c>
    </row>
    <row r="242" spans="1:8" s="1" customFormat="1" ht="13.5" customHeight="1">
      <c r="A242" s="50" t="s">
        <v>133</v>
      </c>
      <c r="B242" s="43" t="s">
        <v>110</v>
      </c>
      <c r="C242" s="43" t="s">
        <v>194</v>
      </c>
      <c r="D242" s="43" t="s">
        <v>105</v>
      </c>
      <c r="E242" s="43" t="s">
        <v>0</v>
      </c>
      <c r="F242" s="44">
        <f>200000</f>
        <v>200000</v>
      </c>
      <c r="G242" s="44">
        <f>200000</f>
        <v>200000</v>
      </c>
      <c r="H242" s="51" t="s">
        <v>0</v>
      </c>
    </row>
    <row r="243" spans="1:8" s="1" customFormat="1" ht="13.5" customHeight="1">
      <c r="A243" s="50" t="s">
        <v>133</v>
      </c>
      <c r="B243" s="43" t="s">
        <v>110</v>
      </c>
      <c r="C243" s="43" t="s">
        <v>194</v>
      </c>
      <c r="D243" s="43" t="s">
        <v>105</v>
      </c>
      <c r="E243" s="43" t="s">
        <v>31</v>
      </c>
      <c r="F243" s="44">
        <f>180000</f>
        <v>180000</v>
      </c>
      <c r="G243" s="45" t="s">
        <v>0</v>
      </c>
      <c r="H243" s="51" t="s">
        <v>0</v>
      </c>
    </row>
    <row r="244" spans="1:8" s="1" customFormat="1" ht="13.5" customHeight="1">
      <c r="A244" s="50" t="s">
        <v>133</v>
      </c>
      <c r="B244" s="43" t="s">
        <v>110</v>
      </c>
      <c r="C244" s="43" t="s">
        <v>195</v>
      </c>
      <c r="D244" s="43" t="s">
        <v>196</v>
      </c>
      <c r="E244" s="43" t="s">
        <v>0</v>
      </c>
      <c r="F244" s="44">
        <f>14760.03</f>
        <v>14760.03</v>
      </c>
      <c r="G244" s="45" t="s">
        <v>0</v>
      </c>
      <c r="H244" s="51" t="s">
        <v>0</v>
      </c>
    </row>
    <row r="245" spans="1:8" s="1" customFormat="1" ht="13.5" customHeight="1">
      <c r="A245" s="50" t="s">
        <v>133</v>
      </c>
      <c r="B245" s="43" t="s">
        <v>110</v>
      </c>
      <c r="C245" s="43" t="s">
        <v>197</v>
      </c>
      <c r="D245" s="43" t="s">
        <v>25</v>
      </c>
      <c r="E245" s="43" t="s">
        <v>0</v>
      </c>
      <c r="F245" s="44">
        <f>40000</f>
        <v>40000</v>
      </c>
      <c r="G245" s="44">
        <f>80000</f>
        <v>80000</v>
      </c>
      <c r="H245" s="51" t="s">
        <v>0</v>
      </c>
    </row>
    <row r="246" spans="1:8" s="1" customFormat="1" ht="13.5" customHeight="1">
      <c r="A246" s="50" t="s">
        <v>133</v>
      </c>
      <c r="B246" s="43" t="s">
        <v>110</v>
      </c>
      <c r="C246" s="43" t="s">
        <v>109</v>
      </c>
      <c r="D246" s="43" t="s">
        <v>105</v>
      </c>
      <c r="E246" s="43" t="s">
        <v>0</v>
      </c>
      <c r="F246" s="44">
        <f>145000</f>
        <v>145000</v>
      </c>
      <c r="G246" s="45" t="s">
        <v>0</v>
      </c>
      <c r="H246" s="51" t="s">
        <v>0</v>
      </c>
    </row>
    <row r="247" spans="1:8" s="1" customFormat="1" ht="13.5" customHeight="1">
      <c r="A247" s="50" t="s">
        <v>133</v>
      </c>
      <c r="B247" s="43" t="s">
        <v>198</v>
      </c>
      <c r="C247" s="43" t="s">
        <v>199</v>
      </c>
      <c r="D247" s="43" t="s">
        <v>200</v>
      </c>
      <c r="E247" s="43" t="s">
        <v>0</v>
      </c>
      <c r="F247" s="44">
        <f>43000</f>
        <v>43000</v>
      </c>
      <c r="G247" s="45" t="s">
        <v>0</v>
      </c>
      <c r="H247" s="51" t="s">
        <v>0</v>
      </c>
    </row>
    <row r="248" spans="1:8" s="1" customFormat="1" ht="13.5" customHeight="1">
      <c r="A248" s="50" t="s">
        <v>133</v>
      </c>
      <c r="B248" s="43" t="s">
        <v>198</v>
      </c>
      <c r="C248" s="43" t="s">
        <v>199</v>
      </c>
      <c r="D248" s="43" t="s">
        <v>200</v>
      </c>
      <c r="E248" s="43" t="s">
        <v>201</v>
      </c>
      <c r="F248" s="44">
        <f>2107000</f>
        <v>2107000</v>
      </c>
      <c r="G248" s="45" t="s">
        <v>0</v>
      </c>
      <c r="H248" s="51" t="s">
        <v>0</v>
      </c>
    </row>
    <row r="249" spans="1:8" s="1" customFormat="1" ht="13.5" customHeight="1">
      <c r="A249" s="50" t="s">
        <v>133</v>
      </c>
      <c r="B249" s="43" t="s">
        <v>198</v>
      </c>
      <c r="C249" s="43" t="s">
        <v>194</v>
      </c>
      <c r="D249" s="43" t="s">
        <v>105</v>
      </c>
      <c r="E249" s="43" t="s">
        <v>0</v>
      </c>
      <c r="F249" s="44">
        <f>3340800</f>
        <v>3340800</v>
      </c>
      <c r="G249" s="45" t="s">
        <v>0</v>
      </c>
      <c r="H249" s="51" t="s">
        <v>0</v>
      </c>
    </row>
    <row r="250" spans="1:8" s="1" customFormat="1" ht="13.5" customHeight="1">
      <c r="A250" s="50" t="s">
        <v>133</v>
      </c>
      <c r="B250" s="43" t="s">
        <v>113</v>
      </c>
      <c r="C250" s="43" t="s">
        <v>202</v>
      </c>
      <c r="D250" s="43" t="s">
        <v>25</v>
      </c>
      <c r="E250" s="43" t="s">
        <v>0</v>
      </c>
      <c r="F250" s="44">
        <f>64800</f>
        <v>64800</v>
      </c>
      <c r="G250" s="45" t="s">
        <v>0</v>
      </c>
      <c r="H250" s="51" t="s">
        <v>0</v>
      </c>
    </row>
    <row r="251" spans="1:8" s="1" customFormat="1" ht="13.5" customHeight="1">
      <c r="A251" s="50" t="s">
        <v>133</v>
      </c>
      <c r="B251" s="43" t="s">
        <v>113</v>
      </c>
      <c r="C251" s="43" t="s">
        <v>203</v>
      </c>
      <c r="D251" s="43" t="s">
        <v>188</v>
      </c>
      <c r="E251" s="43" t="s">
        <v>0</v>
      </c>
      <c r="F251" s="44">
        <f>400000</f>
        <v>400000</v>
      </c>
      <c r="G251" s="45" t="s">
        <v>0</v>
      </c>
      <c r="H251" s="51" t="s">
        <v>0</v>
      </c>
    </row>
    <row r="252" spans="1:8" s="1" customFormat="1" ht="13.5" customHeight="1">
      <c r="A252" s="50" t="s">
        <v>133</v>
      </c>
      <c r="B252" s="43" t="s">
        <v>113</v>
      </c>
      <c r="C252" s="43" t="s">
        <v>203</v>
      </c>
      <c r="D252" s="43" t="s">
        <v>196</v>
      </c>
      <c r="E252" s="43" t="s">
        <v>0</v>
      </c>
      <c r="F252" s="44">
        <f>1000000</f>
        <v>1000000</v>
      </c>
      <c r="G252" s="45" t="s">
        <v>0</v>
      </c>
      <c r="H252" s="51" t="s">
        <v>0</v>
      </c>
    </row>
    <row r="253" spans="1:8" s="1" customFormat="1" ht="13.5" customHeight="1">
      <c r="A253" s="50" t="s">
        <v>133</v>
      </c>
      <c r="B253" s="43" t="s">
        <v>113</v>
      </c>
      <c r="C253" s="43" t="s">
        <v>204</v>
      </c>
      <c r="D253" s="43" t="s">
        <v>188</v>
      </c>
      <c r="E253" s="43" t="s">
        <v>0</v>
      </c>
      <c r="F253" s="45" t="s">
        <v>0</v>
      </c>
      <c r="G253" s="44">
        <f>30612.24</f>
        <v>30612.24</v>
      </c>
      <c r="H253" s="52">
        <f>30612.24</f>
        <v>30612.24</v>
      </c>
    </row>
    <row r="254" spans="1:8" s="1" customFormat="1" ht="13.5" customHeight="1">
      <c r="A254" s="50" t="s">
        <v>133</v>
      </c>
      <c r="B254" s="43" t="s">
        <v>113</v>
      </c>
      <c r="C254" s="43" t="s">
        <v>204</v>
      </c>
      <c r="D254" s="43" t="s">
        <v>188</v>
      </c>
      <c r="E254" s="43" t="s">
        <v>205</v>
      </c>
      <c r="F254" s="45" t="s">
        <v>0</v>
      </c>
      <c r="G254" s="44">
        <f>1500000</f>
        <v>1500000</v>
      </c>
      <c r="H254" s="52">
        <f>1500000</f>
        <v>1500000</v>
      </c>
    </row>
    <row r="255" spans="1:8" s="1" customFormat="1" ht="13.5" customHeight="1">
      <c r="A255" s="50" t="s">
        <v>133</v>
      </c>
      <c r="B255" s="43" t="s">
        <v>113</v>
      </c>
      <c r="C255" s="43" t="s">
        <v>204</v>
      </c>
      <c r="D255" s="43" t="s">
        <v>196</v>
      </c>
      <c r="E255" s="43" t="s">
        <v>0</v>
      </c>
      <c r="F255" s="44">
        <f>89795.92</f>
        <v>89795.92</v>
      </c>
      <c r="G255" s="45" t="s">
        <v>0</v>
      </c>
      <c r="H255" s="51" t="s">
        <v>0</v>
      </c>
    </row>
    <row r="256" spans="1:8" s="1" customFormat="1" ht="13.5" customHeight="1">
      <c r="A256" s="50" t="s">
        <v>133</v>
      </c>
      <c r="B256" s="43" t="s">
        <v>113</v>
      </c>
      <c r="C256" s="43" t="s">
        <v>204</v>
      </c>
      <c r="D256" s="43" t="s">
        <v>196</v>
      </c>
      <c r="E256" s="43" t="s">
        <v>205</v>
      </c>
      <c r="F256" s="44">
        <f>4500000</f>
        <v>4500000</v>
      </c>
      <c r="G256" s="45" t="s">
        <v>0</v>
      </c>
      <c r="H256" s="51" t="s">
        <v>0</v>
      </c>
    </row>
    <row r="257" spans="1:8" s="1" customFormat="1" ht="13.5" customHeight="1">
      <c r="A257" s="50" t="s">
        <v>133</v>
      </c>
      <c r="B257" s="43" t="s">
        <v>113</v>
      </c>
      <c r="C257" s="43" t="s">
        <v>206</v>
      </c>
      <c r="D257" s="43" t="s">
        <v>58</v>
      </c>
      <c r="E257" s="43" t="s">
        <v>0</v>
      </c>
      <c r="F257" s="44">
        <f>59770</f>
        <v>59770</v>
      </c>
      <c r="G257" s="45" t="s">
        <v>0</v>
      </c>
      <c r="H257" s="51" t="s">
        <v>0</v>
      </c>
    </row>
    <row r="258" spans="1:8" s="1" customFormat="1" ht="13.5" customHeight="1">
      <c r="A258" s="50" t="s">
        <v>133</v>
      </c>
      <c r="B258" s="43" t="s">
        <v>113</v>
      </c>
      <c r="C258" s="43" t="s">
        <v>206</v>
      </c>
      <c r="D258" s="43" t="s">
        <v>25</v>
      </c>
      <c r="E258" s="43" t="s">
        <v>0</v>
      </c>
      <c r="F258" s="44">
        <f>96104</f>
        <v>96104</v>
      </c>
      <c r="G258" s="45" t="s">
        <v>0</v>
      </c>
      <c r="H258" s="51" t="s">
        <v>0</v>
      </c>
    </row>
    <row r="259" spans="1:8" s="1" customFormat="1" ht="13.5" customHeight="1">
      <c r="A259" s="50" t="s">
        <v>133</v>
      </c>
      <c r="B259" s="43" t="s">
        <v>113</v>
      </c>
      <c r="C259" s="43" t="s">
        <v>207</v>
      </c>
      <c r="D259" s="43" t="s">
        <v>25</v>
      </c>
      <c r="E259" s="43" t="s">
        <v>0</v>
      </c>
      <c r="F259" s="44">
        <f>713521</f>
        <v>713521</v>
      </c>
      <c r="G259" s="44">
        <f>850000</f>
        <v>850000</v>
      </c>
      <c r="H259" s="52">
        <f>850000</f>
        <v>850000</v>
      </c>
    </row>
    <row r="260" spans="1:8" s="1" customFormat="1" ht="13.5" customHeight="1">
      <c r="A260" s="50" t="s">
        <v>133</v>
      </c>
      <c r="B260" s="43" t="s">
        <v>113</v>
      </c>
      <c r="C260" s="43" t="s">
        <v>208</v>
      </c>
      <c r="D260" s="43" t="s">
        <v>25</v>
      </c>
      <c r="E260" s="43" t="s">
        <v>0</v>
      </c>
      <c r="F260" s="44">
        <f>308160</f>
        <v>308160</v>
      </c>
      <c r="G260" s="45" t="s">
        <v>0</v>
      </c>
      <c r="H260" s="51" t="s">
        <v>0</v>
      </c>
    </row>
    <row r="261" spans="1:8" s="1" customFormat="1" ht="13.5" customHeight="1">
      <c r="A261" s="50" t="s">
        <v>133</v>
      </c>
      <c r="B261" s="43" t="s">
        <v>113</v>
      </c>
      <c r="C261" s="43" t="s">
        <v>209</v>
      </c>
      <c r="D261" s="43" t="s">
        <v>58</v>
      </c>
      <c r="E261" s="43" t="s">
        <v>0</v>
      </c>
      <c r="F261" s="44">
        <f>1826807.68</f>
        <v>1826807.68</v>
      </c>
      <c r="G261" s="45" t="s">
        <v>0</v>
      </c>
      <c r="H261" s="51" t="s">
        <v>0</v>
      </c>
    </row>
    <row r="262" spans="1:8" s="1" customFormat="1" ht="33.75" customHeight="1">
      <c r="A262" s="50" t="s">
        <v>133</v>
      </c>
      <c r="B262" s="43" t="s">
        <v>113</v>
      </c>
      <c r="C262" s="43" t="s">
        <v>210</v>
      </c>
      <c r="D262" s="43" t="s">
        <v>25</v>
      </c>
      <c r="E262" s="43" t="s">
        <v>211</v>
      </c>
      <c r="F262" s="44">
        <f>3000000</f>
        <v>3000000</v>
      </c>
      <c r="G262" s="45" t="s">
        <v>0</v>
      </c>
      <c r="H262" s="51" t="s">
        <v>0</v>
      </c>
    </row>
    <row r="263" spans="1:8" s="1" customFormat="1" ht="13.5" customHeight="1">
      <c r="A263" s="50" t="s">
        <v>133</v>
      </c>
      <c r="B263" s="43" t="s">
        <v>113</v>
      </c>
      <c r="C263" s="43" t="s">
        <v>212</v>
      </c>
      <c r="D263" s="43" t="s">
        <v>25</v>
      </c>
      <c r="E263" s="43" t="s">
        <v>0</v>
      </c>
      <c r="F263" s="44">
        <f>305138</f>
        <v>305138</v>
      </c>
      <c r="G263" s="45" t="s">
        <v>0</v>
      </c>
      <c r="H263" s="51" t="s">
        <v>0</v>
      </c>
    </row>
    <row r="264" spans="1:8" s="1" customFormat="1" ht="13.5" customHeight="1">
      <c r="A264" s="50" t="s">
        <v>133</v>
      </c>
      <c r="B264" s="43" t="s">
        <v>113</v>
      </c>
      <c r="C264" s="43" t="s">
        <v>213</v>
      </c>
      <c r="D264" s="43" t="s">
        <v>36</v>
      </c>
      <c r="E264" s="43" t="s">
        <v>0</v>
      </c>
      <c r="F264" s="44">
        <f>7456570</f>
        <v>7456570</v>
      </c>
      <c r="G264" s="44">
        <f>929740</f>
        <v>929740</v>
      </c>
      <c r="H264" s="52">
        <f>929740</f>
        <v>929740</v>
      </c>
    </row>
    <row r="265" spans="1:8" s="1" customFormat="1" ht="13.5" customHeight="1">
      <c r="A265" s="50" t="s">
        <v>133</v>
      </c>
      <c r="B265" s="43" t="s">
        <v>113</v>
      </c>
      <c r="C265" s="43" t="s">
        <v>214</v>
      </c>
      <c r="D265" s="43" t="s">
        <v>22</v>
      </c>
      <c r="E265" s="43" t="s">
        <v>0</v>
      </c>
      <c r="F265" s="44">
        <f>4554892.47</f>
        <v>4554892.47</v>
      </c>
      <c r="G265" s="44">
        <f>5213325.65</f>
        <v>5213325.65</v>
      </c>
      <c r="H265" s="52">
        <f>5213325.65</f>
        <v>5213325.65</v>
      </c>
    </row>
    <row r="266" spans="1:8" s="1" customFormat="1" ht="13.5" customHeight="1">
      <c r="A266" s="50" t="s">
        <v>133</v>
      </c>
      <c r="B266" s="43" t="s">
        <v>113</v>
      </c>
      <c r="C266" s="43" t="s">
        <v>214</v>
      </c>
      <c r="D266" s="43" t="s">
        <v>24</v>
      </c>
      <c r="E266" s="43" t="s">
        <v>0</v>
      </c>
      <c r="F266" s="44">
        <f>1375577.53</f>
        <v>1375577.53</v>
      </c>
      <c r="G266" s="44">
        <f>1574424.35</f>
        <v>1574424.35</v>
      </c>
      <c r="H266" s="52">
        <f>1574424.35</f>
        <v>1574424.35</v>
      </c>
    </row>
    <row r="267" spans="1:8" s="1" customFormat="1" ht="13.5" customHeight="1">
      <c r="A267" s="50" t="s">
        <v>133</v>
      </c>
      <c r="B267" s="43" t="s">
        <v>113</v>
      </c>
      <c r="C267" s="43" t="s">
        <v>214</v>
      </c>
      <c r="D267" s="43" t="s">
        <v>25</v>
      </c>
      <c r="E267" s="43" t="s">
        <v>0</v>
      </c>
      <c r="F267" s="44">
        <f>2012675</f>
        <v>2012675</v>
      </c>
      <c r="G267" s="44">
        <f>183750</f>
        <v>183750</v>
      </c>
      <c r="H267" s="52">
        <f>183750</f>
        <v>183750</v>
      </c>
    </row>
    <row r="268" spans="1:8" s="1" customFormat="1" ht="13.5" customHeight="1">
      <c r="A268" s="50" t="s">
        <v>133</v>
      </c>
      <c r="B268" s="43" t="s">
        <v>113</v>
      </c>
      <c r="C268" s="43" t="s">
        <v>214</v>
      </c>
      <c r="D268" s="43" t="s">
        <v>32</v>
      </c>
      <c r="E268" s="43" t="s">
        <v>0</v>
      </c>
      <c r="F268" s="44">
        <f>462705</f>
        <v>462705</v>
      </c>
      <c r="G268" s="44">
        <f>307790</f>
        <v>307790</v>
      </c>
      <c r="H268" s="52">
        <f>307790</f>
        <v>307790</v>
      </c>
    </row>
    <row r="269" spans="1:8" s="1" customFormat="1" ht="13.5" customHeight="1">
      <c r="A269" s="50" t="s">
        <v>133</v>
      </c>
      <c r="B269" s="43" t="s">
        <v>113</v>
      </c>
      <c r="C269" s="43" t="s">
        <v>214</v>
      </c>
      <c r="D269" s="43" t="s">
        <v>54</v>
      </c>
      <c r="E269" s="43" t="s">
        <v>0</v>
      </c>
      <c r="F269" s="44">
        <f>2500</f>
        <v>2500</v>
      </c>
      <c r="G269" s="44">
        <f>15000</f>
        <v>15000</v>
      </c>
      <c r="H269" s="52">
        <f>15000</f>
        <v>15000</v>
      </c>
    </row>
    <row r="270" spans="1:8" s="1" customFormat="1" ht="13.5" customHeight="1">
      <c r="A270" s="50" t="s">
        <v>133</v>
      </c>
      <c r="B270" s="43" t="s">
        <v>113</v>
      </c>
      <c r="C270" s="43" t="s">
        <v>215</v>
      </c>
      <c r="D270" s="43" t="s">
        <v>36</v>
      </c>
      <c r="E270" s="43" t="s">
        <v>0</v>
      </c>
      <c r="F270" s="44">
        <f>13680</f>
        <v>13680</v>
      </c>
      <c r="G270" s="45" t="s">
        <v>0</v>
      </c>
      <c r="H270" s="51" t="s">
        <v>0</v>
      </c>
    </row>
    <row r="271" spans="1:8" s="1" customFormat="1" ht="13.5" customHeight="1">
      <c r="A271" s="50" t="s">
        <v>133</v>
      </c>
      <c r="B271" s="43" t="s">
        <v>113</v>
      </c>
      <c r="C271" s="43" t="s">
        <v>216</v>
      </c>
      <c r="D271" s="43" t="s">
        <v>22</v>
      </c>
      <c r="E271" s="43" t="s">
        <v>43</v>
      </c>
      <c r="F271" s="45" t="s">
        <v>0</v>
      </c>
      <c r="G271" s="44">
        <f>141566.82</f>
        <v>141566.82</v>
      </c>
      <c r="H271" s="51" t="s">
        <v>0</v>
      </c>
    </row>
    <row r="272" spans="1:8" s="1" customFormat="1" ht="13.5" customHeight="1">
      <c r="A272" s="50" t="s">
        <v>133</v>
      </c>
      <c r="B272" s="43" t="s">
        <v>113</v>
      </c>
      <c r="C272" s="43" t="s">
        <v>216</v>
      </c>
      <c r="D272" s="43" t="s">
        <v>24</v>
      </c>
      <c r="E272" s="43" t="s">
        <v>43</v>
      </c>
      <c r="F272" s="45" t="s">
        <v>0</v>
      </c>
      <c r="G272" s="44">
        <f>42753.18</f>
        <v>42753.18</v>
      </c>
      <c r="H272" s="51" t="s">
        <v>0</v>
      </c>
    </row>
    <row r="273" spans="1:8" s="1" customFormat="1" ht="13.5" customHeight="1">
      <c r="A273" s="50" t="s">
        <v>133</v>
      </c>
      <c r="B273" s="43" t="s">
        <v>113</v>
      </c>
      <c r="C273" s="43" t="s">
        <v>109</v>
      </c>
      <c r="D273" s="43" t="s">
        <v>25</v>
      </c>
      <c r="E273" s="43" t="s">
        <v>0</v>
      </c>
      <c r="F273" s="44">
        <f>300000</f>
        <v>300000</v>
      </c>
      <c r="G273" s="45" t="s">
        <v>0</v>
      </c>
      <c r="H273" s="51" t="s">
        <v>0</v>
      </c>
    </row>
    <row r="274" spans="1:8" s="1" customFormat="1" ht="13.5" customHeight="1">
      <c r="A274" s="50" t="s">
        <v>133</v>
      </c>
      <c r="B274" s="43" t="s">
        <v>115</v>
      </c>
      <c r="C274" s="43" t="s">
        <v>117</v>
      </c>
      <c r="D274" s="43" t="s">
        <v>25</v>
      </c>
      <c r="E274" s="43" t="s">
        <v>0</v>
      </c>
      <c r="F274" s="44">
        <f>487780</f>
        <v>487780</v>
      </c>
      <c r="G274" s="45" t="s">
        <v>0</v>
      </c>
      <c r="H274" s="51" t="s">
        <v>0</v>
      </c>
    </row>
    <row r="275" spans="1:8" s="1" customFormat="1" ht="13.5" customHeight="1">
      <c r="A275" s="50" t="s">
        <v>133</v>
      </c>
      <c r="B275" s="43" t="s">
        <v>217</v>
      </c>
      <c r="C275" s="43" t="s">
        <v>218</v>
      </c>
      <c r="D275" s="43" t="s">
        <v>219</v>
      </c>
      <c r="E275" s="43" t="s">
        <v>0</v>
      </c>
      <c r="F275" s="44">
        <f>928499.4</f>
        <v>928499.4</v>
      </c>
      <c r="G275" s="44">
        <f>1083960</f>
        <v>1083960</v>
      </c>
      <c r="H275" s="52">
        <f>1083960</f>
        <v>1083960</v>
      </c>
    </row>
    <row r="276" spans="1:8" s="1" customFormat="1" ht="13.5" customHeight="1">
      <c r="A276" s="50" t="s">
        <v>133</v>
      </c>
      <c r="B276" s="43" t="s">
        <v>220</v>
      </c>
      <c r="C276" s="43" t="s">
        <v>221</v>
      </c>
      <c r="D276" s="43" t="s">
        <v>222</v>
      </c>
      <c r="E276" s="43" t="s">
        <v>0</v>
      </c>
      <c r="F276" s="44">
        <f>4955.1</f>
        <v>4955.1</v>
      </c>
      <c r="G276" s="44">
        <f>38589.8</f>
        <v>38589.8</v>
      </c>
      <c r="H276" s="52">
        <f>43481.63</f>
        <v>43481.63</v>
      </c>
    </row>
    <row r="277" spans="1:8" s="1" customFormat="1" ht="33.75" customHeight="1">
      <c r="A277" s="50" t="s">
        <v>133</v>
      </c>
      <c r="B277" s="43" t="s">
        <v>220</v>
      </c>
      <c r="C277" s="43" t="s">
        <v>221</v>
      </c>
      <c r="D277" s="43" t="s">
        <v>222</v>
      </c>
      <c r="E277" s="43" t="s">
        <v>223</v>
      </c>
      <c r="F277" s="45" t="s">
        <v>0</v>
      </c>
      <c r="G277" s="44">
        <f>1890935.93</f>
        <v>1890935.93</v>
      </c>
      <c r="H277" s="52">
        <f>2130555.24</f>
        <v>2130555.24</v>
      </c>
    </row>
    <row r="278" spans="1:8" s="1" customFormat="1" ht="33.75" customHeight="1">
      <c r="A278" s="50" t="s">
        <v>133</v>
      </c>
      <c r="B278" s="43" t="s">
        <v>220</v>
      </c>
      <c r="C278" s="43" t="s">
        <v>221</v>
      </c>
      <c r="D278" s="43" t="s">
        <v>222</v>
      </c>
      <c r="E278" s="43" t="s">
        <v>224</v>
      </c>
      <c r="F278" s="44">
        <f>242794.42</f>
        <v>242794.42</v>
      </c>
      <c r="G278" s="45" t="s">
        <v>0</v>
      </c>
      <c r="H278" s="51" t="s">
        <v>0</v>
      </c>
    </row>
    <row r="279" spans="1:8" s="1" customFormat="1" ht="13.5" customHeight="1">
      <c r="A279" s="50" t="s">
        <v>133</v>
      </c>
      <c r="B279" s="43" t="s">
        <v>220</v>
      </c>
      <c r="C279" s="43" t="s">
        <v>109</v>
      </c>
      <c r="D279" s="43" t="s">
        <v>90</v>
      </c>
      <c r="E279" s="43" t="s">
        <v>0</v>
      </c>
      <c r="F279" s="44">
        <f>299000</f>
        <v>299000</v>
      </c>
      <c r="G279" s="45" t="s">
        <v>0</v>
      </c>
      <c r="H279" s="51" t="s">
        <v>0</v>
      </c>
    </row>
    <row r="280" spans="1:8" s="1" customFormat="1" ht="13.5" customHeight="1">
      <c r="A280" s="50" t="s">
        <v>133</v>
      </c>
      <c r="B280" s="43" t="s">
        <v>99</v>
      </c>
      <c r="C280" s="43" t="s">
        <v>225</v>
      </c>
      <c r="D280" s="43" t="s">
        <v>222</v>
      </c>
      <c r="E280" s="43" t="s">
        <v>0</v>
      </c>
      <c r="F280" s="44">
        <f>74198.8</f>
        <v>74198.8</v>
      </c>
      <c r="G280" s="44">
        <f>20569.39</f>
        <v>20569.39</v>
      </c>
      <c r="H280" s="52">
        <f>20548.98</f>
        <v>20548.98</v>
      </c>
    </row>
    <row r="281" spans="1:8" s="1" customFormat="1" ht="33.75" customHeight="1">
      <c r="A281" s="50" t="s">
        <v>133</v>
      </c>
      <c r="B281" s="43" t="s">
        <v>99</v>
      </c>
      <c r="C281" s="43" t="s">
        <v>225</v>
      </c>
      <c r="D281" s="43" t="s">
        <v>222</v>
      </c>
      <c r="E281" s="43" t="s">
        <v>226</v>
      </c>
      <c r="F281" s="44">
        <f>659726</f>
        <v>659726</v>
      </c>
      <c r="G281" s="44">
        <f>1007932.51</f>
        <v>1007932.51</v>
      </c>
      <c r="H281" s="52">
        <f>1006928.12</f>
        <v>1006928.12</v>
      </c>
    </row>
    <row r="282" spans="1:8" s="1" customFormat="1" ht="13.5" customHeight="1">
      <c r="A282" s="50" t="s">
        <v>133</v>
      </c>
      <c r="B282" s="43" t="s">
        <v>227</v>
      </c>
      <c r="C282" s="43" t="s">
        <v>228</v>
      </c>
      <c r="D282" s="43" t="s">
        <v>27</v>
      </c>
      <c r="E282" s="43" t="s">
        <v>0</v>
      </c>
      <c r="F282" s="44">
        <f>44941.92</f>
        <v>44941.92</v>
      </c>
      <c r="G282" s="45" t="s">
        <v>0</v>
      </c>
      <c r="H282" s="51" t="s">
        <v>0</v>
      </c>
    </row>
    <row r="283" spans="1:8" s="1" customFormat="1" ht="13.5" customHeight="1">
      <c r="A283" s="50" t="s">
        <v>133</v>
      </c>
      <c r="B283" s="43" t="s">
        <v>227</v>
      </c>
      <c r="C283" s="43" t="s">
        <v>229</v>
      </c>
      <c r="D283" s="43" t="s">
        <v>27</v>
      </c>
      <c r="E283" s="43" t="s">
        <v>0</v>
      </c>
      <c r="F283" s="44">
        <f>1038114.43</f>
        <v>1038114.43</v>
      </c>
      <c r="G283" s="45" t="s">
        <v>0</v>
      </c>
      <c r="H283" s="51" t="s">
        <v>0</v>
      </c>
    </row>
    <row r="284" spans="1:8" s="1" customFormat="1" ht="13.5" customHeight="1">
      <c r="A284" s="50" t="s">
        <v>133</v>
      </c>
      <c r="B284" s="43" t="s">
        <v>227</v>
      </c>
      <c r="C284" s="43" t="s">
        <v>230</v>
      </c>
      <c r="D284" s="43" t="s">
        <v>27</v>
      </c>
      <c r="E284" s="43" t="s">
        <v>43</v>
      </c>
      <c r="F284" s="44">
        <f>123426</f>
        <v>123426</v>
      </c>
      <c r="G284" s="45" t="s">
        <v>0</v>
      </c>
      <c r="H284" s="51" t="s">
        <v>0</v>
      </c>
    </row>
    <row r="285" spans="1:8" s="1" customFormat="1" ht="13.5" customHeight="1">
      <c r="A285" s="50" t="s">
        <v>133</v>
      </c>
      <c r="B285" s="43" t="s">
        <v>227</v>
      </c>
      <c r="C285" s="43" t="s">
        <v>231</v>
      </c>
      <c r="D285" s="43" t="s">
        <v>22</v>
      </c>
      <c r="E285" s="43" t="s">
        <v>0</v>
      </c>
      <c r="F285" s="44">
        <f>684873.71</f>
        <v>684873.71</v>
      </c>
      <c r="G285" s="44">
        <f>1482196.62</f>
        <v>1482196.62</v>
      </c>
      <c r="H285" s="52">
        <f>1482196.62</f>
        <v>1482196.62</v>
      </c>
    </row>
    <row r="286" spans="1:8" s="1" customFormat="1" ht="13.5" customHeight="1">
      <c r="A286" s="50" t="s">
        <v>133</v>
      </c>
      <c r="B286" s="43" t="s">
        <v>227</v>
      </c>
      <c r="C286" s="43" t="s">
        <v>231</v>
      </c>
      <c r="D286" s="43" t="s">
        <v>24</v>
      </c>
      <c r="E286" s="43" t="s">
        <v>0</v>
      </c>
      <c r="F286" s="44">
        <f>206831.86</f>
        <v>206831.86</v>
      </c>
      <c r="G286" s="44">
        <f>447623.38</f>
        <v>447623.38</v>
      </c>
      <c r="H286" s="52">
        <f>447623.38</f>
        <v>447623.38</v>
      </c>
    </row>
    <row r="287" spans="1:8" s="1" customFormat="1" ht="13.5" customHeight="1">
      <c r="A287" s="50" t="s">
        <v>133</v>
      </c>
      <c r="B287" s="43" t="s">
        <v>227</v>
      </c>
      <c r="C287" s="43" t="s">
        <v>231</v>
      </c>
      <c r="D287" s="43" t="s">
        <v>25</v>
      </c>
      <c r="E287" s="43" t="s">
        <v>0</v>
      </c>
      <c r="F287" s="44">
        <f>53038.08</f>
        <v>53038.08</v>
      </c>
      <c r="G287" s="44">
        <f>97980</f>
        <v>97980</v>
      </c>
      <c r="H287" s="52">
        <f>97980</f>
        <v>97980</v>
      </c>
    </row>
    <row r="288" spans="1:8" s="1" customFormat="1" ht="13.5" customHeight="1">
      <c r="A288" s="50" t="s">
        <v>133</v>
      </c>
      <c r="B288" s="43" t="s">
        <v>227</v>
      </c>
      <c r="C288" s="43" t="s">
        <v>232</v>
      </c>
      <c r="D288" s="43" t="s">
        <v>25</v>
      </c>
      <c r="E288" s="43" t="s">
        <v>0</v>
      </c>
      <c r="F288" s="44">
        <f>220000</f>
        <v>220000</v>
      </c>
      <c r="G288" s="45" t="s">
        <v>0</v>
      </c>
      <c r="H288" s="51" t="s">
        <v>0</v>
      </c>
    </row>
    <row r="289" spans="1:8" s="1" customFormat="1" ht="13.5" customHeight="1">
      <c r="A289" s="50" t="s">
        <v>133</v>
      </c>
      <c r="B289" s="43" t="s">
        <v>227</v>
      </c>
      <c r="C289" s="43" t="s">
        <v>233</v>
      </c>
      <c r="D289" s="43" t="s">
        <v>22</v>
      </c>
      <c r="E289" s="43" t="s">
        <v>43</v>
      </c>
      <c r="F289" s="44">
        <f>160456.22</f>
        <v>160456.22</v>
      </c>
      <c r="G289" s="44">
        <f>142196.62</f>
        <v>142196.62</v>
      </c>
      <c r="H289" s="51" t="s">
        <v>0</v>
      </c>
    </row>
    <row r="290" spans="1:8" s="1" customFormat="1" ht="13.5" customHeight="1">
      <c r="A290" s="50" t="s">
        <v>133</v>
      </c>
      <c r="B290" s="43" t="s">
        <v>227</v>
      </c>
      <c r="C290" s="43" t="s">
        <v>233</v>
      </c>
      <c r="D290" s="43" t="s">
        <v>24</v>
      </c>
      <c r="E290" s="43" t="s">
        <v>43</v>
      </c>
      <c r="F290" s="44">
        <f>48457.78</f>
        <v>48457.78</v>
      </c>
      <c r="G290" s="44">
        <f>42943.38</f>
        <v>42943.38</v>
      </c>
      <c r="H290" s="51" t="s">
        <v>0</v>
      </c>
    </row>
    <row r="291" spans="1:8" s="1" customFormat="1" ht="13.5" customHeight="1">
      <c r="A291" s="50" t="s">
        <v>133</v>
      </c>
      <c r="B291" s="43" t="s">
        <v>125</v>
      </c>
      <c r="C291" s="43" t="s">
        <v>126</v>
      </c>
      <c r="D291" s="43" t="s">
        <v>127</v>
      </c>
      <c r="E291" s="43" t="s">
        <v>0</v>
      </c>
      <c r="F291" s="45" t="s">
        <v>0</v>
      </c>
      <c r="G291" s="44">
        <f>3000</f>
        <v>3000</v>
      </c>
      <c r="H291" s="52">
        <f>3000</f>
        <v>3000</v>
      </c>
    </row>
    <row r="292" spans="1:8" s="1" customFormat="1" ht="13.5" customHeight="1">
      <c r="A292" s="50" t="s">
        <v>234</v>
      </c>
      <c r="B292" s="43" t="s">
        <v>74</v>
      </c>
      <c r="C292" s="43" t="s">
        <v>76</v>
      </c>
      <c r="D292" s="43" t="s">
        <v>27</v>
      </c>
      <c r="E292" s="43" t="s">
        <v>0</v>
      </c>
      <c r="F292" s="44">
        <f>165570</f>
        <v>165570</v>
      </c>
      <c r="G292" s="44">
        <f>115570</f>
        <v>115570</v>
      </c>
      <c r="H292" s="52">
        <f>115570</f>
        <v>115570</v>
      </c>
    </row>
    <row r="293" spans="1:8" s="1" customFormat="1" ht="13.5" customHeight="1">
      <c r="A293" s="50" t="s">
        <v>234</v>
      </c>
      <c r="B293" s="43" t="s">
        <v>74</v>
      </c>
      <c r="C293" s="43" t="s">
        <v>78</v>
      </c>
      <c r="D293" s="43" t="s">
        <v>27</v>
      </c>
      <c r="E293" s="43" t="s">
        <v>0</v>
      </c>
      <c r="F293" s="44">
        <f>1282205.1</f>
        <v>1282205.1</v>
      </c>
      <c r="G293" s="44">
        <f>1299450</f>
        <v>1299450</v>
      </c>
      <c r="H293" s="52">
        <f>1299450</f>
        <v>1299450</v>
      </c>
    </row>
    <row r="294" spans="1:8" s="1" customFormat="1" ht="13.5" customHeight="1">
      <c r="A294" s="50" t="s">
        <v>234</v>
      </c>
      <c r="B294" s="43" t="s">
        <v>74</v>
      </c>
      <c r="C294" s="43" t="s">
        <v>79</v>
      </c>
      <c r="D294" s="43" t="s">
        <v>27</v>
      </c>
      <c r="E294" s="43" t="s">
        <v>0</v>
      </c>
      <c r="F294" s="44">
        <f>7088020</f>
        <v>7088020</v>
      </c>
      <c r="G294" s="44">
        <f>7016660</f>
        <v>7016660</v>
      </c>
      <c r="H294" s="52">
        <f>7016660</f>
        <v>7016660</v>
      </c>
    </row>
    <row r="295" spans="1:8" s="1" customFormat="1" ht="13.5" customHeight="1">
      <c r="A295" s="50" t="s">
        <v>234</v>
      </c>
      <c r="B295" s="43" t="s">
        <v>74</v>
      </c>
      <c r="C295" s="43" t="s">
        <v>80</v>
      </c>
      <c r="D295" s="43" t="s">
        <v>27</v>
      </c>
      <c r="E295" s="43" t="s">
        <v>0</v>
      </c>
      <c r="F295" s="44">
        <f>17244.9</f>
        <v>17244.9</v>
      </c>
      <c r="G295" s="45" t="s">
        <v>0</v>
      </c>
      <c r="H295" s="51" t="s">
        <v>0</v>
      </c>
    </row>
    <row r="296" spans="1:8" s="1" customFormat="1" ht="13.5" customHeight="1">
      <c r="A296" s="50" t="s">
        <v>234</v>
      </c>
      <c r="B296" s="43" t="s">
        <v>74</v>
      </c>
      <c r="C296" s="43" t="s">
        <v>80</v>
      </c>
      <c r="D296" s="43" t="s">
        <v>27</v>
      </c>
      <c r="E296" s="43" t="s">
        <v>81</v>
      </c>
      <c r="F296" s="44">
        <f>845000</f>
        <v>845000</v>
      </c>
      <c r="G296" s="45" t="s">
        <v>0</v>
      </c>
      <c r="H296" s="51" t="s">
        <v>0</v>
      </c>
    </row>
    <row r="297" spans="1:8" s="1" customFormat="1" ht="13.5" customHeight="1">
      <c r="A297" s="50" t="s">
        <v>234</v>
      </c>
      <c r="B297" s="43" t="s">
        <v>74</v>
      </c>
      <c r="C297" s="43" t="s">
        <v>82</v>
      </c>
      <c r="D297" s="43" t="s">
        <v>27</v>
      </c>
      <c r="E297" s="43" t="s">
        <v>43</v>
      </c>
      <c r="F297" s="44">
        <f>2594150</f>
        <v>2594150</v>
      </c>
      <c r="G297" s="44">
        <f>738070</f>
        <v>738070</v>
      </c>
      <c r="H297" s="51" t="s">
        <v>0</v>
      </c>
    </row>
    <row r="298" spans="1:8" s="1" customFormat="1" ht="13.5" customHeight="1">
      <c r="A298" s="50" t="s">
        <v>234</v>
      </c>
      <c r="B298" s="43" t="s">
        <v>235</v>
      </c>
      <c r="C298" s="43" t="s">
        <v>236</v>
      </c>
      <c r="D298" s="43" t="s">
        <v>138</v>
      </c>
      <c r="E298" s="43" t="s">
        <v>0</v>
      </c>
      <c r="F298" s="44">
        <f>5000</f>
        <v>5000</v>
      </c>
      <c r="G298" s="45" t="s">
        <v>0</v>
      </c>
      <c r="H298" s="51" t="s">
        <v>0</v>
      </c>
    </row>
    <row r="299" spans="1:8" s="1" customFormat="1" ht="13.5" customHeight="1">
      <c r="A299" s="50" t="s">
        <v>234</v>
      </c>
      <c r="B299" s="43" t="s">
        <v>235</v>
      </c>
      <c r="C299" s="43" t="s">
        <v>236</v>
      </c>
      <c r="D299" s="43" t="s">
        <v>25</v>
      </c>
      <c r="E299" s="43" t="s">
        <v>0</v>
      </c>
      <c r="F299" s="44">
        <f>63500</f>
        <v>63500</v>
      </c>
      <c r="G299" s="44">
        <f>68500</f>
        <v>68500</v>
      </c>
      <c r="H299" s="52">
        <f>68500</f>
        <v>68500</v>
      </c>
    </row>
    <row r="300" spans="1:8" s="1" customFormat="1" ht="13.5" customHeight="1">
      <c r="A300" s="50" t="s">
        <v>234</v>
      </c>
      <c r="B300" s="43" t="s">
        <v>235</v>
      </c>
      <c r="C300" s="43" t="s">
        <v>237</v>
      </c>
      <c r="D300" s="43" t="s">
        <v>25</v>
      </c>
      <c r="E300" s="43" t="s">
        <v>0</v>
      </c>
      <c r="F300" s="44">
        <f>64500</f>
        <v>64500</v>
      </c>
      <c r="G300" s="45" t="s">
        <v>0</v>
      </c>
      <c r="H300" s="51" t="s">
        <v>0</v>
      </c>
    </row>
    <row r="301" spans="1:8" s="1" customFormat="1" ht="13.5" customHeight="1">
      <c r="A301" s="50" t="s">
        <v>234</v>
      </c>
      <c r="B301" s="43" t="s">
        <v>118</v>
      </c>
      <c r="C301" s="43" t="s">
        <v>238</v>
      </c>
      <c r="D301" s="43" t="s">
        <v>26</v>
      </c>
      <c r="E301" s="43" t="s">
        <v>0</v>
      </c>
      <c r="F301" s="44">
        <f>544837.5</f>
        <v>544837.5</v>
      </c>
      <c r="G301" s="44">
        <f>626510</f>
        <v>626510</v>
      </c>
      <c r="H301" s="52">
        <f>626510</f>
        <v>626510</v>
      </c>
    </row>
    <row r="302" spans="1:8" s="1" customFormat="1" ht="13.5" customHeight="1">
      <c r="A302" s="50" t="s">
        <v>234</v>
      </c>
      <c r="B302" s="43" t="s">
        <v>118</v>
      </c>
      <c r="C302" s="43" t="s">
        <v>239</v>
      </c>
      <c r="D302" s="43" t="s">
        <v>26</v>
      </c>
      <c r="E302" s="43" t="s">
        <v>0</v>
      </c>
      <c r="F302" s="44">
        <f>177450.3</f>
        <v>177450.3</v>
      </c>
      <c r="G302" s="44">
        <f>500070</f>
        <v>500070</v>
      </c>
      <c r="H302" s="52">
        <f>500070</f>
        <v>500070</v>
      </c>
    </row>
    <row r="303" spans="1:8" s="1" customFormat="1" ht="13.5" customHeight="1">
      <c r="A303" s="50" t="s">
        <v>234</v>
      </c>
      <c r="B303" s="43" t="s">
        <v>118</v>
      </c>
      <c r="C303" s="43" t="s">
        <v>240</v>
      </c>
      <c r="D303" s="43" t="s">
        <v>26</v>
      </c>
      <c r="E303" s="43" t="s">
        <v>0</v>
      </c>
      <c r="F303" s="44">
        <f>28754060</f>
        <v>28754060</v>
      </c>
      <c r="G303" s="44">
        <f>28754060</f>
        <v>28754060</v>
      </c>
      <c r="H303" s="52">
        <f>28754060</f>
        <v>28754060</v>
      </c>
    </row>
    <row r="304" spans="1:8" s="1" customFormat="1" ht="13.5" customHeight="1">
      <c r="A304" s="50" t="s">
        <v>234</v>
      </c>
      <c r="B304" s="43" t="s">
        <v>118</v>
      </c>
      <c r="C304" s="43" t="s">
        <v>241</v>
      </c>
      <c r="D304" s="43" t="s">
        <v>29</v>
      </c>
      <c r="E304" s="43" t="s">
        <v>0</v>
      </c>
      <c r="F304" s="44">
        <f>22824.39</f>
        <v>22824.39</v>
      </c>
      <c r="G304" s="44">
        <f>22824.49</f>
        <v>22824.49</v>
      </c>
      <c r="H304" s="52">
        <f>22716.33</f>
        <v>22716.33</v>
      </c>
    </row>
    <row r="305" spans="1:8" s="1" customFormat="1" ht="33.75" customHeight="1">
      <c r="A305" s="50" t="s">
        <v>234</v>
      </c>
      <c r="B305" s="43" t="s">
        <v>118</v>
      </c>
      <c r="C305" s="43" t="s">
        <v>241</v>
      </c>
      <c r="D305" s="43" t="s">
        <v>29</v>
      </c>
      <c r="E305" s="43" t="s">
        <v>59</v>
      </c>
      <c r="F305" s="44">
        <f>1118395.34</f>
        <v>1118395.34</v>
      </c>
      <c r="G305" s="44">
        <f>1118395.34</f>
        <v>1118395.34</v>
      </c>
      <c r="H305" s="52">
        <f>1113100.33</f>
        <v>1113100.33</v>
      </c>
    </row>
    <row r="306" spans="1:8" s="1" customFormat="1" ht="13.5" customHeight="1">
      <c r="A306" s="50" t="s">
        <v>234</v>
      </c>
      <c r="B306" s="43" t="s">
        <v>118</v>
      </c>
      <c r="C306" s="43" t="s">
        <v>122</v>
      </c>
      <c r="D306" s="43" t="s">
        <v>26</v>
      </c>
      <c r="E306" s="43" t="s">
        <v>0</v>
      </c>
      <c r="F306" s="44">
        <f>38610.09</f>
        <v>38610.09</v>
      </c>
      <c r="G306" s="45" t="s">
        <v>0</v>
      </c>
      <c r="H306" s="51" t="s">
        <v>0</v>
      </c>
    </row>
    <row r="307" spans="1:8" s="1" customFormat="1" ht="13.5" customHeight="1">
      <c r="A307" s="50" t="s">
        <v>234</v>
      </c>
      <c r="B307" s="43" t="s">
        <v>118</v>
      </c>
      <c r="C307" s="43" t="s">
        <v>122</v>
      </c>
      <c r="D307" s="43" t="s">
        <v>26</v>
      </c>
      <c r="E307" s="43" t="s">
        <v>123</v>
      </c>
      <c r="F307" s="44">
        <f>1171150</f>
        <v>1171150</v>
      </c>
      <c r="G307" s="45" t="s">
        <v>0</v>
      </c>
      <c r="H307" s="51" t="s">
        <v>0</v>
      </c>
    </row>
    <row r="308" spans="1:8" s="1" customFormat="1" ht="13.5" customHeight="1">
      <c r="A308" s="50" t="s">
        <v>234</v>
      </c>
      <c r="B308" s="43" t="s">
        <v>118</v>
      </c>
      <c r="C308" s="43" t="s">
        <v>242</v>
      </c>
      <c r="D308" s="43" t="s">
        <v>26</v>
      </c>
      <c r="E308" s="43" t="s">
        <v>43</v>
      </c>
      <c r="F308" s="44">
        <f>899060</f>
        <v>899060</v>
      </c>
      <c r="G308" s="44">
        <f>282880</f>
        <v>282880</v>
      </c>
      <c r="H308" s="51" t="s">
        <v>0</v>
      </c>
    </row>
    <row r="309" spans="1:8" s="1" customFormat="1" ht="13.5" customHeight="1">
      <c r="A309" s="50" t="s">
        <v>234</v>
      </c>
      <c r="B309" s="43" t="s">
        <v>118</v>
      </c>
      <c r="C309" s="43" t="s">
        <v>243</v>
      </c>
      <c r="D309" s="43" t="s">
        <v>26</v>
      </c>
      <c r="E309" s="43" t="s">
        <v>0</v>
      </c>
      <c r="F309" s="44">
        <f>1089549.65</f>
        <v>1089549.65</v>
      </c>
      <c r="G309" s="44">
        <f>1154020</f>
        <v>1154020</v>
      </c>
      <c r="H309" s="52">
        <f>1154020</f>
        <v>1154020</v>
      </c>
    </row>
    <row r="310" spans="1:8" s="1" customFormat="1" ht="13.5" customHeight="1">
      <c r="A310" s="50" t="s">
        <v>234</v>
      </c>
      <c r="B310" s="43" t="s">
        <v>118</v>
      </c>
      <c r="C310" s="43" t="s">
        <v>243</v>
      </c>
      <c r="D310" s="43" t="s">
        <v>29</v>
      </c>
      <c r="E310" s="43" t="s">
        <v>0</v>
      </c>
      <c r="F310" s="44">
        <f>496872</f>
        <v>496872</v>
      </c>
      <c r="G310" s="45" t="s">
        <v>0</v>
      </c>
      <c r="H310" s="51" t="s">
        <v>0</v>
      </c>
    </row>
    <row r="311" spans="1:8" s="1" customFormat="1" ht="13.5" customHeight="1">
      <c r="A311" s="50" t="s">
        <v>234</v>
      </c>
      <c r="B311" s="43" t="s">
        <v>118</v>
      </c>
      <c r="C311" s="43" t="s">
        <v>244</v>
      </c>
      <c r="D311" s="43" t="s">
        <v>26</v>
      </c>
      <c r="E311" s="43" t="s">
        <v>0</v>
      </c>
      <c r="F311" s="44">
        <f>740650</f>
        <v>740650</v>
      </c>
      <c r="G311" s="44">
        <f>740650</f>
        <v>740650</v>
      </c>
      <c r="H311" s="52">
        <f>740650</f>
        <v>740650</v>
      </c>
    </row>
    <row r="312" spans="1:8" s="1" customFormat="1" ht="13.5" customHeight="1">
      <c r="A312" s="50" t="s">
        <v>234</v>
      </c>
      <c r="B312" s="43" t="s">
        <v>118</v>
      </c>
      <c r="C312" s="43" t="s">
        <v>245</v>
      </c>
      <c r="D312" s="43" t="s">
        <v>26</v>
      </c>
      <c r="E312" s="43" t="s">
        <v>0</v>
      </c>
      <c r="F312" s="44">
        <f>15528830</f>
        <v>15528830</v>
      </c>
      <c r="G312" s="44">
        <f>15528830</f>
        <v>15528830</v>
      </c>
      <c r="H312" s="52">
        <f>15528830</f>
        <v>15528830</v>
      </c>
    </row>
    <row r="313" spans="1:8" s="1" customFormat="1" ht="13.5" customHeight="1">
      <c r="A313" s="50" t="s">
        <v>234</v>
      </c>
      <c r="B313" s="43" t="s">
        <v>118</v>
      </c>
      <c r="C313" s="43" t="s">
        <v>246</v>
      </c>
      <c r="D313" s="43" t="s">
        <v>29</v>
      </c>
      <c r="E313" s="43" t="s">
        <v>0</v>
      </c>
      <c r="F313" s="44">
        <f>1930.99</f>
        <v>1930.99</v>
      </c>
      <c r="G313" s="44">
        <f>1930.61</f>
        <v>1930.61</v>
      </c>
      <c r="H313" s="52">
        <f>1918.37</f>
        <v>1918.37</v>
      </c>
    </row>
    <row r="314" spans="1:8" s="1" customFormat="1" ht="33.75" customHeight="1">
      <c r="A314" s="50" t="s">
        <v>234</v>
      </c>
      <c r="B314" s="43" t="s">
        <v>118</v>
      </c>
      <c r="C314" s="43" t="s">
        <v>246</v>
      </c>
      <c r="D314" s="43" t="s">
        <v>29</v>
      </c>
      <c r="E314" s="43" t="s">
        <v>247</v>
      </c>
      <c r="F314" s="44">
        <f>94618.67</f>
        <v>94618.67</v>
      </c>
      <c r="G314" s="44">
        <f>94618.67</f>
        <v>94618.67</v>
      </c>
      <c r="H314" s="52">
        <f>94016.46</f>
        <v>94016.46</v>
      </c>
    </row>
    <row r="315" spans="1:8" s="1" customFormat="1" ht="13.5" customHeight="1">
      <c r="A315" s="50" t="s">
        <v>234</v>
      </c>
      <c r="B315" s="43" t="s">
        <v>118</v>
      </c>
      <c r="C315" s="43" t="s">
        <v>248</v>
      </c>
      <c r="D315" s="43" t="s">
        <v>26</v>
      </c>
      <c r="E315" s="43" t="s">
        <v>123</v>
      </c>
      <c r="F315" s="44">
        <f>825950</f>
        <v>825950</v>
      </c>
      <c r="G315" s="45" t="s">
        <v>0</v>
      </c>
      <c r="H315" s="51" t="s">
        <v>0</v>
      </c>
    </row>
    <row r="316" spans="1:8" s="1" customFormat="1" ht="13.5" customHeight="1">
      <c r="A316" s="50" t="s">
        <v>234</v>
      </c>
      <c r="B316" s="43" t="s">
        <v>118</v>
      </c>
      <c r="C316" s="43" t="s">
        <v>249</v>
      </c>
      <c r="D316" s="43" t="s">
        <v>29</v>
      </c>
      <c r="E316" s="43" t="s">
        <v>0</v>
      </c>
      <c r="F316" s="44">
        <f>1030.72</f>
        <v>1030.72</v>
      </c>
      <c r="G316" s="45" t="s">
        <v>0</v>
      </c>
      <c r="H316" s="51" t="s">
        <v>0</v>
      </c>
    </row>
    <row r="317" spans="1:8" s="1" customFormat="1" ht="33.75" customHeight="1">
      <c r="A317" s="50" t="s">
        <v>234</v>
      </c>
      <c r="B317" s="43" t="s">
        <v>118</v>
      </c>
      <c r="C317" s="43" t="s">
        <v>249</v>
      </c>
      <c r="D317" s="43" t="s">
        <v>29</v>
      </c>
      <c r="E317" s="43" t="s">
        <v>250</v>
      </c>
      <c r="F317" s="44">
        <f>50505.05</f>
        <v>50505.05</v>
      </c>
      <c r="G317" s="45" t="s">
        <v>0</v>
      </c>
      <c r="H317" s="51" t="s">
        <v>0</v>
      </c>
    </row>
    <row r="318" spans="1:8" s="1" customFormat="1" ht="13.5" customHeight="1">
      <c r="A318" s="50" t="s">
        <v>234</v>
      </c>
      <c r="B318" s="43" t="s">
        <v>251</v>
      </c>
      <c r="C318" s="43" t="s">
        <v>252</v>
      </c>
      <c r="D318" s="43" t="s">
        <v>92</v>
      </c>
      <c r="E318" s="43" t="s">
        <v>0</v>
      </c>
      <c r="F318" s="44">
        <f>1371865.53</f>
        <v>1371865.53</v>
      </c>
      <c r="G318" s="44">
        <f>1345107.53</f>
        <v>1345107.53</v>
      </c>
      <c r="H318" s="52">
        <f>1345107.53</f>
        <v>1345107.53</v>
      </c>
    </row>
    <row r="319" spans="1:8" s="1" customFormat="1" ht="13.5" customHeight="1">
      <c r="A319" s="50" t="s">
        <v>234</v>
      </c>
      <c r="B319" s="43" t="s">
        <v>251</v>
      </c>
      <c r="C319" s="43" t="s">
        <v>252</v>
      </c>
      <c r="D319" s="43" t="s">
        <v>94</v>
      </c>
      <c r="E319" s="43" t="s">
        <v>0</v>
      </c>
      <c r="F319" s="44">
        <f>414303.47</f>
        <v>414303.47</v>
      </c>
      <c r="G319" s="44">
        <f>406222.47</f>
        <v>406222.47</v>
      </c>
      <c r="H319" s="52">
        <f>406222.47</f>
        <v>406222.47</v>
      </c>
    </row>
    <row r="320" spans="1:8" s="1" customFormat="1" ht="13.5" customHeight="1">
      <c r="A320" s="50" t="s">
        <v>234</v>
      </c>
      <c r="B320" s="43" t="s">
        <v>251</v>
      </c>
      <c r="C320" s="43" t="s">
        <v>253</v>
      </c>
      <c r="D320" s="43" t="s">
        <v>92</v>
      </c>
      <c r="E320" s="43" t="s">
        <v>43</v>
      </c>
      <c r="F320" s="44">
        <f>191512.96</f>
        <v>191512.96</v>
      </c>
      <c r="G320" s="44">
        <f>60253.46</f>
        <v>60253.46</v>
      </c>
      <c r="H320" s="51" t="s">
        <v>0</v>
      </c>
    </row>
    <row r="321" spans="1:8" s="1" customFormat="1" ht="13.5" customHeight="1">
      <c r="A321" s="50" t="s">
        <v>234</v>
      </c>
      <c r="B321" s="43" t="s">
        <v>251</v>
      </c>
      <c r="C321" s="43" t="s">
        <v>253</v>
      </c>
      <c r="D321" s="43" t="s">
        <v>94</v>
      </c>
      <c r="E321" s="43" t="s">
        <v>43</v>
      </c>
      <c r="F321" s="44">
        <f>57838.04</f>
        <v>57838.04</v>
      </c>
      <c r="G321" s="44">
        <f>18196.54</f>
        <v>18196.54</v>
      </c>
      <c r="H321" s="51" t="s">
        <v>0</v>
      </c>
    </row>
    <row r="322" spans="1:8" s="1" customFormat="1" ht="13.5" customHeight="1">
      <c r="A322" s="50" t="s">
        <v>234</v>
      </c>
      <c r="B322" s="43" t="s">
        <v>251</v>
      </c>
      <c r="C322" s="43" t="s">
        <v>254</v>
      </c>
      <c r="D322" s="43" t="s">
        <v>22</v>
      </c>
      <c r="E322" s="43" t="s">
        <v>0</v>
      </c>
      <c r="F322" s="44">
        <f>3922439.81</f>
        <v>3922439.81</v>
      </c>
      <c r="G322" s="44">
        <f>3573610</f>
        <v>3573610</v>
      </c>
      <c r="H322" s="52">
        <f>3573610</f>
        <v>3573610</v>
      </c>
    </row>
    <row r="323" spans="1:8" s="1" customFormat="1" ht="13.5" customHeight="1">
      <c r="A323" s="50" t="s">
        <v>234</v>
      </c>
      <c r="B323" s="43" t="s">
        <v>251</v>
      </c>
      <c r="C323" s="43" t="s">
        <v>254</v>
      </c>
      <c r="D323" s="43" t="s">
        <v>24</v>
      </c>
      <c r="E323" s="43" t="s">
        <v>0</v>
      </c>
      <c r="F323" s="44">
        <f>1135911</f>
        <v>1135911</v>
      </c>
      <c r="G323" s="44">
        <f>1079230</f>
        <v>1079230</v>
      </c>
      <c r="H323" s="52">
        <f>1079230</f>
        <v>1079230</v>
      </c>
    </row>
    <row r="324" spans="1:8" s="1" customFormat="1" ht="13.5" customHeight="1">
      <c r="A324" s="50" t="s">
        <v>234</v>
      </c>
      <c r="B324" s="43" t="s">
        <v>251</v>
      </c>
      <c r="C324" s="43" t="s">
        <v>254</v>
      </c>
      <c r="D324" s="43" t="s">
        <v>25</v>
      </c>
      <c r="E324" s="43" t="s">
        <v>0</v>
      </c>
      <c r="F324" s="44">
        <f>1612340</f>
        <v>1612340</v>
      </c>
      <c r="G324" s="44">
        <f>1607949.63</f>
        <v>1607949.63</v>
      </c>
      <c r="H324" s="52">
        <f>1607990</f>
        <v>1607990</v>
      </c>
    </row>
    <row r="325" spans="1:8" s="1" customFormat="1" ht="13.5" customHeight="1">
      <c r="A325" s="50" t="s">
        <v>234</v>
      </c>
      <c r="B325" s="43" t="s">
        <v>251</v>
      </c>
      <c r="C325" s="43" t="s">
        <v>254</v>
      </c>
      <c r="D325" s="43" t="s">
        <v>32</v>
      </c>
      <c r="E325" s="43" t="s">
        <v>0</v>
      </c>
      <c r="F325" s="44">
        <f>6653</f>
        <v>6653</v>
      </c>
      <c r="G325" s="44">
        <f>6653</f>
        <v>6653</v>
      </c>
      <c r="H325" s="51" t="s">
        <v>0</v>
      </c>
    </row>
    <row r="326" spans="1:8" s="1" customFormat="1" ht="13.5" customHeight="1">
      <c r="A326" s="50" t="s">
        <v>234</v>
      </c>
      <c r="B326" s="43" t="s">
        <v>251</v>
      </c>
      <c r="C326" s="43" t="s">
        <v>254</v>
      </c>
      <c r="D326" s="43" t="s">
        <v>54</v>
      </c>
      <c r="E326" s="43" t="s">
        <v>0</v>
      </c>
      <c r="F326" s="44">
        <f>7857</f>
        <v>7857</v>
      </c>
      <c r="G326" s="44">
        <f>7857</f>
        <v>7857</v>
      </c>
      <c r="H326" s="51" t="s">
        <v>0</v>
      </c>
    </row>
    <row r="327" spans="1:8" s="1" customFormat="1" ht="13.5" customHeight="1">
      <c r="A327" s="50" t="s">
        <v>234</v>
      </c>
      <c r="B327" s="43" t="s">
        <v>251</v>
      </c>
      <c r="C327" s="43" t="s">
        <v>255</v>
      </c>
      <c r="D327" s="43" t="s">
        <v>25</v>
      </c>
      <c r="E327" s="43" t="s">
        <v>0</v>
      </c>
      <c r="F327" s="45" t="s">
        <v>0</v>
      </c>
      <c r="G327" s="44">
        <f>19000</f>
        <v>19000</v>
      </c>
      <c r="H327" s="52">
        <f>19000</f>
        <v>19000</v>
      </c>
    </row>
    <row r="328" spans="1:8" s="1" customFormat="1" ht="13.5" customHeight="1">
      <c r="A328" s="50" t="s">
        <v>234</v>
      </c>
      <c r="B328" s="43" t="s">
        <v>251</v>
      </c>
      <c r="C328" s="43" t="s">
        <v>255</v>
      </c>
      <c r="D328" s="43" t="s">
        <v>36</v>
      </c>
      <c r="E328" s="43" t="s">
        <v>0</v>
      </c>
      <c r="F328" s="44">
        <f>90236.19</f>
        <v>90236.19</v>
      </c>
      <c r="G328" s="44">
        <f>252000</f>
        <v>252000</v>
      </c>
      <c r="H328" s="52">
        <f>252000</f>
        <v>252000</v>
      </c>
    </row>
    <row r="329" spans="1:8" s="1" customFormat="1" ht="13.5" customHeight="1">
      <c r="A329" s="50" t="s">
        <v>234</v>
      </c>
      <c r="B329" s="43" t="s">
        <v>251</v>
      </c>
      <c r="C329" s="43" t="s">
        <v>256</v>
      </c>
      <c r="D329" s="43" t="s">
        <v>22</v>
      </c>
      <c r="E329" s="43" t="s">
        <v>43</v>
      </c>
      <c r="F329" s="44">
        <f>2808388</f>
        <v>2808388</v>
      </c>
      <c r="G329" s="44">
        <f>786398</f>
        <v>786398</v>
      </c>
      <c r="H329" s="51" t="s">
        <v>0</v>
      </c>
    </row>
    <row r="330" spans="1:8" s="1" customFormat="1" ht="13.5" customHeight="1">
      <c r="A330" s="50" t="s">
        <v>234</v>
      </c>
      <c r="B330" s="43" t="s">
        <v>251</v>
      </c>
      <c r="C330" s="43" t="s">
        <v>256</v>
      </c>
      <c r="D330" s="43" t="s">
        <v>24</v>
      </c>
      <c r="E330" s="43" t="s">
        <v>43</v>
      </c>
      <c r="F330" s="44">
        <f>426312</f>
        <v>426312</v>
      </c>
      <c r="G330" s="44">
        <f>237492</f>
        <v>237492</v>
      </c>
      <c r="H330" s="51" t="s">
        <v>0</v>
      </c>
    </row>
    <row r="331" spans="1:8" s="1" customFormat="1" ht="13.5" customHeight="1">
      <c r="A331" s="50" t="s">
        <v>234</v>
      </c>
      <c r="B331" s="43" t="s">
        <v>251</v>
      </c>
      <c r="C331" s="43" t="s">
        <v>109</v>
      </c>
      <c r="D331" s="43" t="s">
        <v>25</v>
      </c>
      <c r="E331" s="43" t="s">
        <v>0</v>
      </c>
      <c r="F331" s="44">
        <f>68372</f>
        <v>68372</v>
      </c>
      <c r="G331" s="45" t="s">
        <v>0</v>
      </c>
      <c r="H331" s="51" t="s">
        <v>0</v>
      </c>
    </row>
    <row r="332" spans="1:8" s="1" customFormat="1" ht="13.5" customHeight="1">
      <c r="A332" s="50" t="s">
        <v>234</v>
      </c>
      <c r="B332" s="43" t="s">
        <v>257</v>
      </c>
      <c r="C332" s="43" t="s">
        <v>258</v>
      </c>
      <c r="D332" s="43" t="s">
        <v>25</v>
      </c>
      <c r="E332" s="43" t="s">
        <v>0</v>
      </c>
      <c r="F332" s="44">
        <f>95000</f>
        <v>95000</v>
      </c>
      <c r="G332" s="44">
        <f>95000</f>
        <v>95000</v>
      </c>
      <c r="H332" s="52">
        <f>95000</f>
        <v>95000</v>
      </c>
    </row>
    <row r="333" spans="1:8" s="1" customFormat="1" ht="13.5" customHeight="1">
      <c r="A333" s="50" t="s">
        <v>234</v>
      </c>
      <c r="B333" s="43" t="s">
        <v>124</v>
      </c>
      <c r="C333" s="43" t="s">
        <v>259</v>
      </c>
      <c r="D333" s="43" t="s">
        <v>138</v>
      </c>
      <c r="E333" s="43" t="s">
        <v>0</v>
      </c>
      <c r="F333" s="44">
        <f>150000</f>
        <v>150000</v>
      </c>
      <c r="G333" s="44">
        <f>50000</f>
        <v>50000</v>
      </c>
      <c r="H333" s="52">
        <f>50000</f>
        <v>50000</v>
      </c>
    </row>
    <row r="334" spans="1:8" s="1" customFormat="1" ht="13.5" customHeight="1">
      <c r="A334" s="50" t="s">
        <v>234</v>
      </c>
      <c r="B334" s="43" t="s">
        <v>124</v>
      </c>
      <c r="C334" s="43" t="s">
        <v>259</v>
      </c>
      <c r="D334" s="43" t="s">
        <v>25</v>
      </c>
      <c r="E334" s="43" t="s">
        <v>0</v>
      </c>
      <c r="F334" s="44">
        <f>1168980</f>
        <v>1168980</v>
      </c>
      <c r="G334" s="44">
        <f>618980</f>
        <v>618980</v>
      </c>
      <c r="H334" s="52">
        <f>618980</f>
        <v>618980</v>
      </c>
    </row>
    <row r="335" spans="1:8" s="1" customFormat="1" ht="13.5" customHeight="1">
      <c r="A335" s="50" t="s">
        <v>234</v>
      </c>
      <c r="B335" s="43" t="s">
        <v>124</v>
      </c>
      <c r="C335" s="43" t="s">
        <v>109</v>
      </c>
      <c r="D335" s="43" t="s">
        <v>138</v>
      </c>
      <c r="E335" s="43" t="s">
        <v>0</v>
      </c>
      <c r="F335" s="44">
        <f>150000</f>
        <v>150000</v>
      </c>
      <c r="G335" s="45" t="s">
        <v>0</v>
      </c>
      <c r="H335" s="51" t="s">
        <v>0</v>
      </c>
    </row>
    <row r="336" spans="1:8" s="1" customFormat="1" ht="13.5" customHeight="1">
      <c r="A336" s="50" t="s">
        <v>234</v>
      </c>
      <c r="B336" s="43" t="s">
        <v>124</v>
      </c>
      <c r="C336" s="43" t="s">
        <v>109</v>
      </c>
      <c r="D336" s="43" t="s">
        <v>25</v>
      </c>
      <c r="E336" s="43" t="s">
        <v>0</v>
      </c>
      <c r="F336" s="44">
        <f>63000</f>
        <v>63000</v>
      </c>
      <c r="G336" s="45" t="s">
        <v>0</v>
      </c>
      <c r="H336" s="51" t="s">
        <v>0</v>
      </c>
    </row>
    <row r="337" spans="1:8" s="1" customFormat="1" ht="15" customHeight="1" thickBot="1">
      <c r="A337" s="88" t="s">
        <v>260</v>
      </c>
      <c r="B337" s="89"/>
      <c r="C337" s="89"/>
      <c r="D337" s="89"/>
      <c r="E337" s="89"/>
      <c r="F337" s="53">
        <f>886553108.83</f>
        <v>886553108.83</v>
      </c>
      <c r="G337" s="53">
        <f>551080389.44</f>
        <v>551080389.44</v>
      </c>
      <c r="H337" s="54">
        <f>844088391.66</f>
        <v>844088391.66</v>
      </c>
    </row>
  </sheetData>
  <sheetProtection/>
  <mergeCells count="9">
    <mergeCell ref="E1:H1"/>
    <mergeCell ref="A3:H3"/>
    <mergeCell ref="A4:H4"/>
    <mergeCell ref="A337:E337"/>
    <mergeCell ref="E6:E7"/>
    <mergeCell ref="F6:F7"/>
    <mergeCell ref="G6:H6"/>
    <mergeCell ref="A6:D6"/>
    <mergeCell ref="E2:H2"/>
  </mergeCells>
  <printOptions/>
  <pageMargins left="0.984251968503937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2.75"/>
  <cols>
    <col min="1" max="1" width="53.28125" style="65" customWidth="1"/>
    <col min="2" max="2" width="35.7109375" style="65" customWidth="1"/>
    <col min="3" max="3" width="19.28125" style="80" customWidth="1"/>
    <col min="4" max="4" width="17.57421875" style="65" customWidth="1"/>
    <col min="5" max="5" width="16.28125" style="65" customWidth="1"/>
    <col min="6" max="10" width="18.28125" style="65" customWidth="1"/>
    <col min="11" max="16384" width="9.140625" style="65" customWidth="1"/>
  </cols>
  <sheetData>
    <row r="1" spans="3:5" s="55" customFormat="1" ht="12.75" customHeight="1">
      <c r="C1" s="56" t="s">
        <v>295</v>
      </c>
      <c r="D1" s="57"/>
      <c r="E1" s="57"/>
    </row>
    <row r="2" spans="3:5" s="55" customFormat="1" ht="53.25" customHeight="1">
      <c r="C2" s="95" t="s">
        <v>296</v>
      </c>
      <c r="D2" s="96"/>
      <c r="E2" s="96"/>
    </row>
    <row r="3" spans="1:5" s="55" customFormat="1" ht="43.5" customHeight="1">
      <c r="A3" s="97" t="s">
        <v>297</v>
      </c>
      <c r="B3" s="98"/>
      <c r="C3" s="98"/>
      <c r="D3" s="99"/>
      <c r="E3" s="99"/>
    </row>
    <row r="4" spans="1:256" s="1" customFormat="1" ht="42" customHeight="1">
      <c r="A4" s="100" t="s">
        <v>339</v>
      </c>
      <c r="B4" s="101"/>
      <c r="C4" s="101"/>
      <c r="D4" s="101"/>
      <c r="E4" s="101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5" s="55" customFormat="1" ht="22.5" customHeight="1">
      <c r="A5" s="102" t="s">
        <v>298</v>
      </c>
      <c r="B5" s="105" t="s">
        <v>299</v>
      </c>
      <c r="C5" s="107" t="s">
        <v>300</v>
      </c>
      <c r="D5" s="108"/>
      <c r="E5" s="109"/>
    </row>
    <row r="6" spans="1:5" s="55" customFormat="1" ht="21" customHeight="1">
      <c r="A6" s="103"/>
      <c r="B6" s="106"/>
      <c r="C6" s="110" t="s">
        <v>301</v>
      </c>
      <c r="D6" s="112" t="s">
        <v>8</v>
      </c>
      <c r="E6" s="113"/>
    </row>
    <row r="7" spans="1:5" s="55" customFormat="1" ht="27" customHeight="1">
      <c r="A7" s="104"/>
      <c r="B7" s="104"/>
      <c r="C7" s="111"/>
      <c r="D7" s="61" t="s">
        <v>9</v>
      </c>
      <c r="E7" s="61" t="s">
        <v>10</v>
      </c>
    </row>
    <row r="8" spans="1:5" ht="15.75">
      <c r="A8" s="62" t="s">
        <v>302</v>
      </c>
      <c r="B8" s="63"/>
      <c r="C8" s="64">
        <f>-C9</f>
        <v>-11383804.72</v>
      </c>
      <c r="D8" s="64">
        <f>-D9</f>
        <v>0</v>
      </c>
      <c r="E8" s="64">
        <f>-E9</f>
        <v>0</v>
      </c>
    </row>
    <row r="9" spans="1:5" ht="44.25" customHeight="1">
      <c r="A9" s="62" t="s">
        <v>303</v>
      </c>
      <c r="B9" s="63" t="s">
        <v>304</v>
      </c>
      <c r="C9" s="64">
        <f>C10+C15+C21</f>
        <v>11383804.72</v>
      </c>
      <c r="D9" s="64">
        <f>D10+D15</f>
        <v>0</v>
      </c>
      <c r="E9" s="64">
        <f>E10+E15</f>
        <v>0</v>
      </c>
    </row>
    <row r="10" spans="1:5" ht="44.25" customHeight="1">
      <c r="A10" s="62" t="s">
        <v>305</v>
      </c>
      <c r="B10" s="63" t="s">
        <v>306</v>
      </c>
      <c r="C10" s="64">
        <f>C11+C13</f>
        <v>0</v>
      </c>
      <c r="D10" s="64">
        <f>D11+D14</f>
        <v>0</v>
      </c>
      <c r="E10" s="64">
        <f>E11+E13</f>
        <v>0</v>
      </c>
    </row>
    <row r="11" spans="1:5" s="69" customFormat="1" ht="31.5">
      <c r="A11" s="66" t="s">
        <v>307</v>
      </c>
      <c r="B11" s="67" t="s">
        <v>308</v>
      </c>
      <c r="C11" s="68">
        <f>C12</f>
        <v>0</v>
      </c>
      <c r="D11" s="68">
        <f>D12</f>
        <v>0</v>
      </c>
      <c r="E11" s="68">
        <f>E12</f>
        <v>0</v>
      </c>
    </row>
    <row r="12" spans="1:5" ht="47.25">
      <c r="A12" s="66" t="s">
        <v>309</v>
      </c>
      <c r="B12" s="67" t="s">
        <v>310</v>
      </c>
      <c r="C12" s="68">
        <v>0</v>
      </c>
      <c r="D12" s="70">
        <v>0</v>
      </c>
      <c r="E12" s="70">
        <v>0</v>
      </c>
    </row>
    <row r="13" spans="1:5" ht="47.25">
      <c r="A13" s="66" t="s">
        <v>311</v>
      </c>
      <c r="B13" s="67" t="s">
        <v>312</v>
      </c>
      <c r="C13" s="68">
        <f>C14</f>
        <v>0</v>
      </c>
      <c r="D13" s="70">
        <f>D14</f>
        <v>0</v>
      </c>
      <c r="E13" s="70">
        <f>E14</f>
        <v>0</v>
      </c>
    </row>
    <row r="14" spans="1:5" ht="47.25">
      <c r="A14" s="66" t="s">
        <v>313</v>
      </c>
      <c r="B14" s="67" t="s">
        <v>314</v>
      </c>
      <c r="C14" s="68">
        <v>0</v>
      </c>
      <c r="D14" s="70">
        <v>0</v>
      </c>
      <c r="E14" s="70">
        <v>0</v>
      </c>
    </row>
    <row r="15" spans="1:5" ht="51.75" customHeight="1">
      <c r="A15" s="62" t="s">
        <v>315</v>
      </c>
      <c r="B15" s="63" t="s">
        <v>316</v>
      </c>
      <c r="C15" s="64">
        <f>C16-(-C19)</f>
        <v>0</v>
      </c>
      <c r="D15" s="71">
        <f>D16-(-D19)</f>
        <v>0</v>
      </c>
      <c r="E15" s="71">
        <f>E16-(-E19)</f>
        <v>0</v>
      </c>
    </row>
    <row r="16" spans="1:5" s="69" customFormat="1" ht="69.75" customHeight="1">
      <c r="A16" s="66" t="s">
        <v>317</v>
      </c>
      <c r="B16" s="67" t="s">
        <v>318</v>
      </c>
      <c r="C16" s="68">
        <f>C17</f>
        <v>0</v>
      </c>
      <c r="D16" s="70">
        <f>D17</f>
        <v>5000000</v>
      </c>
      <c r="E16" s="70">
        <v>5000000</v>
      </c>
    </row>
    <row r="17" spans="1:5" ht="80.25" customHeight="1">
      <c r="A17" s="66" t="s">
        <v>319</v>
      </c>
      <c r="B17" s="67" t="s">
        <v>320</v>
      </c>
      <c r="C17" s="68">
        <f>C18</f>
        <v>0</v>
      </c>
      <c r="D17" s="70">
        <f>D18</f>
        <v>5000000</v>
      </c>
      <c r="E17" s="70">
        <f>E18</f>
        <v>5000000</v>
      </c>
    </row>
    <row r="18" spans="1:5" ht="110.25">
      <c r="A18" s="66" t="s">
        <v>321</v>
      </c>
      <c r="B18" s="67" t="s">
        <v>322</v>
      </c>
      <c r="C18" s="68"/>
      <c r="D18" s="70">
        <v>5000000</v>
      </c>
      <c r="E18" s="70">
        <v>5000000</v>
      </c>
    </row>
    <row r="19" spans="1:5" ht="60.75" customHeight="1">
      <c r="A19" s="66" t="s">
        <v>323</v>
      </c>
      <c r="B19" s="67" t="s">
        <v>324</v>
      </c>
      <c r="C19" s="68">
        <f>C20</f>
        <v>0</v>
      </c>
      <c r="D19" s="70">
        <f>D20</f>
        <v>-5000000</v>
      </c>
      <c r="E19" s="70">
        <f>E20</f>
        <v>-5000000</v>
      </c>
    </row>
    <row r="20" spans="1:5" ht="76.5" customHeight="1">
      <c r="A20" s="66" t="s">
        <v>325</v>
      </c>
      <c r="B20" s="67" t="s">
        <v>326</v>
      </c>
      <c r="C20" s="68"/>
      <c r="D20" s="68">
        <v>-5000000</v>
      </c>
      <c r="E20" s="68">
        <v>-5000000</v>
      </c>
    </row>
    <row r="21" spans="1:5" ht="36.75" customHeight="1">
      <c r="A21" s="66" t="s">
        <v>327</v>
      </c>
      <c r="B21" s="67" t="s">
        <v>304</v>
      </c>
      <c r="C21" s="72">
        <v>11383804.72</v>
      </c>
      <c r="D21" s="73"/>
      <c r="E21" s="73"/>
    </row>
    <row r="22" spans="1:5" ht="31.5" hidden="1">
      <c r="A22" s="66" t="s">
        <v>328</v>
      </c>
      <c r="B22" s="67" t="s">
        <v>329</v>
      </c>
      <c r="C22" s="72">
        <f>C23</f>
        <v>0</v>
      </c>
      <c r="D22" s="73"/>
      <c r="E22" s="73"/>
    </row>
    <row r="23" spans="1:5" ht="15.75" hidden="1">
      <c r="A23" s="66" t="s">
        <v>330</v>
      </c>
      <c r="B23" s="67" t="s">
        <v>331</v>
      </c>
      <c r="C23" s="74">
        <f>C24</f>
        <v>0</v>
      </c>
      <c r="D23" s="73"/>
      <c r="E23" s="73"/>
    </row>
    <row r="24" spans="1:5" ht="15.75" hidden="1">
      <c r="A24" s="66" t="s">
        <v>332</v>
      </c>
      <c r="B24" s="67" t="s">
        <v>333</v>
      </c>
      <c r="C24" s="72">
        <f>C25</f>
        <v>0</v>
      </c>
      <c r="D24" s="73"/>
      <c r="E24" s="73"/>
    </row>
    <row r="25" spans="1:5" ht="31.5" hidden="1">
      <c r="A25" s="66" t="s">
        <v>334</v>
      </c>
      <c r="B25" s="67" t="s">
        <v>333</v>
      </c>
      <c r="C25" s="72">
        <f>C26</f>
        <v>0</v>
      </c>
      <c r="D25" s="73"/>
      <c r="E25" s="73"/>
    </row>
    <row r="26" spans="1:5" ht="31.5" hidden="1">
      <c r="A26" s="66" t="s">
        <v>335</v>
      </c>
      <c r="B26" s="67" t="s">
        <v>336</v>
      </c>
      <c r="C26" s="72"/>
      <c r="D26" s="73"/>
      <c r="E26" s="73"/>
    </row>
    <row r="27" spans="2:3" ht="15.75">
      <c r="B27" s="75"/>
      <c r="C27" s="76"/>
    </row>
    <row r="28" spans="2:3" ht="18.75">
      <c r="B28" s="75"/>
      <c r="C28" s="81"/>
    </row>
    <row r="29" spans="2:3" ht="15.75">
      <c r="B29" s="75"/>
      <c r="C29" s="76"/>
    </row>
    <row r="30" spans="2:3" ht="15.75">
      <c r="B30" s="75"/>
      <c r="C30" s="76"/>
    </row>
    <row r="31" spans="2:3" ht="15.75">
      <c r="B31" s="77"/>
      <c r="C31" s="78"/>
    </row>
    <row r="32" spans="2:3" ht="15.75">
      <c r="B32" s="77"/>
      <c r="C32" s="78"/>
    </row>
    <row r="33" spans="2:3" ht="15.75">
      <c r="B33" s="77"/>
      <c r="C33" s="78"/>
    </row>
    <row r="34" ht="15.75">
      <c r="C34" s="79"/>
    </row>
    <row r="35" ht="15.75">
      <c r="C35" s="79"/>
    </row>
    <row r="36" ht="15.75">
      <c r="C36" s="79"/>
    </row>
    <row r="37" ht="15.75">
      <c r="C37" s="79"/>
    </row>
    <row r="38" ht="15.75">
      <c r="C38" s="79"/>
    </row>
    <row r="39" ht="15.75">
      <c r="C39" s="79"/>
    </row>
    <row r="40" ht="15.75">
      <c r="C40" s="79"/>
    </row>
    <row r="41" ht="15.75">
      <c r="C41" s="79"/>
    </row>
    <row r="42" ht="15.75">
      <c r="C42" s="79"/>
    </row>
    <row r="43" ht="15.75">
      <c r="C43" s="79"/>
    </row>
    <row r="44" ht="15.75">
      <c r="C44" s="79"/>
    </row>
    <row r="45" ht="15.75">
      <c r="C45" s="79"/>
    </row>
    <row r="46" ht="15.75">
      <c r="C46" s="79"/>
    </row>
    <row r="47" ht="15.75">
      <c r="C47" s="79"/>
    </row>
    <row r="48" ht="15.75">
      <c r="C48" s="79"/>
    </row>
    <row r="49" ht="15.75">
      <c r="C49" s="79"/>
    </row>
    <row r="50" ht="15.75">
      <c r="C50" s="79"/>
    </row>
    <row r="51" ht="15.75">
      <c r="C51" s="79"/>
    </row>
    <row r="52" ht="15.75">
      <c r="C52" s="79"/>
    </row>
    <row r="53" ht="15.75">
      <c r="C53" s="79"/>
    </row>
    <row r="54" ht="15.75">
      <c r="C54" s="79"/>
    </row>
    <row r="55" ht="15.75">
      <c r="C55" s="79"/>
    </row>
    <row r="56" ht="15.75">
      <c r="C56" s="79"/>
    </row>
    <row r="57" ht="15.75">
      <c r="C57" s="79"/>
    </row>
    <row r="58" ht="15.75">
      <c r="C58" s="79"/>
    </row>
    <row r="59" ht="15.75">
      <c r="C59" s="79"/>
    </row>
    <row r="60" ht="15.75">
      <c r="C60" s="79"/>
    </row>
    <row r="61" ht="15.75">
      <c r="C61" s="79"/>
    </row>
    <row r="62" ht="15.75">
      <c r="C62" s="79"/>
    </row>
    <row r="63" ht="15.75">
      <c r="C63" s="79"/>
    </row>
    <row r="64" ht="15.75">
      <c r="C64" s="79"/>
    </row>
    <row r="65" ht="15.75">
      <c r="C65" s="79"/>
    </row>
    <row r="66" ht="15.75">
      <c r="C66" s="79"/>
    </row>
    <row r="67" ht="15.75">
      <c r="C67" s="79"/>
    </row>
    <row r="68" ht="15.75">
      <c r="C68" s="79"/>
    </row>
    <row r="69" ht="15.75">
      <c r="C69" s="79"/>
    </row>
    <row r="70" ht="15.75">
      <c r="C70" s="79"/>
    </row>
    <row r="71" ht="15.75">
      <c r="C71" s="79"/>
    </row>
    <row r="72" ht="15.75">
      <c r="C72" s="79"/>
    </row>
    <row r="73" ht="15.75">
      <c r="C73" s="79"/>
    </row>
    <row r="74" ht="15.75">
      <c r="C74" s="79"/>
    </row>
    <row r="75" ht="15.75">
      <c r="C75" s="79"/>
    </row>
    <row r="76" ht="15.75">
      <c r="C76" s="79"/>
    </row>
    <row r="77" ht="15.75">
      <c r="C77" s="79"/>
    </row>
    <row r="78" ht="15.75">
      <c r="C78" s="79"/>
    </row>
    <row r="79" ht="15.75">
      <c r="C79" s="79"/>
    </row>
    <row r="80" ht="15.75">
      <c r="C80" s="79"/>
    </row>
    <row r="81" ht="15.75">
      <c r="C81" s="79"/>
    </row>
    <row r="82" ht="15.75">
      <c r="C82" s="79"/>
    </row>
    <row r="83" ht="15.75">
      <c r="C83" s="79"/>
    </row>
    <row r="84" ht="15.75">
      <c r="C84" s="79"/>
    </row>
    <row r="85" ht="15.75">
      <c r="C85" s="79"/>
    </row>
    <row r="86" ht="15.75">
      <c r="C86" s="79"/>
    </row>
    <row r="87" ht="15.75">
      <c r="C87" s="79"/>
    </row>
    <row r="88" ht="15.75">
      <c r="C88" s="79"/>
    </row>
    <row r="89" ht="15.75">
      <c r="C89" s="79"/>
    </row>
    <row r="90" ht="15.75">
      <c r="C90" s="79"/>
    </row>
    <row r="91" ht="15.75">
      <c r="C91" s="79"/>
    </row>
    <row r="92" ht="15.75">
      <c r="C92" s="79"/>
    </row>
    <row r="93" ht="15.75">
      <c r="C93" s="79"/>
    </row>
    <row r="94" ht="15.75">
      <c r="C94" s="79"/>
    </row>
    <row r="95" ht="15.75">
      <c r="C95" s="79"/>
    </row>
    <row r="96" ht="15.75">
      <c r="C96" s="79"/>
    </row>
    <row r="97" ht="15.75">
      <c r="C97" s="79"/>
    </row>
    <row r="98" ht="15.75">
      <c r="C98" s="79"/>
    </row>
    <row r="99" ht="15.75">
      <c r="C99" s="79"/>
    </row>
    <row r="100" ht="15.75">
      <c r="C100" s="79"/>
    </row>
    <row r="101" ht="15.75">
      <c r="C101" s="79"/>
    </row>
    <row r="102" ht="15.75">
      <c r="C102" s="79"/>
    </row>
    <row r="103" ht="15.75">
      <c r="C103" s="79"/>
    </row>
    <row r="104" ht="15.75">
      <c r="C104" s="79"/>
    </row>
    <row r="105" ht="15.75">
      <c r="C105" s="79"/>
    </row>
    <row r="106" ht="15.75">
      <c r="C106" s="79"/>
    </row>
    <row r="107" ht="15.75">
      <c r="C107" s="79"/>
    </row>
    <row r="108" ht="15.75">
      <c r="C108" s="79"/>
    </row>
    <row r="109" ht="15.75">
      <c r="C109" s="79"/>
    </row>
    <row r="110" ht="15.75">
      <c r="C110" s="79"/>
    </row>
    <row r="111" ht="15.75">
      <c r="C111" s="79"/>
    </row>
    <row r="112" ht="15.75">
      <c r="C112" s="79"/>
    </row>
    <row r="113" ht="15.75">
      <c r="C113" s="79"/>
    </row>
    <row r="114" ht="15.75">
      <c r="C114" s="79"/>
    </row>
    <row r="115" ht="15.75">
      <c r="C115" s="79"/>
    </row>
    <row r="116" ht="15.75">
      <c r="C116" s="79"/>
    </row>
    <row r="117" ht="15.75">
      <c r="C117" s="79"/>
    </row>
    <row r="118" ht="15.75">
      <c r="C118" s="79"/>
    </row>
    <row r="119" ht="15.75">
      <c r="C119" s="79"/>
    </row>
    <row r="120" ht="15.75">
      <c r="C120" s="79"/>
    </row>
    <row r="121" ht="15.75">
      <c r="C121" s="79"/>
    </row>
    <row r="122" ht="15.75">
      <c r="C122" s="79"/>
    </row>
    <row r="123" ht="15.75">
      <c r="C123" s="79"/>
    </row>
    <row r="124" ht="15.75">
      <c r="C124" s="79"/>
    </row>
    <row r="125" ht="15.75">
      <c r="C125" s="79"/>
    </row>
    <row r="126" ht="15.75">
      <c r="C126" s="79"/>
    </row>
    <row r="127" ht="15.75">
      <c r="C127" s="79"/>
    </row>
    <row r="128" ht="15.75">
      <c r="C128" s="79"/>
    </row>
    <row r="129" ht="15.75">
      <c r="C129" s="79"/>
    </row>
    <row r="130" ht="15.75">
      <c r="C130" s="79"/>
    </row>
    <row r="131" ht="15.75">
      <c r="C131" s="79"/>
    </row>
    <row r="132" ht="15.75">
      <c r="C132" s="79"/>
    </row>
    <row r="133" ht="15.75">
      <c r="C133" s="79"/>
    </row>
    <row r="134" ht="15.75">
      <c r="C134" s="79"/>
    </row>
    <row r="135" ht="15.75">
      <c r="C135" s="79"/>
    </row>
    <row r="136" ht="15.75">
      <c r="C136" s="79"/>
    </row>
    <row r="137" ht="15.75">
      <c r="C137" s="79"/>
    </row>
    <row r="138" ht="15.75">
      <c r="C138" s="79"/>
    </row>
    <row r="139" ht="15.75">
      <c r="C139" s="79"/>
    </row>
    <row r="140" ht="15.75">
      <c r="C140" s="79"/>
    </row>
    <row r="141" ht="15.75">
      <c r="C141" s="79"/>
    </row>
    <row r="142" ht="15.75">
      <c r="C142" s="79"/>
    </row>
    <row r="143" ht="15.75">
      <c r="C143" s="79"/>
    </row>
  </sheetData>
  <sheetProtection/>
  <mergeCells count="8">
    <mergeCell ref="C2:E2"/>
    <mergeCell ref="A3:E3"/>
    <mergeCell ref="A4:E4"/>
    <mergeCell ref="A5:A7"/>
    <mergeCell ref="B5:B7"/>
    <mergeCell ref="C5:E5"/>
    <mergeCell ref="C6:C7"/>
    <mergeCell ref="D6:E6"/>
  </mergeCells>
  <printOptions/>
  <pageMargins left="0.9055118110236221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365"/>
  <sheetViews>
    <sheetView view="pageBreakPreview" zoomScaleSheetLayoutView="100" zoomScalePageLayoutView="0" workbookViewId="0" topLeftCell="A84">
      <selection activeCell="D16" sqref="D15:D16"/>
    </sheetView>
  </sheetViews>
  <sheetFormatPr defaultColWidth="9.140625" defaultRowHeight="12.75"/>
  <cols>
    <col min="1" max="1" width="32.00390625" style="2" customWidth="1"/>
    <col min="2" max="2" width="5.57421875" style="2" customWidth="1"/>
    <col min="3" max="3" width="6.8515625" style="2" customWidth="1"/>
    <col min="4" max="4" width="11.140625" style="2" customWidth="1"/>
    <col min="5" max="5" width="7.00390625" style="2" customWidth="1"/>
    <col min="6" max="6" width="7.421875" style="2" customWidth="1"/>
    <col min="7" max="7" width="21.8515625" style="6" customWidth="1"/>
    <col min="8" max="8" width="11.7109375" style="6" customWidth="1"/>
    <col min="9" max="9" width="11.421875" style="6" customWidth="1"/>
    <col min="10" max="10" width="12.8515625" style="2" customWidth="1"/>
    <col min="11" max="249" width="9.140625" style="2" customWidth="1"/>
  </cols>
  <sheetData>
    <row r="1" spans="5:9" ht="12.75">
      <c r="E1" s="82" t="s">
        <v>261</v>
      </c>
      <c r="F1" s="114"/>
      <c r="G1" s="114"/>
      <c r="H1" s="115"/>
      <c r="I1" s="115"/>
    </row>
    <row r="2" spans="5:9" ht="51" customHeight="1">
      <c r="E2" s="94" t="s">
        <v>262</v>
      </c>
      <c r="F2" s="114"/>
      <c r="G2" s="114"/>
      <c r="H2" s="115"/>
      <c r="I2" s="115"/>
    </row>
    <row r="3" spans="1:9" ht="42" customHeight="1">
      <c r="A3" s="84" t="s">
        <v>263</v>
      </c>
      <c r="B3" s="84"/>
      <c r="C3" s="84"/>
      <c r="D3" s="84"/>
      <c r="E3" s="84"/>
      <c r="F3" s="84"/>
      <c r="G3" s="84"/>
      <c r="H3" s="116"/>
      <c r="I3" s="116"/>
    </row>
    <row r="4" spans="1:249" ht="34.5" customHeight="1">
      <c r="A4" s="86" t="s">
        <v>337</v>
      </c>
      <c r="B4" s="86"/>
      <c r="C4" s="86"/>
      <c r="D4" s="86"/>
      <c r="E4" s="86"/>
      <c r="F4" s="117"/>
      <c r="G4" s="117"/>
      <c r="H4" s="117"/>
      <c r="I4" s="11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9" ht="12.75">
      <c r="A5" s="118" t="s">
        <v>264</v>
      </c>
      <c r="B5" s="119" t="s">
        <v>265</v>
      </c>
      <c r="C5" s="119"/>
      <c r="D5" s="119"/>
      <c r="E5" s="119"/>
      <c r="F5" s="119"/>
      <c r="G5" s="120" t="s">
        <v>7</v>
      </c>
      <c r="H5" s="122" t="s">
        <v>8</v>
      </c>
      <c r="I5" s="122"/>
    </row>
    <row r="6" spans="1:9" ht="31.5">
      <c r="A6" s="118"/>
      <c r="B6" s="8" t="s">
        <v>266</v>
      </c>
      <c r="C6" s="8" t="s">
        <v>267</v>
      </c>
      <c r="D6" s="8" t="s">
        <v>268</v>
      </c>
      <c r="E6" s="8" t="s">
        <v>269</v>
      </c>
      <c r="F6" s="8" t="s">
        <v>6</v>
      </c>
      <c r="G6" s="121"/>
      <c r="H6" s="7" t="s">
        <v>9</v>
      </c>
      <c r="I6" s="7" t="s">
        <v>10</v>
      </c>
    </row>
    <row r="7" spans="1:249" ht="12.75">
      <c r="A7" s="9" t="s">
        <v>11</v>
      </c>
      <c r="B7" s="9" t="s">
        <v>12</v>
      </c>
      <c r="C7" s="9" t="s">
        <v>13</v>
      </c>
      <c r="D7" s="9">
        <v>4</v>
      </c>
      <c r="E7" s="9">
        <v>5</v>
      </c>
      <c r="F7" s="9">
        <v>6</v>
      </c>
      <c r="G7" s="7">
        <v>7</v>
      </c>
      <c r="H7" s="10">
        <v>8</v>
      </c>
      <c r="I7" s="10">
        <v>9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:249" ht="12.75">
      <c r="A8" s="12" t="s">
        <v>270</v>
      </c>
      <c r="B8" s="12" t="s">
        <v>271</v>
      </c>
      <c r="C8" s="12" t="s">
        <v>272</v>
      </c>
      <c r="D8" s="12" t="s">
        <v>129</v>
      </c>
      <c r="E8" s="12" t="s">
        <v>130</v>
      </c>
      <c r="F8" s="13"/>
      <c r="G8" s="14">
        <f>SUM(G9:G18)</f>
        <v>26121100</v>
      </c>
      <c r="H8" s="14">
        <f>SUM(H9:H18)</f>
        <v>26121100</v>
      </c>
      <c r="I8" s="14">
        <f>SUM(I9:I18)</f>
        <v>26121100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249" ht="12.75">
      <c r="A9" s="16" t="s">
        <v>273</v>
      </c>
      <c r="B9" s="12"/>
      <c r="C9" s="12"/>
      <c r="D9" s="12"/>
      <c r="E9" s="12"/>
      <c r="F9" s="13"/>
      <c r="G9" s="17">
        <v>3032770</v>
      </c>
      <c r="H9" s="18">
        <v>3032770</v>
      </c>
      <c r="I9" s="18">
        <v>3032770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:249" ht="12.75">
      <c r="A10" s="16" t="s">
        <v>274</v>
      </c>
      <c r="B10" s="12"/>
      <c r="C10" s="12"/>
      <c r="D10" s="12"/>
      <c r="E10" s="12"/>
      <c r="F10" s="13"/>
      <c r="G10" s="17">
        <v>2930160</v>
      </c>
      <c r="H10" s="18">
        <v>2930160</v>
      </c>
      <c r="I10" s="18">
        <v>2930160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:249" ht="12.75">
      <c r="A11" s="16" t="s">
        <v>275</v>
      </c>
      <c r="B11" s="12"/>
      <c r="C11" s="12"/>
      <c r="D11" s="12"/>
      <c r="E11" s="12"/>
      <c r="F11" s="13"/>
      <c r="G11" s="17">
        <v>2271330</v>
      </c>
      <c r="H11" s="18">
        <v>2271330</v>
      </c>
      <c r="I11" s="18">
        <v>2271330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:249" ht="12.75">
      <c r="A12" s="16" t="s">
        <v>276</v>
      </c>
      <c r="B12" s="12"/>
      <c r="C12" s="12"/>
      <c r="D12" s="12"/>
      <c r="E12" s="12"/>
      <c r="F12" s="13"/>
      <c r="G12" s="17">
        <v>2999860</v>
      </c>
      <c r="H12" s="18">
        <v>2999860</v>
      </c>
      <c r="I12" s="18">
        <v>2999860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12.75">
      <c r="A13" s="16" t="s">
        <v>277</v>
      </c>
      <c r="B13" s="12"/>
      <c r="C13" s="12"/>
      <c r="D13" s="12"/>
      <c r="E13" s="12"/>
      <c r="F13" s="13"/>
      <c r="G13" s="17">
        <v>1870230</v>
      </c>
      <c r="H13" s="18">
        <v>1870230</v>
      </c>
      <c r="I13" s="18">
        <v>1870230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12.75">
      <c r="A14" s="16" t="s">
        <v>278</v>
      </c>
      <c r="B14" s="12"/>
      <c r="C14" s="12"/>
      <c r="D14" s="12"/>
      <c r="E14" s="12"/>
      <c r="F14" s="13"/>
      <c r="G14" s="17">
        <v>2421920</v>
      </c>
      <c r="H14" s="18">
        <v>2421920</v>
      </c>
      <c r="I14" s="18">
        <v>2421920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:249" ht="12.75">
      <c r="A15" s="16" t="s">
        <v>279</v>
      </c>
      <c r="B15" s="12"/>
      <c r="C15" s="12"/>
      <c r="D15" s="12"/>
      <c r="E15" s="12"/>
      <c r="F15" s="13"/>
      <c r="G15" s="17">
        <v>2381950</v>
      </c>
      <c r="H15" s="18">
        <v>2381950</v>
      </c>
      <c r="I15" s="18">
        <v>2381950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  <row r="16" spans="1:249" ht="12.75">
      <c r="A16" s="16" t="s">
        <v>280</v>
      </c>
      <c r="B16" s="12"/>
      <c r="C16" s="12"/>
      <c r="D16" s="12"/>
      <c r="E16" s="12"/>
      <c r="F16" s="13"/>
      <c r="G16" s="17">
        <v>2907810</v>
      </c>
      <c r="H16" s="18">
        <v>2907810</v>
      </c>
      <c r="I16" s="18">
        <v>2907810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</row>
    <row r="17" spans="1:249" ht="12.75">
      <c r="A17" s="16" t="s">
        <v>281</v>
      </c>
      <c r="B17" s="12"/>
      <c r="C17" s="12"/>
      <c r="D17" s="12"/>
      <c r="E17" s="12"/>
      <c r="F17" s="13"/>
      <c r="G17" s="17">
        <v>4416720</v>
      </c>
      <c r="H17" s="18">
        <v>4416720</v>
      </c>
      <c r="I17" s="18">
        <v>4416720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</row>
    <row r="18" spans="1:249" ht="12.75">
      <c r="A18" s="16" t="s">
        <v>282</v>
      </c>
      <c r="B18" s="12"/>
      <c r="C18" s="12"/>
      <c r="D18" s="12"/>
      <c r="E18" s="12"/>
      <c r="F18" s="13"/>
      <c r="G18" s="17">
        <v>888350</v>
      </c>
      <c r="H18" s="18">
        <v>888350</v>
      </c>
      <c r="I18" s="18">
        <v>888350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</row>
    <row r="19" spans="1:249" ht="12.75">
      <c r="A19" s="12" t="s">
        <v>283</v>
      </c>
      <c r="B19" s="12" t="s">
        <v>271</v>
      </c>
      <c r="C19" s="12" t="s">
        <v>284</v>
      </c>
      <c r="D19" s="12" t="s">
        <v>114</v>
      </c>
      <c r="E19" s="12" t="s">
        <v>112</v>
      </c>
      <c r="F19" s="13"/>
      <c r="G19" s="14">
        <f>SUM(G20:G29)</f>
        <v>2333586.73</v>
      </c>
      <c r="H19" s="14">
        <f>SUM(H20:H29)</f>
        <v>0</v>
      </c>
      <c r="I19" s="14">
        <f>SUM(I20:I29)</f>
        <v>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</row>
    <row r="20" spans="1:249" ht="12.75">
      <c r="A20" s="16" t="s">
        <v>273</v>
      </c>
      <c r="B20" s="16"/>
      <c r="C20" s="16"/>
      <c r="D20" s="16"/>
      <c r="E20" s="16"/>
      <c r="F20" s="22"/>
      <c r="G20" s="17">
        <v>165073</v>
      </c>
      <c r="H20" s="17"/>
      <c r="I20" s="17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</row>
    <row r="21" spans="1:249" ht="12.75">
      <c r="A21" s="16" t="s">
        <v>274</v>
      </c>
      <c r="B21" s="16"/>
      <c r="C21" s="16"/>
      <c r="D21" s="16"/>
      <c r="E21" s="16"/>
      <c r="F21" s="22"/>
      <c r="G21" s="17">
        <f>300000+243283</f>
        <v>543283</v>
      </c>
      <c r="H21" s="17"/>
      <c r="I21" s="17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</row>
    <row r="22" spans="1:249" ht="12.75">
      <c r="A22" s="16" t="s">
        <v>275</v>
      </c>
      <c r="B22" s="16"/>
      <c r="C22" s="16"/>
      <c r="D22" s="16"/>
      <c r="E22" s="16"/>
      <c r="F22" s="22"/>
      <c r="G22" s="17">
        <f>129135+27190.72</f>
        <v>156325.72</v>
      </c>
      <c r="H22" s="17"/>
      <c r="I22" s="1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</row>
    <row r="23" spans="1:249" ht="12.75">
      <c r="A23" s="16" t="s">
        <v>276</v>
      </c>
      <c r="B23" s="16"/>
      <c r="C23" s="16"/>
      <c r="D23" s="16"/>
      <c r="E23" s="16"/>
      <c r="F23" s="22"/>
      <c r="G23" s="17">
        <f>150000+134785</f>
        <v>284785</v>
      </c>
      <c r="H23" s="17"/>
      <c r="I23" s="17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</row>
    <row r="24" spans="1:249" ht="12.75">
      <c r="A24" s="16" t="s">
        <v>277</v>
      </c>
      <c r="B24" s="16"/>
      <c r="C24" s="16"/>
      <c r="D24" s="16"/>
      <c r="E24" s="16"/>
      <c r="F24" s="22"/>
      <c r="G24" s="17">
        <f>97978+604526.01</f>
        <v>702504.01</v>
      </c>
      <c r="H24" s="17"/>
      <c r="I24" s="17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</row>
    <row r="25" spans="1:249" ht="12.75">
      <c r="A25" s="16" t="s">
        <v>278</v>
      </c>
      <c r="B25" s="16"/>
      <c r="C25" s="16"/>
      <c r="D25" s="16"/>
      <c r="E25" s="16"/>
      <c r="F25" s="22"/>
      <c r="G25" s="17">
        <f>103790</f>
        <v>103790</v>
      </c>
      <c r="H25" s="17"/>
      <c r="I25" s="17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</row>
    <row r="26" spans="1:249" ht="12.75">
      <c r="A26" s="16" t="s">
        <v>279</v>
      </c>
      <c r="B26" s="16"/>
      <c r="C26" s="16"/>
      <c r="D26" s="16"/>
      <c r="E26" s="16"/>
      <c r="F26" s="22"/>
      <c r="G26" s="17">
        <f>66390</f>
        <v>66390</v>
      </c>
      <c r="H26" s="17"/>
      <c r="I26" s="17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</row>
    <row r="27" spans="1:249" ht="12.75">
      <c r="A27" s="16" t="s">
        <v>280</v>
      </c>
      <c r="B27" s="16"/>
      <c r="C27" s="16"/>
      <c r="D27" s="16"/>
      <c r="E27" s="16"/>
      <c r="F27" s="22"/>
      <c r="G27" s="17">
        <v>66869</v>
      </c>
      <c r="H27" s="17"/>
      <c r="I27" s="17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</row>
    <row r="28" spans="1:249" ht="12.75">
      <c r="A28" s="16" t="s">
        <v>281</v>
      </c>
      <c r="B28" s="16"/>
      <c r="C28" s="16"/>
      <c r="D28" s="16"/>
      <c r="E28" s="16"/>
      <c r="F28" s="22"/>
      <c r="G28" s="17">
        <f>119105</f>
        <v>119105</v>
      </c>
      <c r="H28" s="17"/>
      <c r="I28" s="17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</row>
    <row r="29" spans="1:249" ht="12.75">
      <c r="A29" s="16" t="s">
        <v>282</v>
      </c>
      <c r="B29" s="16"/>
      <c r="C29" s="16"/>
      <c r="D29" s="16"/>
      <c r="E29" s="16"/>
      <c r="F29" s="22"/>
      <c r="G29" s="17">
        <f>125462</f>
        <v>125462</v>
      </c>
      <c r="H29" s="24"/>
      <c r="I29" s="2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</row>
    <row r="30" spans="1:249" ht="12.75">
      <c r="A30" s="12" t="s">
        <v>283</v>
      </c>
      <c r="B30" s="12" t="s">
        <v>271</v>
      </c>
      <c r="C30" s="12" t="s">
        <v>284</v>
      </c>
      <c r="D30" s="12" t="s">
        <v>285</v>
      </c>
      <c r="E30" s="12" t="s">
        <v>112</v>
      </c>
      <c r="F30" s="13"/>
      <c r="G30" s="14">
        <f>SUM(G31:G40)</f>
        <v>1853917.25</v>
      </c>
      <c r="H30" s="14">
        <f>SUM(H31:H40)</f>
        <v>0</v>
      </c>
      <c r="I30" s="14">
        <f>SUM(I31:I40)</f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</row>
    <row r="31" spans="1:249" ht="12.75">
      <c r="A31" s="16" t="s">
        <v>273</v>
      </c>
      <c r="B31" s="20"/>
      <c r="C31" s="20"/>
      <c r="D31" s="20"/>
      <c r="E31" s="20"/>
      <c r="F31" s="20"/>
      <c r="G31" s="24">
        <f>16000</f>
        <v>16000</v>
      </c>
      <c r="H31" s="24"/>
      <c r="I31" s="24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</row>
    <row r="32" spans="1:249" ht="12.75">
      <c r="A32" s="16" t="s">
        <v>274</v>
      </c>
      <c r="B32" s="20"/>
      <c r="C32" s="20"/>
      <c r="D32" s="20"/>
      <c r="E32" s="20"/>
      <c r="F32" s="20"/>
      <c r="G32" s="24">
        <f>400000+32000</f>
        <v>432000</v>
      </c>
      <c r="H32" s="24"/>
      <c r="I32" s="24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</row>
    <row r="33" spans="1:249" ht="12.75">
      <c r="A33" s="16" t="s">
        <v>275</v>
      </c>
      <c r="B33" s="20"/>
      <c r="C33" s="20"/>
      <c r="D33" s="20"/>
      <c r="E33" s="20"/>
      <c r="F33" s="20"/>
      <c r="G33" s="17"/>
      <c r="H33" s="17"/>
      <c r="I33" s="1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</row>
    <row r="34" spans="1:249" ht="12.75">
      <c r="A34" s="16" t="s">
        <v>276</v>
      </c>
      <c r="B34" s="20"/>
      <c r="C34" s="20"/>
      <c r="D34" s="20"/>
      <c r="E34" s="20"/>
      <c r="F34" s="20"/>
      <c r="G34" s="17">
        <f>22000</f>
        <v>22000</v>
      </c>
      <c r="H34" s="17"/>
      <c r="I34" s="1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</row>
    <row r="35" spans="1:249" ht="12.75">
      <c r="A35" s="16" t="s">
        <v>277</v>
      </c>
      <c r="B35" s="20"/>
      <c r="C35" s="20"/>
      <c r="D35" s="20"/>
      <c r="E35" s="20"/>
      <c r="F35" s="20"/>
      <c r="G35" s="24"/>
      <c r="H35" s="24"/>
      <c r="I35" s="2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</row>
    <row r="36" spans="1:249" ht="12.75">
      <c r="A36" s="16" t="s">
        <v>278</v>
      </c>
      <c r="B36" s="20"/>
      <c r="C36" s="20"/>
      <c r="D36" s="20"/>
      <c r="E36" s="20"/>
      <c r="F36" s="20"/>
      <c r="G36" s="17">
        <f>199307.35-127390.1</f>
        <v>71917.25</v>
      </c>
      <c r="H36" s="17"/>
      <c r="I36" s="1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</row>
    <row r="37" spans="1:249" ht="12.75">
      <c r="A37" s="16" t="s">
        <v>279</v>
      </c>
      <c r="B37" s="20"/>
      <c r="C37" s="20"/>
      <c r="D37" s="20"/>
      <c r="E37" s="20"/>
      <c r="F37" s="20"/>
      <c r="G37" s="24">
        <f>400000+48000</f>
        <v>448000</v>
      </c>
      <c r="H37" s="24"/>
      <c r="I37" s="2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</row>
    <row r="38" spans="1:249" ht="12.75">
      <c r="A38" s="16" t="s">
        <v>280</v>
      </c>
      <c r="B38" s="20"/>
      <c r="C38" s="20"/>
      <c r="D38" s="20"/>
      <c r="E38" s="20"/>
      <c r="F38" s="20"/>
      <c r="G38" s="24">
        <f>400000+16000</f>
        <v>416000</v>
      </c>
      <c r="H38" s="24"/>
      <c r="I38" s="24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</row>
    <row r="39" spans="1:249" ht="12.75">
      <c r="A39" s="16" t="s">
        <v>281</v>
      </c>
      <c r="B39" s="20"/>
      <c r="C39" s="20"/>
      <c r="D39" s="20"/>
      <c r="E39" s="20"/>
      <c r="F39" s="20"/>
      <c r="G39" s="17">
        <f>48000</f>
        <v>48000</v>
      </c>
      <c r="H39" s="17"/>
      <c r="I39" s="1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</row>
    <row r="40" spans="1:249" ht="12.75">
      <c r="A40" s="16" t="s">
        <v>282</v>
      </c>
      <c r="B40" s="20"/>
      <c r="C40" s="20"/>
      <c r="D40" s="20"/>
      <c r="E40" s="20"/>
      <c r="F40" s="20"/>
      <c r="G40" s="24">
        <v>400000</v>
      </c>
      <c r="H40" s="24"/>
      <c r="I40" s="24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</row>
    <row r="41" spans="1:249" ht="12.75">
      <c r="A41" s="12" t="s">
        <v>283</v>
      </c>
      <c r="B41" s="12" t="s">
        <v>271</v>
      </c>
      <c r="C41" s="12" t="s">
        <v>284</v>
      </c>
      <c r="D41" s="12" t="s">
        <v>132</v>
      </c>
      <c r="E41" s="12" t="s">
        <v>120</v>
      </c>
      <c r="F41" s="13">
        <v>2938</v>
      </c>
      <c r="G41" s="14">
        <f>SUM(G42:G51)</f>
        <v>18092060</v>
      </c>
      <c r="H41" s="14">
        <f>SUM(H42:H51)</f>
        <v>5105000</v>
      </c>
      <c r="I41" s="14">
        <f>SUM(I42:I51)</f>
        <v>0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</row>
    <row r="42" spans="1:249" ht="12.75">
      <c r="A42" s="16" t="s">
        <v>273</v>
      </c>
      <c r="B42" s="16"/>
      <c r="C42" s="16"/>
      <c r="D42" s="16"/>
      <c r="E42" s="16"/>
      <c r="F42" s="22"/>
      <c r="G42" s="24">
        <f>1047600+228400+656500</f>
        <v>1932500</v>
      </c>
      <c r="H42" s="24">
        <v>568786</v>
      </c>
      <c r="I42" s="24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</row>
    <row r="43" spans="1:249" ht="12.75">
      <c r="A43" s="16" t="s">
        <v>274</v>
      </c>
      <c r="B43" s="20"/>
      <c r="C43" s="20"/>
      <c r="D43" s="20"/>
      <c r="E43" s="20"/>
      <c r="F43" s="20"/>
      <c r="G43" s="24">
        <f>1519700+457840+1249500</f>
        <v>3227040</v>
      </c>
      <c r="H43" s="24">
        <v>825019</v>
      </c>
      <c r="I43" s="24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</row>
    <row r="44" spans="1:249" ht="12.75">
      <c r="A44" s="16" t="s">
        <v>275</v>
      </c>
      <c r="B44" s="20"/>
      <c r="C44" s="20"/>
      <c r="D44" s="20"/>
      <c r="E44" s="20"/>
      <c r="F44" s="20"/>
      <c r="G44" s="17">
        <f>894500+194000+342400</f>
        <v>1430900</v>
      </c>
      <c r="H44" s="24">
        <v>485629</v>
      </c>
      <c r="I44" s="24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</row>
    <row r="45" spans="1:249" ht="12.75">
      <c r="A45" s="16" t="s">
        <v>276</v>
      </c>
      <c r="B45" s="20"/>
      <c r="C45" s="20"/>
      <c r="D45" s="20"/>
      <c r="E45" s="20"/>
      <c r="F45" s="20"/>
      <c r="G45" s="17">
        <f>1453900+389840+907000</f>
        <v>2750740</v>
      </c>
      <c r="H45" s="24">
        <v>789332</v>
      </c>
      <c r="I45" s="24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</row>
    <row r="46" spans="1:249" ht="12.75">
      <c r="A46" s="16" t="s">
        <v>277</v>
      </c>
      <c r="B46" s="20"/>
      <c r="C46" s="20"/>
      <c r="D46" s="20"/>
      <c r="E46" s="20"/>
      <c r="F46" s="20"/>
      <c r="G46" s="24">
        <f>623600+202480+283350</f>
        <v>1109430</v>
      </c>
      <c r="H46" s="24">
        <v>338545</v>
      </c>
      <c r="I46" s="24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</row>
    <row r="47" spans="1:249" ht="12.75">
      <c r="A47" s="16" t="s">
        <v>278</v>
      </c>
      <c r="B47" s="20"/>
      <c r="C47" s="20"/>
      <c r="D47" s="20"/>
      <c r="E47" s="20"/>
      <c r="F47" s="20"/>
      <c r="G47" s="17">
        <f>552400+170400+409450</f>
        <v>1132250</v>
      </c>
      <c r="H47" s="24">
        <v>299889</v>
      </c>
      <c r="I47" s="24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</row>
    <row r="48" spans="1:249" ht="12.75">
      <c r="A48" s="16" t="s">
        <v>279</v>
      </c>
      <c r="B48" s="20"/>
      <c r="C48" s="20"/>
      <c r="D48" s="20"/>
      <c r="E48" s="20"/>
      <c r="F48" s="20"/>
      <c r="G48" s="24">
        <f>642260+268000+293430</f>
        <v>1203690</v>
      </c>
      <c r="H48" s="24">
        <v>348679</v>
      </c>
      <c r="I48" s="2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</row>
    <row r="49" spans="1:249" ht="12.75">
      <c r="A49" s="16" t="s">
        <v>280</v>
      </c>
      <c r="B49" s="20"/>
      <c r="C49" s="20"/>
      <c r="D49" s="20"/>
      <c r="E49" s="20"/>
      <c r="F49" s="20"/>
      <c r="G49" s="24">
        <f>976800+259240+730270</f>
        <v>1966310</v>
      </c>
      <c r="H49" s="24">
        <v>530273</v>
      </c>
      <c r="I49" s="24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</row>
    <row r="50" spans="1:249" ht="12.75">
      <c r="A50" s="16" t="s">
        <v>281</v>
      </c>
      <c r="B50" s="20"/>
      <c r="C50" s="20"/>
      <c r="D50" s="20"/>
      <c r="E50" s="20"/>
      <c r="F50" s="20"/>
      <c r="G50" s="17">
        <f>1454500+517800+1129000</f>
        <v>3101300</v>
      </c>
      <c r="H50" s="24">
        <v>789650</v>
      </c>
      <c r="I50" s="24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</row>
    <row r="51" spans="1:249" ht="12.75">
      <c r="A51" s="16" t="s">
        <v>282</v>
      </c>
      <c r="B51" s="20"/>
      <c r="C51" s="20"/>
      <c r="D51" s="20"/>
      <c r="E51" s="20"/>
      <c r="F51" s="20"/>
      <c r="G51" s="24">
        <f>237900</f>
        <v>237900</v>
      </c>
      <c r="H51" s="24">
        <v>129198</v>
      </c>
      <c r="I51" s="24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</row>
    <row r="52" spans="1:249" ht="12.75" hidden="1">
      <c r="A52" s="12" t="s">
        <v>283</v>
      </c>
      <c r="B52" s="12" t="s">
        <v>271</v>
      </c>
      <c r="C52" s="12" t="s">
        <v>284</v>
      </c>
      <c r="D52" s="12" t="s">
        <v>286</v>
      </c>
      <c r="E52" s="12" t="s">
        <v>112</v>
      </c>
      <c r="F52" s="13">
        <v>2822</v>
      </c>
      <c r="G52" s="14">
        <f>SUM(G53:G62)</f>
        <v>0</v>
      </c>
      <c r="H52" s="14">
        <f>SUM(H53:H62)</f>
        <v>0</v>
      </c>
      <c r="I52" s="14">
        <f>SUM(I53:I62)</f>
        <v>0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</row>
    <row r="53" spans="1:249" ht="12.75" hidden="1">
      <c r="A53" s="16" t="s">
        <v>273</v>
      </c>
      <c r="B53" s="20"/>
      <c r="C53" s="20"/>
      <c r="D53" s="20"/>
      <c r="E53" s="20"/>
      <c r="F53" s="20"/>
      <c r="G53" s="24"/>
      <c r="H53" s="24"/>
      <c r="I53" s="24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</row>
    <row r="54" spans="1:249" ht="12.75" hidden="1">
      <c r="A54" s="16" t="s">
        <v>274</v>
      </c>
      <c r="B54" s="20"/>
      <c r="C54" s="20"/>
      <c r="D54" s="20"/>
      <c r="E54" s="20"/>
      <c r="F54" s="20"/>
      <c r="G54" s="24"/>
      <c r="H54" s="24"/>
      <c r="I54" s="24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</row>
    <row r="55" spans="1:249" ht="12.75" hidden="1">
      <c r="A55" s="16" t="s">
        <v>275</v>
      </c>
      <c r="B55" s="20"/>
      <c r="C55" s="20"/>
      <c r="D55" s="20"/>
      <c r="E55" s="20"/>
      <c r="F55" s="20"/>
      <c r="G55" s="24"/>
      <c r="H55" s="24"/>
      <c r="I55" s="24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</row>
    <row r="56" spans="1:249" ht="12.75" hidden="1">
      <c r="A56" s="16" t="s">
        <v>276</v>
      </c>
      <c r="B56" s="20"/>
      <c r="C56" s="20"/>
      <c r="D56" s="20"/>
      <c r="E56" s="20"/>
      <c r="F56" s="20"/>
      <c r="G56" s="24"/>
      <c r="H56" s="24"/>
      <c r="I56" s="2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</row>
    <row r="57" spans="1:249" ht="12.75" hidden="1">
      <c r="A57" s="16" t="s">
        <v>277</v>
      </c>
      <c r="B57" s="20"/>
      <c r="C57" s="20"/>
      <c r="D57" s="20"/>
      <c r="E57" s="20"/>
      <c r="F57" s="20"/>
      <c r="G57" s="24"/>
      <c r="H57" s="24"/>
      <c r="I57" s="2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</row>
    <row r="58" spans="1:249" ht="12.75" hidden="1">
      <c r="A58" s="16" t="s">
        <v>278</v>
      </c>
      <c r="B58" s="20"/>
      <c r="C58" s="20"/>
      <c r="D58" s="20"/>
      <c r="E58" s="20"/>
      <c r="F58" s="20"/>
      <c r="G58" s="24"/>
      <c r="H58" s="24"/>
      <c r="I58" s="24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</row>
    <row r="59" spans="1:249" ht="12.75" hidden="1">
      <c r="A59" s="16" t="s">
        <v>279</v>
      </c>
      <c r="B59" s="20"/>
      <c r="C59" s="20"/>
      <c r="D59" s="20"/>
      <c r="E59" s="20"/>
      <c r="F59" s="20"/>
      <c r="G59" s="24"/>
      <c r="H59" s="24"/>
      <c r="I59" s="24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</row>
    <row r="60" spans="1:249" ht="12.75" hidden="1">
      <c r="A60" s="16" t="s">
        <v>280</v>
      </c>
      <c r="B60" s="20"/>
      <c r="C60" s="20"/>
      <c r="D60" s="20"/>
      <c r="E60" s="20"/>
      <c r="F60" s="20"/>
      <c r="G60" s="24"/>
      <c r="H60" s="24"/>
      <c r="I60" s="24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</row>
    <row r="61" spans="1:249" ht="12.75" hidden="1">
      <c r="A61" s="16" t="s">
        <v>281</v>
      </c>
      <c r="B61" s="20"/>
      <c r="C61" s="20"/>
      <c r="D61" s="20"/>
      <c r="E61" s="20"/>
      <c r="F61" s="20"/>
      <c r="G61" s="24"/>
      <c r="H61" s="24"/>
      <c r="I61" s="24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</row>
    <row r="62" spans="1:249" ht="12.75" hidden="1">
      <c r="A62" s="16" t="s">
        <v>282</v>
      </c>
      <c r="B62" s="20"/>
      <c r="C62" s="20"/>
      <c r="D62" s="20"/>
      <c r="E62" s="20"/>
      <c r="F62" s="20"/>
      <c r="G62" s="24"/>
      <c r="H62" s="24"/>
      <c r="I62" s="24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</row>
    <row r="63" spans="1:249" ht="12.75">
      <c r="A63" s="12" t="s">
        <v>283</v>
      </c>
      <c r="B63" s="12" t="s">
        <v>287</v>
      </c>
      <c r="C63" s="12" t="s">
        <v>272</v>
      </c>
      <c r="D63" s="12" t="s">
        <v>114</v>
      </c>
      <c r="E63" s="12" t="s">
        <v>112</v>
      </c>
      <c r="F63" s="12"/>
      <c r="G63" s="14">
        <f>SUM(G64:G73)</f>
        <v>1710050</v>
      </c>
      <c r="H63" s="14">
        <f>SUM(H64:H73)</f>
        <v>0</v>
      </c>
      <c r="I63" s="14">
        <f>SUM(I64:I73)</f>
        <v>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</row>
    <row r="64" spans="1:249" ht="12.75" hidden="1">
      <c r="A64" s="16" t="s">
        <v>273</v>
      </c>
      <c r="B64" s="20"/>
      <c r="C64" s="20"/>
      <c r="D64" s="20"/>
      <c r="E64" s="20"/>
      <c r="F64" s="20"/>
      <c r="G64" s="24"/>
      <c r="H64" s="24"/>
      <c r="I64" s="24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</row>
    <row r="65" spans="1:249" ht="12.75" hidden="1">
      <c r="A65" s="16" t="s">
        <v>274</v>
      </c>
      <c r="B65" s="20"/>
      <c r="C65" s="20"/>
      <c r="D65" s="20"/>
      <c r="E65" s="20"/>
      <c r="F65" s="20"/>
      <c r="G65" s="24"/>
      <c r="H65" s="24"/>
      <c r="I65" s="24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</row>
    <row r="66" spans="1:249" ht="12.75" hidden="1">
      <c r="A66" s="16" t="s">
        <v>275</v>
      </c>
      <c r="B66" s="20"/>
      <c r="C66" s="20"/>
      <c r="D66" s="20"/>
      <c r="E66" s="20"/>
      <c r="F66" s="20"/>
      <c r="G66" s="24"/>
      <c r="H66" s="24"/>
      <c r="I66" s="24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</row>
    <row r="67" spans="1:249" ht="12.75" hidden="1">
      <c r="A67" s="16" t="s">
        <v>276</v>
      </c>
      <c r="B67" s="20"/>
      <c r="C67" s="20"/>
      <c r="D67" s="20"/>
      <c r="E67" s="20"/>
      <c r="F67" s="20"/>
      <c r="G67" s="24"/>
      <c r="H67" s="24"/>
      <c r="I67" s="24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</row>
    <row r="68" spans="1:249" ht="12.75" hidden="1">
      <c r="A68" s="16" t="s">
        <v>277</v>
      </c>
      <c r="B68" s="20"/>
      <c r="C68" s="20"/>
      <c r="D68" s="20"/>
      <c r="E68" s="20"/>
      <c r="F68" s="20"/>
      <c r="G68" s="24"/>
      <c r="H68" s="24"/>
      <c r="I68" s="24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</row>
    <row r="69" spans="1:249" ht="12.75" hidden="1">
      <c r="A69" s="16" t="s">
        <v>278</v>
      </c>
      <c r="B69" s="20"/>
      <c r="C69" s="20"/>
      <c r="D69" s="20"/>
      <c r="E69" s="20"/>
      <c r="F69" s="20"/>
      <c r="G69" s="24"/>
      <c r="H69" s="24"/>
      <c r="I69" s="24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</row>
    <row r="70" spans="1:249" ht="12.75" hidden="1">
      <c r="A70" s="16" t="s">
        <v>279</v>
      </c>
      <c r="B70" s="20"/>
      <c r="C70" s="20"/>
      <c r="D70" s="20"/>
      <c r="E70" s="20"/>
      <c r="F70" s="20"/>
      <c r="G70" s="24"/>
      <c r="H70" s="24"/>
      <c r="I70" s="24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</row>
    <row r="71" spans="1:249" ht="12.75" hidden="1">
      <c r="A71" s="16" t="s">
        <v>280</v>
      </c>
      <c r="B71" s="20"/>
      <c r="C71" s="20"/>
      <c r="D71" s="20"/>
      <c r="E71" s="20"/>
      <c r="F71" s="20"/>
      <c r="G71" s="24"/>
      <c r="H71" s="24"/>
      <c r="I71" s="24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</row>
    <row r="72" spans="1:249" ht="12.75" hidden="1">
      <c r="A72" s="16" t="s">
        <v>281</v>
      </c>
      <c r="B72" s="20"/>
      <c r="C72" s="20"/>
      <c r="D72" s="20"/>
      <c r="E72" s="20"/>
      <c r="F72" s="20"/>
      <c r="G72" s="24"/>
      <c r="H72" s="24"/>
      <c r="I72" s="24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</row>
    <row r="73" spans="1:249" ht="12.75">
      <c r="A73" s="16" t="s">
        <v>282</v>
      </c>
      <c r="B73" s="20"/>
      <c r="C73" s="20"/>
      <c r="D73" s="20"/>
      <c r="E73" s="20"/>
      <c r="F73" s="20"/>
      <c r="G73" s="24">
        <v>1710050</v>
      </c>
      <c r="H73" s="24"/>
      <c r="I73" s="24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</row>
    <row r="74" spans="1:249" ht="12.75">
      <c r="A74" s="12" t="s">
        <v>283</v>
      </c>
      <c r="B74" s="12" t="s">
        <v>287</v>
      </c>
      <c r="C74" s="12" t="s">
        <v>272</v>
      </c>
      <c r="D74" s="12" t="s">
        <v>122</v>
      </c>
      <c r="E74" s="12" t="s">
        <v>120</v>
      </c>
      <c r="F74" s="13">
        <v>2922</v>
      </c>
      <c r="G74" s="14">
        <f>SUM(G75:G84)</f>
        <v>157600</v>
      </c>
      <c r="H74" s="14">
        <f>SUM(H75:H84)</f>
        <v>0</v>
      </c>
      <c r="I74" s="14">
        <f>SUM(I75:I84)</f>
        <v>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</row>
    <row r="75" spans="1:249" ht="12.75" hidden="1">
      <c r="A75" s="16" t="s">
        <v>273</v>
      </c>
      <c r="B75" s="20"/>
      <c r="C75" s="20"/>
      <c r="D75" s="20"/>
      <c r="E75" s="20"/>
      <c r="F75" s="20"/>
      <c r="G75" s="24"/>
      <c r="H75" s="24"/>
      <c r="I75" s="24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</row>
    <row r="76" spans="1:249" ht="12.75" hidden="1">
      <c r="A76" s="16" t="s">
        <v>274</v>
      </c>
      <c r="B76" s="20"/>
      <c r="C76" s="20"/>
      <c r="D76" s="20"/>
      <c r="E76" s="20"/>
      <c r="F76" s="20"/>
      <c r="G76" s="24"/>
      <c r="H76" s="24"/>
      <c r="I76" s="24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</row>
    <row r="77" spans="1:249" ht="12.75" hidden="1">
      <c r="A77" s="16" t="s">
        <v>275</v>
      </c>
      <c r="B77" s="20"/>
      <c r="C77" s="20"/>
      <c r="D77" s="20"/>
      <c r="E77" s="20"/>
      <c r="F77" s="20"/>
      <c r="G77" s="24"/>
      <c r="H77" s="24"/>
      <c r="I77" s="24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</row>
    <row r="78" spans="1:249" ht="12.75" hidden="1">
      <c r="A78" s="16" t="s">
        <v>276</v>
      </c>
      <c r="B78" s="20"/>
      <c r="C78" s="20"/>
      <c r="D78" s="20"/>
      <c r="E78" s="20"/>
      <c r="F78" s="20"/>
      <c r="G78" s="24"/>
      <c r="H78" s="24"/>
      <c r="I78" s="24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</row>
    <row r="79" spans="1:249" ht="12.75" hidden="1">
      <c r="A79" s="16" t="s">
        <v>277</v>
      </c>
      <c r="B79" s="20"/>
      <c r="C79" s="20"/>
      <c r="D79" s="20"/>
      <c r="E79" s="20"/>
      <c r="F79" s="20"/>
      <c r="G79" s="24"/>
      <c r="H79" s="24"/>
      <c r="I79" s="24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</row>
    <row r="80" spans="1:249" ht="12.75" hidden="1">
      <c r="A80" s="16" t="s">
        <v>278</v>
      </c>
      <c r="B80" s="20"/>
      <c r="C80" s="20"/>
      <c r="D80" s="20"/>
      <c r="E80" s="20"/>
      <c r="F80" s="20"/>
      <c r="G80" s="24"/>
      <c r="H80" s="24"/>
      <c r="I80" s="24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</row>
    <row r="81" spans="1:249" ht="12.75" hidden="1">
      <c r="A81" s="16" t="s">
        <v>279</v>
      </c>
      <c r="B81" s="20"/>
      <c r="C81" s="20"/>
      <c r="D81" s="20"/>
      <c r="E81" s="20"/>
      <c r="F81" s="20"/>
      <c r="G81" s="24"/>
      <c r="H81" s="24"/>
      <c r="I81" s="24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</row>
    <row r="82" spans="1:249" ht="12.75" hidden="1">
      <c r="A82" s="16" t="s">
        <v>280</v>
      </c>
      <c r="B82" s="20"/>
      <c r="C82" s="20"/>
      <c r="D82" s="20"/>
      <c r="E82" s="20"/>
      <c r="F82" s="20"/>
      <c r="G82" s="24"/>
      <c r="H82" s="24"/>
      <c r="I82" s="24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</row>
    <row r="83" spans="1:249" ht="12.75" hidden="1">
      <c r="A83" s="16" t="s">
        <v>281</v>
      </c>
      <c r="B83" s="20"/>
      <c r="C83" s="20"/>
      <c r="D83" s="20"/>
      <c r="E83" s="20"/>
      <c r="F83" s="20"/>
      <c r="G83" s="24"/>
      <c r="H83" s="24"/>
      <c r="I83" s="24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</row>
    <row r="84" spans="1:249" ht="12.75">
      <c r="A84" s="16" t="s">
        <v>282</v>
      </c>
      <c r="B84" s="20"/>
      <c r="C84" s="20"/>
      <c r="D84" s="20"/>
      <c r="E84" s="20"/>
      <c r="F84" s="20"/>
      <c r="G84" s="24">
        <v>157600</v>
      </c>
      <c r="H84" s="24"/>
      <c r="I84" s="24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</row>
    <row r="85" spans="1:249" ht="12.75">
      <c r="A85" s="12" t="s">
        <v>283</v>
      </c>
      <c r="B85" s="12" t="s">
        <v>288</v>
      </c>
      <c r="C85" s="12" t="s">
        <v>272</v>
      </c>
      <c r="D85" s="12" t="s">
        <v>116</v>
      </c>
      <c r="E85" s="12" t="s">
        <v>112</v>
      </c>
      <c r="F85" s="13">
        <v>3901</v>
      </c>
      <c r="G85" s="14">
        <f>SUM(G86:G95)</f>
        <v>730000</v>
      </c>
      <c r="H85" s="14">
        <f>SUM(H86:H95)</f>
        <v>0</v>
      </c>
      <c r="I85" s="14">
        <f>SUM(I86:I95)</f>
        <v>0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</row>
    <row r="86" spans="1:249" ht="12.75">
      <c r="A86" s="16" t="s">
        <v>273</v>
      </c>
      <c r="B86" s="20"/>
      <c r="C86" s="20"/>
      <c r="D86" s="20"/>
      <c r="E86" s="20"/>
      <c r="F86" s="20"/>
      <c r="G86" s="24">
        <v>250000</v>
      </c>
      <c r="H86" s="24"/>
      <c r="I86" s="24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</row>
    <row r="87" spans="1:249" ht="12.75">
      <c r="A87" s="16" t="s">
        <v>274</v>
      </c>
      <c r="B87" s="20"/>
      <c r="C87" s="20"/>
      <c r="D87" s="20"/>
      <c r="E87" s="20"/>
      <c r="F87" s="20"/>
      <c r="G87" s="24">
        <f>150000-150000</f>
        <v>0</v>
      </c>
      <c r="H87" s="24"/>
      <c r="I87" s="24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</row>
    <row r="88" spans="1:249" ht="12.75" hidden="1">
      <c r="A88" s="16" t="s">
        <v>275</v>
      </c>
      <c r="B88" s="20"/>
      <c r="C88" s="20"/>
      <c r="D88" s="20"/>
      <c r="E88" s="20"/>
      <c r="F88" s="20"/>
      <c r="G88" s="24"/>
      <c r="H88" s="24"/>
      <c r="I88" s="24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</row>
    <row r="89" spans="1:249" ht="12.75">
      <c r="A89" s="16" t="s">
        <v>276</v>
      </c>
      <c r="B89" s="20"/>
      <c r="C89" s="20"/>
      <c r="D89" s="20"/>
      <c r="E89" s="20"/>
      <c r="F89" s="20"/>
      <c r="G89" s="24">
        <v>150000</v>
      </c>
      <c r="H89" s="24"/>
      <c r="I89" s="24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</row>
    <row r="90" spans="1:249" ht="12.75">
      <c r="A90" s="16" t="s">
        <v>277</v>
      </c>
      <c r="B90" s="20"/>
      <c r="C90" s="20"/>
      <c r="D90" s="20"/>
      <c r="E90" s="20"/>
      <c r="F90" s="20"/>
      <c r="G90" s="24">
        <v>330000</v>
      </c>
      <c r="H90" s="24"/>
      <c r="I90" s="24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</row>
    <row r="91" spans="1:249" ht="12.75" hidden="1">
      <c r="A91" s="16" t="s">
        <v>278</v>
      </c>
      <c r="B91" s="20"/>
      <c r="C91" s="20"/>
      <c r="D91" s="20"/>
      <c r="E91" s="20"/>
      <c r="F91" s="20"/>
      <c r="G91" s="24"/>
      <c r="H91" s="24"/>
      <c r="I91" s="24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 ht="12.75" hidden="1">
      <c r="A92" s="16" t="s">
        <v>279</v>
      </c>
      <c r="B92" s="20"/>
      <c r="C92" s="20"/>
      <c r="D92" s="20"/>
      <c r="E92" s="20"/>
      <c r="F92" s="20"/>
      <c r="G92" s="24"/>
      <c r="H92" s="24"/>
      <c r="I92" s="24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</row>
    <row r="93" spans="1:249" ht="12.75" hidden="1">
      <c r="A93" s="16" t="s">
        <v>280</v>
      </c>
      <c r="B93" s="20"/>
      <c r="C93" s="20"/>
      <c r="D93" s="20"/>
      <c r="E93" s="20"/>
      <c r="F93" s="20"/>
      <c r="G93" s="24"/>
      <c r="H93" s="24"/>
      <c r="I93" s="24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</row>
    <row r="94" spans="1:249" ht="12.75" hidden="1">
      <c r="A94" s="16" t="s">
        <v>281</v>
      </c>
      <c r="B94" s="20"/>
      <c r="C94" s="20"/>
      <c r="D94" s="20"/>
      <c r="E94" s="20"/>
      <c r="F94" s="20"/>
      <c r="G94" s="24"/>
      <c r="H94" s="24"/>
      <c r="I94" s="24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</row>
    <row r="95" spans="1:249" ht="12.75" hidden="1">
      <c r="A95" s="16" t="s">
        <v>282</v>
      </c>
      <c r="B95" s="20"/>
      <c r="C95" s="20"/>
      <c r="D95" s="20"/>
      <c r="E95" s="20"/>
      <c r="F95" s="20"/>
      <c r="G95" s="24"/>
      <c r="H95" s="24"/>
      <c r="I95" s="24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</row>
    <row r="96" spans="1:249" ht="12.75">
      <c r="A96" s="12" t="s">
        <v>283</v>
      </c>
      <c r="B96" s="12" t="s">
        <v>287</v>
      </c>
      <c r="C96" s="12" t="s">
        <v>272</v>
      </c>
      <c r="D96" s="12" t="s">
        <v>119</v>
      </c>
      <c r="E96" s="12" t="s">
        <v>120</v>
      </c>
      <c r="F96" s="13">
        <v>2929</v>
      </c>
      <c r="G96" s="14">
        <f>SUM(G97:G106)</f>
        <v>250000</v>
      </c>
      <c r="H96" s="14">
        <f>SUM(H97:H106)</f>
        <v>0</v>
      </c>
      <c r="I96" s="14">
        <f>SUM(I97:I106)</f>
        <v>0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</row>
    <row r="97" spans="1:249" ht="12.75" hidden="1">
      <c r="A97" s="16" t="s">
        <v>273</v>
      </c>
      <c r="B97" s="20"/>
      <c r="C97" s="20"/>
      <c r="D97" s="20"/>
      <c r="E97" s="20"/>
      <c r="F97" s="20"/>
      <c r="G97" s="24"/>
      <c r="H97" s="24"/>
      <c r="I97" s="24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</row>
    <row r="98" spans="1:249" ht="12.75" hidden="1">
      <c r="A98" s="16" t="s">
        <v>274</v>
      </c>
      <c r="B98" s="20"/>
      <c r="C98" s="20"/>
      <c r="D98" s="20"/>
      <c r="E98" s="20"/>
      <c r="F98" s="20"/>
      <c r="G98" s="24"/>
      <c r="H98" s="24"/>
      <c r="I98" s="24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</row>
    <row r="99" spans="1:249" ht="12.75" hidden="1">
      <c r="A99" s="16" t="s">
        <v>275</v>
      </c>
      <c r="B99" s="20"/>
      <c r="C99" s="20"/>
      <c r="D99" s="20"/>
      <c r="E99" s="20"/>
      <c r="F99" s="20"/>
      <c r="G99" s="24"/>
      <c r="H99" s="24"/>
      <c r="I99" s="24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</row>
    <row r="100" spans="1:249" ht="12.75">
      <c r="A100" s="16" t="s">
        <v>276</v>
      </c>
      <c r="B100" s="20"/>
      <c r="C100" s="20"/>
      <c r="D100" s="20"/>
      <c r="E100" s="20"/>
      <c r="F100" s="20"/>
      <c r="G100" s="24">
        <v>100000</v>
      </c>
      <c r="H100" s="24"/>
      <c r="I100" s="24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</row>
    <row r="101" spans="1:249" ht="12.75" hidden="1">
      <c r="A101" s="16" t="s">
        <v>277</v>
      </c>
      <c r="B101" s="20"/>
      <c r="C101" s="20"/>
      <c r="D101" s="20"/>
      <c r="E101" s="20"/>
      <c r="F101" s="20"/>
      <c r="G101" s="24"/>
      <c r="H101" s="24"/>
      <c r="I101" s="24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</row>
    <row r="102" spans="1:249" ht="12.75" hidden="1">
      <c r="A102" s="16" t="s">
        <v>278</v>
      </c>
      <c r="B102" s="20"/>
      <c r="C102" s="20"/>
      <c r="D102" s="20"/>
      <c r="E102" s="20"/>
      <c r="F102" s="20"/>
      <c r="G102" s="24"/>
      <c r="H102" s="24"/>
      <c r="I102" s="24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</row>
    <row r="103" spans="1:249" ht="12.75" hidden="1">
      <c r="A103" s="16" t="s">
        <v>279</v>
      </c>
      <c r="B103" s="20"/>
      <c r="C103" s="20"/>
      <c r="D103" s="20"/>
      <c r="E103" s="20"/>
      <c r="F103" s="20"/>
      <c r="G103" s="24"/>
      <c r="H103" s="24"/>
      <c r="I103" s="24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</row>
    <row r="104" spans="1:249" ht="12.75" hidden="1">
      <c r="A104" s="16" t="s">
        <v>280</v>
      </c>
      <c r="B104" s="20"/>
      <c r="C104" s="20"/>
      <c r="D104" s="20"/>
      <c r="E104" s="20"/>
      <c r="F104" s="20"/>
      <c r="G104" s="24"/>
      <c r="H104" s="24"/>
      <c r="I104" s="24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</row>
    <row r="105" spans="1:249" ht="12.75">
      <c r="A105" s="16" t="s">
        <v>281</v>
      </c>
      <c r="B105" s="20"/>
      <c r="C105" s="20"/>
      <c r="D105" s="20"/>
      <c r="E105" s="20"/>
      <c r="F105" s="20"/>
      <c r="G105" s="24">
        <v>150000</v>
      </c>
      <c r="H105" s="24"/>
      <c r="I105" s="24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</row>
    <row r="106" spans="1:249" ht="12.75" hidden="1">
      <c r="A106" s="16" t="s">
        <v>282</v>
      </c>
      <c r="B106" s="20"/>
      <c r="C106" s="20"/>
      <c r="D106" s="20"/>
      <c r="E106" s="20"/>
      <c r="F106" s="20"/>
      <c r="G106" s="24"/>
      <c r="H106" s="24"/>
      <c r="I106" s="24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</row>
    <row r="107" spans="1:249" ht="12.75">
      <c r="A107" s="12" t="s">
        <v>283</v>
      </c>
      <c r="B107" s="12" t="s">
        <v>293</v>
      </c>
      <c r="C107" s="12" t="s">
        <v>294</v>
      </c>
      <c r="D107" s="12" t="s">
        <v>111</v>
      </c>
      <c r="E107" s="12" t="s">
        <v>112</v>
      </c>
      <c r="F107" s="27"/>
      <c r="G107" s="14">
        <f>SUM(G108:G117)</f>
        <v>120000</v>
      </c>
      <c r="H107" s="14">
        <f>SUM(H108:H117)</f>
        <v>0</v>
      </c>
      <c r="I107" s="14">
        <f>SUM(I108:I117)</f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</row>
    <row r="108" spans="1:249" ht="12.75" hidden="1">
      <c r="A108" s="16" t="s">
        <v>273</v>
      </c>
      <c r="B108" s="25"/>
      <c r="C108" s="25"/>
      <c r="D108" s="25"/>
      <c r="E108" s="25"/>
      <c r="F108" s="25"/>
      <c r="G108" s="24"/>
      <c r="H108" s="24"/>
      <c r="I108" s="24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</row>
    <row r="109" spans="1:249" ht="12.75">
      <c r="A109" s="16" t="s">
        <v>274</v>
      </c>
      <c r="B109" s="25"/>
      <c r="C109" s="25"/>
      <c r="D109" s="25"/>
      <c r="E109" s="25"/>
      <c r="F109" s="25"/>
      <c r="G109" s="24">
        <v>120000</v>
      </c>
      <c r="H109" s="24"/>
      <c r="I109" s="24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</row>
    <row r="110" spans="1:249" ht="12.75" hidden="1">
      <c r="A110" s="16" t="s">
        <v>275</v>
      </c>
      <c r="B110" s="25"/>
      <c r="C110" s="25"/>
      <c r="D110" s="25"/>
      <c r="E110" s="25"/>
      <c r="F110" s="25"/>
      <c r="G110" s="24"/>
      <c r="H110" s="24"/>
      <c r="I110" s="24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</row>
    <row r="111" spans="1:249" ht="12.75" hidden="1">
      <c r="A111" s="16" t="s">
        <v>276</v>
      </c>
      <c r="B111" s="25"/>
      <c r="C111" s="25"/>
      <c r="D111" s="25"/>
      <c r="E111" s="25"/>
      <c r="F111" s="25"/>
      <c r="G111" s="24"/>
      <c r="H111" s="24"/>
      <c r="I111" s="24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</row>
    <row r="112" spans="1:249" ht="12.75" hidden="1">
      <c r="A112" s="16" t="s">
        <v>277</v>
      </c>
      <c r="B112" s="25"/>
      <c r="C112" s="25"/>
      <c r="D112" s="25"/>
      <c r="E112" s="25"/>
      <c r="F112" s="25"/>
      <c r="G112" s="24"/>
      <c r="H112" s="24"/>
      <c r="I112" s="24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</row>
    <row r="113" spans="1:249" ht="12.75" hidden="1">
      <c r="A113" s="16" t="s">
        <v>278</v>
      </c>
      <c r="B113" s="25"/>
      <c r="C113" s="25"/>
      <c r="D113" s="25"/>
      <c r="E113" s="25"/>
      <c r="F113" s="25"/>
      <c r="G113" s="24"/>
      <c r="H113" s="24"/>
      <c r="I113" s="24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</row>
    <row r="114" spans="1:249" ht="12.75" hidden="1">
      <c r="A114" s="16" t="s">
        <v>279</v>
      </c>
      <c r="B114" s="25"/>
      <c r="C114" s="25"/>
      <c r="D114" s="25"/>
      <c r="E114" s="25"/>
      <c r="F114" s="25"/>
      <c r="G114" s="24"/>
      <c r="H114" s="24"/>
      <c r="I114" s="24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</row>
    <row r="115" spans="1:249" ht="12.75" hidden="1">
      <c r="A115" s="16" t="s">
        <v>280</v>
      </c>
      <c r="B115" s="25"/>
      <c r="C115" s="25"/>
      <c r="D115" s="25"/>
      <c r="E115" s="25"/>
      <c r="F115" s="25"/>
      <c r="G115" s="24"/>
      <c r="H115" s="24"/>
      <c r="I115" s="24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</row>
    <row r="116" spans="1:249" ht="12.75" hidden="1">
      <c r="A116" s="16" t="s">
        <v>281</v>
      </c>
      <c r="B116" s="25"/>
      <c r="C116" s="25"/>
      <c r="D116" s="25"/>
      <c r="E116" s="25"/>
      <c r="F116" s="25"/>
      <c r="G116" s="24"/>
      <c r="H116" s="24"/>
      <c r="I116" s="24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</row>
    <row r="117" spans="1:249" ht="12.75" hidden="1">
      <c r="A117" s="16" t="s">
        <v>282</v>
      </c>
      <c r="B117" s="25"/>
      <c r="C117" s="25"/>
      <c r="D117" s="25"/>
      <c r="E117" s="25"/>
      <c r="F117" s="25"/>
      <c r="G117" s="24"/>
      <c r="H117" s="24"/>
      <c r="I117" s="24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</row>
    <row r="118" spans="1:249" ht="12.75">
      <c r="A118" s="12" t="s">
        <v>283</v>
      </c>
      <c r="B118" s="12" t="s">
        <v>289</v>
      </c>
      <c r="C118" s="12" t="s">
        <v>284</v>
      </c>
      <c r="D118" s="12" t="s">
        <v>117</v>
      </c>
      <c r="E118" s="12" t="s">
        <v>112</v>
      </c>
      <c r="F118" s="27"/>
      <c r="G118" s="14">
        <f>SUM(G119:G128)</f>
        <v>462220</v>
      </c>
      <c r="H118" s="14">
        <f>SUM(H119:H128)</f>
        <v>0</v>
      </c>
      <c r="I118" s="14">
        <f>SUM(I119:I128)</f>
        <v>0</v>
      </c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</row>
    <row r="119" spans="1:249" ht="12.75" hidden="1">
      <c r="A119" s="16" t="s">
        <v>273</v>
      </c>
      <c r="B119" s="25"/>
      <c r="C119" s="25"/>
      <c r="D119" s="25"/>
      <c r="E119" s="25"/>
      <c r="F119" s="25"/>
      <c r="G119" s="24"/>
      <c r="H119" s="24"/>
      <c r="I119" s="24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</row>
    <row r="120" spans="1:249" ht="12.75">
      <c r="A120" s="16" t="s">
        <v>274</v>
      </c>
      <c r="B120" s="25"/>
      <c r="C120" s="25"/>
      <c r="D120" s="25"/>
      <c r="E120" s="25"/>
      <c r="F120" s="25"/>
      <c r="G120" s="24">
        <v>140000</v>
      </c>
      <c r="H120" s="24"/>
      <c r="I120" s="24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</row>
    <row r="121" spans="1:249" ht="12.75">
      <c r="A121" s="16" t="s">
        <v>275</v>
      </c>
      <c r="B121" s="25"/>
      <c r="C121" s="25"/>
      <c r="D121" s="25"/>
      <c r="E121" s="25"/>
      <c r="F121" s="25"/>
      <c r="G121" s="24">
        <v>40000</v>
      </c>
      <c r="H121" s="24"/>
      <c r="I121" s="24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</row>
    <row r="122" spans="1:249" ht="12.75" hidden="1">
      <c r="A122" s="16" t="s">
        <v>276</v>
      </c>
      <c r="B122" s="25"/>
      <c r="C122" s="25"/>
      <c r="D122" s="25"/>
      <c r="E122" s="25"/>
      <c r="F122" s="25"/>
      <c r="G122" s="24"/>
      <c r="H122" s="24"/>
      <c r="I122" s="24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</row>
    <row r="123" spans="1:249" ht="12.75">
      <c r="A123" s="16" t="s">
        <v>277</v>
      </c>
      <c r="B123" s="25"/>
      <c r="C123" s="25"/>
      <c r="D123" s="25"/>
      <c r="E123" s="25"/>
      <c r="F123" s="25"/>
      <c r="G123" s="24">
        <v>39500</v>
      </c>
      <c r="H123" s="24"/>
      <c r="I123" s="24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</row>
    <row r="124" spans="1:249" ht="12.75">
      <c r="A124" s="16" t="s">
        <v>278</v>
      </c>
      <c r="B124" s="25"/>
      <c r="C124" s="25"/>
      <c r="D124" s="25"/>
      <c r="E124" s="25"/>
      <c r="F124" s="25"/>
      <c r="G124" s="24">
        <f>42020</f>
        <v>42020</v>
      </c>
      <c r="H124" s="24"/>
      <c r="I124" s="24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</row>
    <row r="125" spans="1:249" ht="12.75">
      <c r="A125" s="16" t="s">
        <v>279</v>
      </c>
      <c r="B125" s="25"/>
      <c r="C125" s="25"/>
      <c r="D125" s="25"/>
      <c r="E125" s="25"/>
      <c r="F125" s="25"/>
      <c r="G125" s="24">
        <v>49700</v>
      </c>
      <c r="H125" s="24"/>
      <c r="I125" s="24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</row>
    <row r="126" spans="1:249" ht="12.75">
      <c r="A126" s="16" t="s">
        <v>280</v>
      </c>
      <c r="B126" s="25"/>
      <c r="C126" s="25"/>
      <c r="D126" s="25"/>
      <c r="E126" s="25"/>
      <c r="F126" s="25"/>
      <c r="G126" s="24">
        <v>51000</v>
      </c>
      <c r="H126" s="24"/>
      <c r="I126" s="24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</row>
    <row r="127" spans="1:249" ht="12.75">
      <c r="A127" s="16" t="s">
        <v>281</v>
      </c>
      <c r="B127" s="25"/>
      <c r="C127" s="25"/>
      <c r="D127" s="25"/>
      <c r="E127" s="25"/>
      <c r="F127" s="25"/>
      <c r="G127" s="24">
        <v>100000</v>
      </c>
      <c r="H127" s="24"/>
      <c r="I127" s="24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</row>
    <row r="128" spans="1:249" ht="12.75" hidden="1">
      <c r="A128" s="16" t="s">
        <v>282</v>
      </c>
      <c r="B128" s="25"/>
      <c r="C128" s="25"/>
      <c r="D128" s="25"/>
      <c r="E128" s="25"/>
      <c r="F128" s="25"/>
      <c r="G128" s="24"/>
      <c r="H128" s="24"/>
      <c r="I128" s="24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</row>
    <row r="129" spans="1:249" ht="12.75">
      <c r="A129" s="12"/>
      <c r="B129" s="12" t="s">
        <v>289</v>
      </c>
      <c r="C129" s="12" t="s">
        <v>284</v>
      </c>
      <c r="D129" s="12" t="s">
        <v>116</v>
      </c>
      <c r="E129" s="12" t="s">
        <v>112</v>
      </c>
      <c r="F129" s="13">
        <v>3901</v>
      </c>
      <c r="G129" s="14">
        <f>SUM(G130:G139)</f>
        <v>150000</v>
      </c>
      <c r="H129" s="14">
        <f>SUM(H130:H139)</f>
        <v>0</v>
      </c>
      <c r="I129" s="14">
        <f>SUM(I130:I139)</f>
        <v>0</v>
      </c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</row>
    <row r="130" spans="1:249" ht="12.75" hidden="1">
      <c r="A130" s="16" t="s">
        <v>273</v>
      </c>
      <c r="B130" s="25"/>
      <c r="C130" s="25"/>
      <c r="D130" s="25"/>
      <c r="E130" s="25"/>
      <c r="F130" s="25"/>
      <c r="G130" s="24"/>
      <c r="H130" s="24"/>
      <c r="I130" s="24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</row>
    <row r="131" spans="1:249" ht="12.75">
      <c r="A131" s="16" t="s">
        <v>274</v>
      </c>
      <c r="B131" s="25"/>
      <c r="C131" s="25"/>
      <c r="D131" s="25"/>
      <c r="E131" s="25"/>
      <c r="F131" s="25"/>
      <c r="G131" s="24">
        <v>150000</v>
      </c>
      <c r="H131" s="24"/>
      <c r="I131" s="24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</row>
    <row r="132" spans="1:249" ht="12.75" hidden="1">
      <c r="A132" s="16" t="s">
        <v>275</v>
      </c>
      <c r="B132" s="25"/>
      <c r="C132" s="25"/>
      <c r="D132" s="25"/>
      <c r="E132" s="25"/>
      <c r="F132" s="25"/>
      <c r="G132" s="24"/>
      <c r="H132" s="24"/>
      <c r="I132" s="24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</row>
    <row r="133" spans="1:249" ht="12.75" hidden="1">
      <c r="A133" s="16" t="s">
        <v>276</v>
      </c>
      <c r="B133" s="25"/>
      <c r="C133" s="25"/>
      <c r="D133" s="25"/>
      <c r="E133" s="25"/>
      <c r="F133" s="25"/>
      <c r="G133" s="24"/>
      <c r="H133" s="24"/>
      <c r="I133" s="24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</row>
    <row r="134" spans="1:249" ht="12.75" hidden="1">
      <c r="A134" s="16" t="s">
        <v>277</v>
      </c>
      <c r="B134" s="25"/>
      <c r="C134" s="25"/>
      <c r="D134" s="25"/>
      <c r="E134" s="25"/>
      <c r="F134" s="25"/>
      <c r="G134" s="24"/>
      <c r="H134" s="24"/>
      <c r="I134" s="24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</row>
    <row r="135" spans="1:249" ht="12.75" hidden="1">
      <c r="A135" s="16" t="s">
        <v>278</v>
      </c>
      <c r="B135" s="25"/>
      <c r="C135" s="25"/>
      <c r="D135" s="25"/>
      <c r="E135" s="25"/>
      <c r="F135" s="25"/>
      <c r="G135" s="24"/>
      <c r="H135" s="24"/>
      <c r="I135" s="24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</row>
    <row r="136" spans="1:249" ht="12.75" hidden="1">
      <c r="A136" s="16" t="s">
        <v>279</v>
      </c>
      <c r="B136" s="25"/>
      <c r="C136" s="25"/>
      <c r="D136" s="25"/>
      <c r="E136" s="25"/>
      <c r="F136" s="25"/>
      <c r="G136" s="24"/>
      <c r="H136" s="24"/>
      <c r="I136" s="24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</row>
    <row r="137" spans="1:249" ht="12.75" hidden="1">
      <c r="A137" s="16" t="s">
        <v>280</v>
      </c>
      <c r="B137" s="25"/>
      <c r="C137" s="25"/>
      <c r="D137" s="25"/>
      <c r="E137" s="25"/>
      <c r="F137" s="25"/>
      <c r="G137" s="24"/>
      <c r="H137" s="24"/>
      <c r="I137" s="24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</row>
    <row r="138" spans="1:249" ht="12.75" hidden="1">
      <c r="A138" s="16" t="s">
        <v>281</v>
      </c>
      <c r="B138" s="25"/>
      <c r="C138" s="25"/>
      <c r="D138" s="25"/>
      <c r="E138" s="25"/>
      <c r="F138" s="25"/>
      <c r="G138" s="24"/>
      <c r="H138" s="24"/>
      <c r="I138" s="24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</row>
    <row r="139" spans="1:249" ht="12.75" hidden="1">
      <c r="A139" s="16" t="s">
        <v>282</v>
      </c>
      <c r="B139" s="25"/>
      <c r="C139" s="25"/>
      <c r="D139" s="25"/>
      <c r="E139" s="25"/>
      <c r="F139" s="25"/>
      <c r="G139" s="24"/>
      <c r="H139" s="24"/>
      <c r="I139" s="24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</row>
    <row r="140" spans="1:249" ht="12.75">
      <c r="A140" s="12" t="s">
        <v>283</v>
      </c>
      <c r="B140" s="12" t="s">
        <v>271</v>
      </c>
      <c r="C140" s="12" t="s">
        <v>284</v>
      </c>
      <c r="D140" s="12" t="s">
        <v>114</v>
      </c>
      <c r="E140" s="12" t="s">
        <v>112</v>
      </c>
      <c r="F140" s="13">
        <v>3901</v>
      </c>
      <c r="G140" s="14">
        <f>SUM(G141:G150)</f>
        <v>350000</v>
      </c>
      <c r="H140" s="14">
        <f>SUM(H141:H150)</f>
        <v>0</v>
      </c>
      <c r="I140" s="14">
        <f>SUM(I141:I150)</f>
        <v>0</v>
      </c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</row>
    <row r="141" spans="1:249" ht="12.75" hidden="1">
      <c r="A141" s="16" t="s">
        <v>273</v>
      </c>
      <c r="B141" s="20"/>
      <c r="C141" s="20"/>
      <c r="D141" s="20"/>
      <c r="E141" s="20"/>
      <c r="F141" s="20"/>
      <c r="G141" s="24"/>
      <c r="H141" s="24"/>
      <c r="I141" s="24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</row>
    <row r="142" spans="1:249" ht="12.75" hidden="1">
      <c r="A142" s="16" t="s">
        <v>274</v>
      </c>
      <c r="B142" s="20"/>
      <c r="C142" s="20"/>
      <c r="D142" s="20"/>
      <c r="E142" s="20"/>
      <c r="F142" s="20"/>
      <c r="G142" s="24"/>
      <c r="H142" s="24"/>
      <c r="I142" s="24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</row>
    <row r="143" spans="1:249" ht="12.75" hidden="1">
      <c r="A143" s="16" t="s">
        <v>275</v>
      </c>
      <c r="B143" s="20"/>
      <c r="C143" s="20"/>
      <c r="D143" s="20"/>
      <c r="E143" s="20"/>
      <c r="F143" s="20"/>
      <c r="G143" s="24"/>
      <c r="H143" s="24"/>
      <c r="I143" s="24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</row>
    <row r="144" spans="1:249" ht="12.75">
      <c r="A144" s="16" t="s">
        <v>276</v>
      </c>
      <c r="B144" s="20"/>
      <c r="C144" s="20"/>
      <c r="D144" s="20"/>
      <c r="E144" s="20"/>
      <c r="F144" s="20"/>
      <c r="G144" s="24">
        <v>350000</v>
      </c>
      <c r="H144" s="24"/>
      <c r="I144" s="24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</row>
    <row r="145" spans="1:249" ht="12.75" hidden="1">
      <c r="A145" s="16" t="s">
        <v>277</v>
      </c>
      <c r="B145" s="20"/>
      <c r="C145" s="20"/>
      <c r="D145" s="20"/>
      <c r="E145" s="20"/>
      <c r="F145" s="20"/>
      <c r="G145" s="24"/>
      <c r="H145" s="24"/>
      <c r="I145" s="24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</row>
    <row r="146" spans="1:249" ht="12.75" hidden="1">
      <c r="A146" s="16" t="s">
        <v>278</v>
      </c>
      <c r="B146" s="20"/>
      <c r="C146" s="20"/>
      <c r="D146" s="20"/>
      <c r="E146" s="20"/>
      <c r="F146" s="20"/>
      <c r="G146" s="24"/>
      <c r="H146" s="24"/>
      <c r="I146" s="24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</row>
    <row r="147" spans="1:249" ht="12.75" hidden="1">
      <c r="A147" s="16" t="s">
        <v>279</v>
      </c>
      <c r="B147" s="20"/>
      <c r="C147" s="20"/>
      <c r="D147" s="20"/>
      <c r="E147" s="20"/>
      <c r="F147" s="20"/>
      <c r="G147" s="24"/>
      <c r="H147" s="24"/>
      <c r="I147" s="24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</row>
    <row r="148" spans="1:249" ht="12.75" hidden="1">
      <c r="A148" s="16" t="s">
        <v>280</v>
      </c>
      <c r="B148" s="20"/>
      <c r="C148" s="20"/>
      <c r="D148" s="20"/>
      <c r="E148" s="20"/>
      <c r="F148" s="20"/>
      <c r="G148" s="24"/>
      <c r="H148" s="24"/>
      <c r="I148" s="24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</row>
    <row r="149" spans="1:249" ht="12.75" hidden="1">
      <c r="A149" s="16" t="s">
        <v>281</v>
      </c>
      <c r="B149" s="20"/>
      <c r="C149" s="20"/>
      <c r="D149" s="20"/>
      <c r="E149" s="20"/>
      <c r="F149" s="20"/>
      <c r="G149" s="24"/>
      <c r="H149" s="24"/>
      <c r="I149" s="24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</row>
    <row r="150" spans="1:249" ht="12.75" hidden="1">
      <c r="A150" s="16" t="s">
        <v>282</v>
      </c>
      <c r="B150" s="20"/>
      <c r="C150" s="20"/>
      <c r="D150" s="20"/>
      <c r="E150" s="20"/>
      <c r="F150" s="20"/>
      <c r="G150" s="24"/>
      <c r="H150" s="24"/>
      <c r="I150" s="24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</row>
    <row r="151" spans="1:249" ht="12.75">
      <c r="A151" s="12" t="s">
        <v>283</v>
      </c>
      <c r="B151" s="12" t="s">
        <v>271</v>
      </c>
      <c r="C151" s="12" t="s">
        <v>284</v>
      </c>
      <c r="D151" s="12" t="s">
        <v>109</v>
      </c>
      <c r="E151" s="12" t="s">
        <v>112</v>
      </c>
      <c r="F151" s="13"/>
      <c r="G151" s="14">
        <f>SUM(G152:G161)</f>
        <v>304497.32</v>
      </c>
      <c r="H151" s="14">
        <f>SUM(H152:H161)</f>
        <v>0</v>
      </c>
      <c r="I151" s="14">
        <f>SUM(I152:I161)</f>
        <v>0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</row>
    <row r="152" spans="1:249" ht="12.75">
      <c r="A152" s="16" t="s">
        <v>273</v>
      </c>
      <c r="B152" s="20"/>
      <c r="C152" s="20"/>
      <c r="D152" s="20"/>
      <c r="E152" s="20"/>
      <c r="F152" s="20"/>
      <c r="G152" s="24">
        <v>2832</v>
      </c>
      <c r="H152" s="24"/>
      <c r="I152" s="24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</row>
    <row r="153" spans="1:249" ht="12.75">
      <c r="A153" s="16" t="s">
        <v>274</v>
      </c>
      <c r="B153" s="20"/>
      <c r="C153" s="20"/>
      <c r="D153" s="20"/>
      <c r="E153" s="20"/>
      <c r="F153" s="20"/>
      <c r="G153" s="24">
        <f>216227+4017</f>
        <v>220244</v>
      </c>
      <c r="H153" s="24"/>
      <c r="I153" s="24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</row>
    <row r="154" spans="1:249" ht="12.75">
      <c r="A154" s="16" t="s">
        <v>275</v>
      </c>
      <c r="B154" s="20"/>
      <c r="C154" s="20"/>
      <c r="D154" s="20"/>
      <c r="E154" s="20"/>
      <c r="F154" s="20"/>
      <c r="G154" s="24">
        <v>2019</v>
      </c>
      <c r="H154" s="24"/>
      <c r="I154" s="24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</row>
    <row r="155" spans="1:249" ht="12.75">
      <c r="A155" s="16" t="s">
        <v>276</v>
      </c>
      <c r="B155" s="20"/>
      <c r="C155" s="20"/>
      <c r="D155" s="20"/>
      <c r="E155" s="20"/>
      <c r="F155" s="20"/>
      <c r="G155" s="24">
        <f>2403</f>
        <v>2403</v>
      </c>
      <c r="H155" s="24"/>
      <c r="I155" s="24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</row>
    <row r="156" spans="1:249" ht="12.75">
      <c r="A156" s="16" t="s">
        <v>277</v>
      </c>
      <c r="B156" s="20"/>
      <c r="C156" s="20"/>
      <c r="D156" s="20"/>
      <c r="E156" s="20"/>
      <c r="F156" s="20"/>
      <c r="G156" s="24">
        <v>1254</v>
      </c>
      <c r="H156" s="24"/>
      <c r="I156" s="24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</row>
    <row r="157" spans="1:249" ht="12.75">
      <c r="A157" s="16" t="s">
        <v>278</v>
      </c>
      <c r="B157" s="20"/>
      <c r="C157" s="20"/>
      <c r="D157" s="20"/>
      <c r="E157" s="20"/>
      <c r="F157" s="20"/>
      <c r="G157" s="24">
        <v>1680</v>
      </c>
      <c r="H157" s="24"/>
      <c r="I157" s="24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</row>
    <row r="158" spans="1:249" ht="12.75">
      <c r="A158" s="16" t="s">
        <v>279</v>
      </c>
      <c r="B158" s="20"/>
      <c r="C158" s="20"/>
      <c r="D158" s="20"/>
      <c r="E158" s="20"/>
      <c r="F158" s="20"/>
      <c r="G158" s="24">
        <v>699</v>
      </c>
      <c r="H158" s="24"/>
      <c r="I158" s="24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</row>
    <row r="159" spans="1:249" ht="12.75">
      <c r="A159" s="16" t="s">
        <v>280</v>
      </c>
      <c r="B159" s="20"/>
      <c r="C159" s="20"/>
      <c r="D159" s="20"/>
      <c r="E159" s="20"/>
      <c r="F159" s="20"/>
      <c r="G159" s="24">
        <f>63139.32+1650</f>
        <v>64789.32</v>
      </c>
      <c r="H159" s="24"/>
      <c r="I159" s="24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</row>
    <row r="160" spans="1:249" ht="12.75">
      <c r="A160" s="16" t="s">
        <v>281</v>
      </c>
      <c r="B160" s="20"/>
      <c r="C160" s="20"/>
      <c r="D160" s="20"/>
      <c r="E160" s="20"/>
      <c r="F160" s="20"/>
      <c r="G160" s="24">
        <v>1702.5</v>
      </c>
      <c r="H160" s="24"/>
      <c r="I160" s="24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</row>
    <row r="161" spans="1:249" ht="12.75">
      <c r="A161" s="16" t="s">
        <v>282</v>
      </c>
      <c r="B161" s="20"/>
      <c r="C161" s="20"/>
      <c r="D161" s="20"/>
      <c r="E161" s="20"/>
      <c r="F161" s="20"/>
      <c r="G161" s="24">
        <v>6874.5</v>
      </c>
      <c r="H161" s="24"/>
      <c r="I161" s="24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</row>
    <row r="162" spans="1:249" ht="12.75">
      <c r="A162" s="12" t="s">
        <v>283</v>
      </c>
      <c r="B162" s="12" t="s">
        <v>289</v>
      </c>
      <c r="C162" s="12" t="s">
        <v>290</v>
      </c>
      <c r="D162" s="12" t="s">
        <v>114</v>
      </c>
      <c r="E162" s="12" t="s">
        <v>112</v>
      </c>
      <c r="F162" s="28"/>
      <c r="G162" s="14">
        <f>SUM(G163:G172)</f>
        <v>118424</v>
      </c>
      <c r="H162" s="14">
        <f>SUM(H163:H172)</f>
        <v>0</v>
      </c>
      <c r="I162" s="14">
        <f>SUM(I163:I172)</f>
        <v>0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</row>
    <row r="163" spans="1:249" ht="12.75" hidden="1">
      <c r="A163" s="16" t="s">
        <v>273</v>
      </c>
      <c r="B163" s="12"/>
      <c r="C163" s="12"/>
      <c r="D163" s="12"/>
      <c r="E163" s="12"/>
      <c r="F163" s="13"/>
      <c r="G163" s="24"/>
      <c r="H163" s="24"/>
      <c r="I163" s="24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</row>
    <row r="164" spans="1:249" ht="12.75" hidden="1">
      <c r="A164" s="16" t="s">
        <v>274</v>
      </c>
      <c r="B164" s="20"/>
      <c r="C164" s="20"/>
      <c r="D164" s="20"/>
      <c r="E164" s="20"/>
      <c r="F164" s="20"/>
      <c r="G164" s="24"/>
      <c r="H164" s="24"/>
      <c r="I164" s="24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</row>
    <row r="165" spans="1:249" ht="12.75" hidden="1">
      <c r="A165" s="16" t="s">
        <v>275</v>
      </c>
      <c r="B165" s="20"/>
      <c r="C165" s="20"/>
      <c r="D165" s="20"/>
      <c r="E165" s="20"/>
      <c r="F165" s="20"/>
      <c r="G165" s="24"/>
      <c r="H165" s="24"/>
      <c r="I165" s="24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</row>
    <row r="166" spans="1:249" ht="12.75" hidden="1">
      <c r="A166" s="16" t="s">
        <v>276</v>
      </c>
      <c r="B166" s="20"/>
      <c r="C166" s="20"/>
      <c r="D166" s="20"/>
      <c r="E166" s="20"/>
      <c r="F166" s="20"/>
      <c r="G166" s="24"/>
      <c r="H166" s="24"/>
      <c r="I166" s="24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</row>
    <row r="167" spans="1:249" ht="12.75" hidden="1">
      <c r="A167" s="16" t="s">
        <v>277</v>
      </c>
      <c r="B167" s="20"/>
      <c r="C167" s="20"/>
      <c r="D167" s="20"/>
      <c r="E167" s="20"/>
      <c r="F167" s="20"/>
      <c r="G167" s="24"/>
      <c r="H167" s="24"/>
      <c r="I167" s="24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</row>
    <row r="168" spans="1:249" ht="12.75" hidden="1">
      <c r="A168" s="16" t="s">
        <v>278</v>
      </c>
      <c r="B168" s="20"/>
      <c r="C168" s="20"/>
      <c r="D168" s="20"/>
      <c r="E168" s="20"/>
      <c r="F168" s="20"/>
      <c r="G168" s="24"/>
      <c r="H168" s="24"/>
      <c r="I168" s="24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</row>
    <row r="169" spans="1:249" ht="12.75" hidden="1">
      <c r="A169" s="16" t="s">
        <v>279</v>
      </c>
      <c r="B169" s="20"/>
      <c r="C169" s="20"/>
      <c r="D169" s="20"/>
      <c r="E169" s="20"/>
      <c r="F169" s="20"/>
      <c r="G169" s="24"/>
      <c r="H169" s="24"/>
      <c r="I169" s="24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</row>
    <row r="170" spans="1:249" ht="12.75" hidden="1">
      <c r="A170" s="16" t="s">
        <v>280</v>
      </c>
      <c r="B170" s="20"/>
      <c r="C170" s="20"/>
      <c r="D170" s="20"/>
      <c r="E170" s="20"/>
      <c r="F170" s="20"/>
      <c r="G170" s="24"/>
      <c r="H170" s="24"/>
      <c r="I170" s="24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</row>
    <row r="171" spans="1:249" ht="12.75">
      <c r="A171" s="16" t="s">
        <v>281</v>
      </c>
      <c r="B171" s="20"/>
      <c r="C171" s="20"/>
      <c r="D171" s="20"/>
      <c r="E171" s="20"/>
      <c r="F171" s="20"/>
      <c r="G171" s="24">
        <v>118424</v>
      </c>
      <c r="H171" s="24"/>
      <c r="I171" s="24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</row>
    <row r="172" spans="1:249" ht="12.75" hidden="1">
      <c r="A172" s="16" t="s">
        <v>282</v>
      </c>
      <c r="B172" s="20"/>
      <c r="C172" s="20"/>
      <c r="D172" s="20"/>
      <c r="E172" s="20"/>
      <c r="F172" s="20"/>
      <c r="G172" s="24"/>
      <c r="H172" s="24"/>
      <c r="I172" s="24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</row>
    <row r="173" spans="1:249" ht="12.75">
      <c r="A173" s="12" t="s">
        <v>283</v>
      </c>
      <c r="B173" s="12" t="s">
        <v>271</v>
      </c>
      <c r="C173" s="12" t="s">
        <v>284</v>
      </c>
      <c r="D173" s="12" t="s">
        <v>116</v>
      </c>
      <c r="E173" s="12" t="s">
        <v>112</v>
      </c>
      <c r="F173" s="28" t="s">
        <v>31</v>
      </c>
      <c r="G173" s="14">
        <f>SUM(G174:G183)</f>
        <v>127390.1</v>
      </c>
      <c r="H173" s="14">
        <f>SUM(H174:H183)</f>
        <v>0</v>
      </c>
      <c r="I173" s="14">
        <f>SUM(I174:I183)</f>
        <v>0</v>
      </c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</row>
    <row r="174" spans="1:249" ht="12.75" hidden="1">
      <c r="A174" s="16" t="s">
        <v>273</v>
      </c>
      <c r="B174" s="20"/>
      <c r="C174" s="20"/>
      <c r="D174" s="20"/>
      <c r="E174" s="20"/>
      <c r="F174" s="20"/>
      <c r="G174" s="24"/>
      <c r="H174" s="24"/>
      <c r="I174" s="24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</row>
    <row r="175" spans="1:249" ht="12.75" hidden="1">
      <c r="A175" s="16" t="s">
        <v>274</v>
      </c>
      <c r="B175" s="20"/>
      <c r="C175" s="20"/>
      <c r="D175" s="20"/>
      <c r="E175" s="20"/>
      <c r="F175" s="20"/>
      <c r="G175" s="24"/>
      <c r="H175" s="24"/>
      <c r="I175" s="24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</row>
    <row r="176" spans="1:249" ht="12.75" hidden="1">
      <c r="A176" s="16" t="s">
        <v>275</v>
      </c>
      <c r="B176" s="20"/>
      <c r="C176" s="20"/>
      <c r="D176" s="20"/>
      <c r="E176" s="20"/>
      <c r="F176" s="20"/>
      <c r="G176" s="24"/>
      <c r="H176" s="24"/>
      <c r="I176" s="24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</row>
    <row r="177" spans="1:249" ht="12.75" hidden="1">
      <c r="A177" s="16" t="s">
        <v>276</v>
      </c>
      <c r="B177" s="20"/>
      <c r="C177" s="20"/>
      <c r="D177" s="20"/>
      <c r="E177" s="20"/>
      <c r="F177" s="20"/>
      <c r="G177" s="24"/>
      <c r="H177" s="24"/>
      <c r="I177" s="24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</row>
    <row r="178" spans="1:249" ht="12.75" hidden="1">
      <c r="A178" s="16" t="s">
        <v>277</v>
      </c>
      <c r="B178" s="20"/>
      <c r="C178" s="20"/>
      <c r="D178" s="20"/>
      <c r="E178" s="20"/>
      <c r="F178" s="20"/>
      <c r="G178" s="24"/>
      <c r="H178" s="24"/>
      <c r="I178" s="24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</row>
    <row r="179" spans="1:249" ht="12.75">
      <c r="A179" s="16" t="s">
        <v>278</v>
      </c>
      <c r="B179" s="20"/>
      <c r="C179" s="20"/>
      <c r="D179" s="20"/>
      <c r="E179" s="20"/>
      <c r="F179" s="20"/>
      <c r="G179" s="24">
        <f>127390.1</f>
        <v>127390.1</v>
      </c>
      <c r="H179" s="24"/>
      <c r="I179" s="24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</row>
    <row r="180" spans="1:249" ht="12.75" hidden="1">
      <c r="A180" s="16" t="s">
        <v>279</v>
      </c>
      <c r="B180" s="20"/>
      <c r="C180" s="20"/>
      <c r="D180" s="20"/>
      <c r="E180" s="20"/>
      <c r="F180" s="20"/>
      <c r="G180" s="24"/>
      <c r="H180" s="24"/>
      <c r="I180" s="24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</row>
    <row r="181" spans="1:249" ht="12.75" hidden="1">
      <c r="A181" s="16" t="s">
        <v>280</v>
      </c>
      <c r="B181" s="20"/>
      <c r="C181" s="20"/>
      <c r="D181" s="20"/>
      <c r="E181" s="20"/>
      <c r="F181" s="20"/>
      <c r="G181" s="24"/>
      <c r="H181" s="24"/>
      <c r="I181" s="24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</row>
    <row r="182" spans="1:249" ht="12.75" hidden="1">
      <c r="A182" s="16" t="s">
        <v>281</v>
      </c>
      <c r="B182" s="20"/>
      <c r="C182" s="20"/>
      <c r="D182" s="20"/>
      <c r="E182" s="20"/>
      <c r="F182" s="20"/>
      <c r="G182" s="24"/>
      <c r="H182" s="24"/>
      <c r="I182" s="24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</row>
    <row r="183" spans="1:249" ht="12.75" hidden="1">
      <c r="A183" s="16" t="s">
        <v>282</v>
      </c>
      <c r="B183" s="20"/>
      <c r="C183" s="20"/>
      <c r="D183" s="20"/>
      <c r="E183" s="20"/>
      <c r="F183" s="20"/>
      <c r="G183" s="24"/>
      <c r="H183" s="24"/>
      <c r="I183" s="24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</row>
    <row r="184" spans="1:249" ht="12.75" hidden="1">
      <c r="A184" s="12" t="s">
        <v>283</v>
      </c>
      <c r="B184" s="12"/>
      <c r="C184" s="12"/>
      <c r="D184" s="12"/>
      <c r="E184" s="12"/>
      <c r="F184" s="28"/>
      <c r="G184" s="14">
        <f>SUM(G185:G194)</f>
        <v>0</v>
      </c>
      <c r="H184" s="14">
        <f>SUM(H185:H194)</f>
        <v>0</v>
      </c>
      <c r="I184" s="14">
        <f>SUM(I185:I194)</f>
        <v>0</v>
      </c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</row>
    <row r="185" spans="1:249" ht="12.75" hidden="1">
      <c r="A185" s="16" t="s">
        <v>273</v>
      </c>
      <c r="B185" s="20"/>
      <c r="C185" s="20"/>
      <c r="D185" s="20"/>
      <c r="E185" s="20"/>
      <c r="F185" s="20"/>
      <c r="G185" s="24"/>
      <c r="H185" s="24"/>
      <c r="I185" s="24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</row>
    <row r="186" spans="1:249" ht="12.75" hidden="1">
      <c r="A186" s="16" t="s">
        <v>274</v>
      </c>
      <c r="B186" s="20"/>
      <c r="C186" s="20"/>
      <c r="D186" s="20"/>
      <c r="E186" s="20"/>
      <c r="F186" s="20"/>
      <c r="G186" s="24"/>
      <c r="H186" s="24"/>
      <c r="I186" s="24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</row>
    <row r="187" spans="1:249" ht="12.75" hidden="1">
      <c r="A187" s="16" t="s">
        <v>275</v>
      </c>
      <c r="B187" s="20"/>
      <c r="C187" s="20"/>
      <c r="D187" s="20"/>
      <c r="E187" s="20"/>
      <c r="F187" s="20"/>
      <c r="G187" s="24"/>
      <c r="H187" s="24"/>
      <c r="I187" s="24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</row>
    <row r="188" spans="1:249" ht="12.75" hidden="1">
      <c r="A188" s="16" t="s">
        <v>276</v>
      </c>
      <c r="B188" s="20"/>
      <c r="C188" s="20"/>
      <c r="D188" s="20"/>
      <c r="E188" s="20"/>
      <c r="F188" s="20"/>
      <c r="G188" s="24"/>
      <c r="H188" s="24"/>
      <c r="I188" s="24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</row>
    <row r="189" spans="1:249" ht="12.75" hidden="1">
      <c r="A189" s="16" t="s">
        <v>277</v>
      </c>
      <c r="B189" s="20"/>
      <c r="C189" s="20"/>
      <c r="D189" s="20"/>
      <c r="E189" s="20"/>
      <c r="F189" s="20"/>
      <c r="G189" s="24"/>
      <c r="H189" s="24"/>
      <c r="I189" s="24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</row>
    <row r="190" spans="1:249" ht="12.75" hidden="1">
      <c r="A190" s="16" t="s">
        <v>278</v>
      </c>
      <c r="B190" s="20"/>
      <c r="C190" s="20"/>
      <c r="D190" s="20"/>
      <c r="E190" s="20"/>
      <c r="F190" s="20"/>
      <c r="G190" s="24"/>
      <c r="H190" s="24"/>
      <c r="I190" s="24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</row>
    <row r="191" spans="1:249" ht="12.75" hidden="1">
      <c r="A191" s="16" t="s">
        <v>279</v>
      </c>
      <c r="B191" s="20"/>
      <c r="C191" s="20"/>
      <c r="D191" s="20"/>
      <c r="E191" s="20"/>
      <c r="F191" s="20"/>
      <c r="G191" s="24"/>
      <c r="H191" s="24"/>
      <c r="I191" s="24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</row>
    <row r="192" spans="1:249" ht="12.75" hidden="1">
      <c r="A192" s="16" t="s">
        <v>280</v>
      </c>
      <c r="B192" s="20"/>
      <c r="C192" s="20"/>
      <c r="D192" s="20"/>
      <c r="E192" s="20"/>
      <c r="F192" s="20"/>
      <c r="G192" s="24"/>
      <c r="H192" s="24"/>
      <c r="I192" s="24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</row>
    <row r="193" spans="1:249" ht="12.75" hidden="1">
      <c r="A193" s="16" t="s">
        <v>281</v>
      </c>
      <c r="B193" s="20"/>
      <c r="C193" s="20"/>
      <c r="D193" s="20"/>
      <c r="E193" s="20"/>
      <c r="F193" s="20"/>
      <c r="G193" s="24"/>
      <c r="H193" s="24"/>
      <c r="I193" s="24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</row>
    <row r="194" spans="1:249" ht="12.75" hidden="1">
      <c r="A194" s="16" t="s">
        <v>282</v>
      </c>
      <c r="B194" s="20"/>
      <c r="C194" s="20"/>
      <c r="D194" s="20"/>
      <c r="E194" s="20"/>
      <c r="F194" s="20"/>
      <c r="G194" s="24"/>
      <c r="H194" s="24"/>
      <c r="I194" s="24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</row>
    <row r="195" spans="1:249" ht="12.75" hidden="1">
      <c r="A195" s="12" t="s">
        <v>283</v>
      </c>
      <c r="B195" s="12"/>
      <c r="C195" s="12"/>
      <c r="D195" s="12"/>
      <c r="E195" s="12"/>
      <c r="F195" s="27"/>
      <c r="G195" s="14">
        <f>SUM(G196:G205)</f>
        <v>0</v>
      </c>
      <c r="H195" s="14">
        <f>SUM(H196:H205)</f>
        <v>0</v>
      </c>
      <c r="I195" s="14">
        <f>SUM(I196:I205)</f>
        <v>0</v>
      </c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</row>
    <row r="196" spans="1:249" ht="12.75" hidden="1">
      <c r="A196" s="16" t="s">
        <v>273</v>
      </c>
      <c r="B196" s="25"/>
      <c r="C196" s="25"/>
      <c r="D196" s="25"/>
      <c r="E196" s="25"/>
      <c r="F196" s="25"/>
      <c r="G196" s="24"/>
      <c r="H196" s="24"/>
      <c r="I196" s="24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</row>
    <row r="197" spans="1:249" ht="12.75" hidden="1">
      <c r="A197" s="16" t="s">
        <v>274</v>
      </c>
      <c r="B197" s="25"/>
      <c r="C197" s="25"/>
      <c r="D197" s="25"/>
      <c r="E197" s="25"/>
      <c r="F197" s="25"/>
      <c r="G197" s="24"/>
      <c r="H197" s="24"/>
      <c r="I197" s="24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</row>
    <row r="198" spans="1:249" ht="12.75" hidden="1">
      <c r="A198" s="16" t="s">
        <v>275</v>
      </c>
      <c r="B198" s="25"/>
      <c r="C198" s="25"/>
      <c r="D198" s="25"/>
      <c r="E198" s="25"/>
      <c r="F198" s="25"/>
      <c r="G198" s="24"/>
      <c r="H198" s="24"/>
      <c r="I198" s="24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</row>
    <row r="199" spans="1:249" ht="12.75" hidden="1">
      <c r="A199" s="16" t="s">
        <v>276</v>
      </c>
      <c r="B199" s="25"/>
      <c r="C199" s="25"/>
      <c r="D199" s="25"/>
      <c r="E199" s="25"/>
      <c r="F199" s="25"/>
      <c r="G199" s="24"/>
      <c r="H199" s="24"/>
      <c r="I199" s="24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</row>
    <row r="200" spans="1:249" ht="12.75" hidden="1">
      <c r="A200" s="16" t="s">
        <v>277</v>
      </c>
      <c r="B200" s="25"/>
      <c r="C200" s="25"/>
      <c r="D200" s="25"/>
      <c r="E200" s="25"/>
      <c r="F200" s="25"/>
      <c r="G200" s="24"/>
      <c r="H200" s="24"/>
      <c r="I200" s="24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</row>
    <row r="201" spans="1:249" ht="12.75" hidden="1">
      <c r="A201" s="16" t="s">
        <v>278</v>
      </c>
      <c r="B201" s="25"/>
      <c r="C201" s="25"/>
      <c r="D201" s="25"/>
      <c r="E201" s="25"/>
      <c r="F201" s="25"/>
      <c r="G201" s="24"/>
      <c r="H201" s="24"/>
      <c r="I201" s="24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</row>
    <row r="202" spans="1:249" ht="12.75" hidden="1">
      <c r="A202" s="16" t="s">
        <v>279</v>
      </c>
      <c r="B202" s="25"/>
      <c r="C202" s="25"/>
      <c r="D202" s="25"/>
      <c r="E202" s="25"/>
      <c r="F202" s="25"/>
      <c r="G202" s="24"/>
      <c r="H202" s="24"/>
      <c r="I202" s="24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</row>
    <row r="203" spans="1:249" ht="12.75" hidden="1">
      <c r="A203" s="16" t="s">
        <v>280</v>
      </c>
      <c r="B203" s="25"/>
      <c r="C203" s="25"/>
      <c r="D203" s="25"/>
      <c r="E203" s="25"/>
      <c r="F203" s="25"/>
      <c r="G203" s="24"/>
      <c r="H203" s="24"/>
      <c r="I203" s="24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</row>
    <row r="204" spans="1:249" ht="12.75" hidden="1">
      <c r="A204" s="16" t="s">
        <v>281</v>
      </c>
      <c r="B204" s="25"/>
      <c r="C204" s="25"/>
      <c r="D204" s="25"/>
      <c r="E204" s="25"/>
      <c r="F204" s="25"/>
      <c r="G204" s="24"/>
      <c r="H204" s="24"/>
      <c r="I204" s="24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</row>
    <row r="205" spans="1:249" ht="12.75" hidden="1">
      <c r="A205" s="16" t="s">
        <v>282</v>
      </c>
      <c r="B205" s="25"/>
      <c r="C205" s="25"/>
      <c r="D205" s="25"/>
      <c r="E205" s="25"/>
      <c r="F205" s="25"/>
      <c r="G205" s="24"/>
      <c r="H205" s="24"/>
      <c r="I205" s="24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</row>
    <row r="206" spans="1:249" ht="12.75" hidden="1">
      <c r="A206" s="12" t="s">
        <v>283</v>
      </c>
      <c r="B206" s="12"/>
      <c r="C206" s="12"/>
      <c r="D206" s="12"/>
      <c r="E206" s="12"/>
      <c r="F206" s="13"/>
      <c r="G206" s="14">
        <f>SUM(G207:G216)</f>
        <v>0</v>
      </c>
      <c r="H206" s="14">
        <f>SUM(H207:H216)</f>
        <v>0</v>
      </c>
      <c r="I206" s="14">
        <f>SUM(I207:I216)</f>
        <v>0</v>
      </c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</row>
    <row r="207" spans="1:249" ht="12.75" hidden="1">
      <c r="A207" s="16" t="s">
        <v>273</v>
      </c>
      <c r="B207" s="20"/>
      <c r="C207" s="20"/>
      <c r="D207" s="20"/>
      <c r="E207" s="20"/>
      <c r="F207" s="20"/>
      <c r="G207" s="24"/>
      <c r="H207" s="24"/>
      <c r="I207" s="24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</row>
    <row r="208" spans="1:249" ht="12.75" hidden="1">
      <c r="A208" s="16" t="s">
        <v>274</v>
      </c>
      <c r="B208" s="20"/>
      <c r="C208" s="20"/>
      <c r="D208" s="20"/>
      <c r="E208" s="20"/>
      <c r="F208" s="20"/>
      <c r="G208" s="24"/>
      <c r="H208" s="24"/>
      <c r="I208" s="24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</row>
    <row r="209" spans="1:249" ht="12.75" hidden="1">
      <c r="A209" s="16" t="s">
        <v>275</v>
      </c>
      <c r="B209" s="20"/>
      <c r="C209" s="20"/>
      <c r="D209" s="20"/>
      <c r="E209" s="20"/>
      <c r="F209" s="20"/>
      <c r="G209" s="24"/>
      <c r="H209" s="24"/>
      <c r="I209" s="24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</row>
    <row r="210" spans="1:249" ht="12.75" hidden="1">
      <c r="A210" s="16" t="s">
        <v>276</v>
      </c>
      <c r="B210" s="20"/>
      <c r="C210" s="20"/>
      <c r="D210" s="20"/>
      <c r="E210" s="20"/>
      <c r="F210" s="20"/>
      <c r="G210" s="24"/>
      <c r="H210" s="24"/>
      <c r="I210" s="24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</row>
    <row r="211" spans="1:249" ht="12.75" hidden="1">
      <c r="A211" s="16" t="s">
        <v>277</v>
      </c>
      <c r="B211" s="20"/>
      <c r="C211" s="20"/>
      <c r="D211" s="20"/>
      <c r="E211" s="20"/>
      <c r="F211" s="20"/>
      <c r="G211" s="24"/>
      <c r="H211" s="24"/>
      <c r="I211" s="24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</row>
    <row r="212" spans="1:249" ht="12.75" hidden="1">
      <c r="A212" s="16" t="s">
        <v>278</v>
      </c>
      <c r="B212" s="20"/>
      <c r="C212" s="20"/>
      <c r="D212" s="20"/>
      <c r="E212" s="20"/>
      <c r="F212" s="20"/>
      <c r="G212" s="24"/>
      <c r="H212" s="24"/>
      <c r="I212" s="24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</row>
    <row r="213" spans="1:249" ht="12.75" hidden="1">
      <c r="A213" s="16" t="s">
        <v>279</v>
      </c>
      <c r="B213" s="20"/>
      <c r="C213" s="20"/>
      <c r="D213" s="20"/>
      <c r="E213" s="20"/>
      <c r="F213" s="20"/>
      <c r="G213" s="24"/>
      <c r="H213" s="24"/>
      <c r="I213" s="24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</row>
    <row r="214" spans="1:249" ht="12.75" hidden="1">
      <c r="A214" s="16" t="s">
        <v>280</v>
      </c>
      <c r="B214" s="20"/>
      <c r="C214" s="20"/>
      <c r="D214" s="20"/>
      <c r="E214" s="20"/>
      <c r="F214" s="20"/>
      <c r="G214" s="24"/>
      <c r="H214" s="24"/>
      <c r="I214" s="24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</row>
    <row r="215" spans="1:249" ht="12.75" hidden="1">
      <c r="A215" s="16" t="s">
        <v>281</v>
      </c>
      <c r="B215" s="20"/>
      <c r="C215" s="20"/>
      <c r="D215" s="20"/>
      <c r="E215" s="20"/>
      <c r="F215" s="20"/>
      <c r="G215" s="24"/>
      <c r="H215" s="24"/>
      <c r="I215" s="24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</row>
    <row r="216" spans="1:249" ht="12.75" hidden="1">
      <c r="A216" s="16" t="s">
        <v>282</v>
      </c>
      <c r="B216" s="20"/>
      <c r="C216" s="20"/>
      <c r="D216" s="20"/>
      <c r="E216" s="20"/>
      <c r="F216" s="20"/>
      <c r="G216" s="24"/>
      <c r="H216" s="24"/>
      <c r="I216" s="24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</row>
    <row r="217" spans="1:249" ht="12.75" hidden="1">
      <c r="A217" s="12" t="s">
        <v>283</v>
      </c>
      <c r="B217" s="12"/>
      <c r="C217" s="12"/>
      <c r="D217" s="12"/>
      <c r="E217" s="12"/>
      <c r="F217" s="13"/>
      <c r="G217" s="14">
        <f>SUM(G218:G227)</f>
        <v>0</v>
      </c>
      <c r="H217" s="14">
        <f>SUM(H218:H227)</f>
        <v>0</v>
      </c>
      <c r="I217" s="14">
        <f>SUM(I218:I227)</f>
        <v>0</v>
      </c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</row>
    <row r="218" spans="1:249" ht="12.75" hidden="1">
      <c r="A218" s="16" t="s">
        <v>273</v>
      </c>
      <c r="B218" s="20"/>
      <c r="C218" s="20"/>
      <c r="D218" s="20"/>
      <c r="E218" s="20"/>
      <c r="F218" s="20"/>
      <c r="G218" s="24"/>
      <c r="H218" s="24"/>
      <c r="I218" s="24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</row>
    <row r="219" spans="1:249" ht="12.75" hidden="1">
      <c r="A219" s="16" t="s">
        <v>274</v>
      </c>
      <c r="B219" s="20"/>
      <c r="C219" s="20"/>
      <c r="D219" s="20"/>
      <c r="E219" s="20"/>
      <c r="F219" s="20"/>
      <c r="G219" s="24"/>
      <c r="H219" s="24"/>
      <c r="I219" s="24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</row>
    <row r="220" spans="1:249" ht="12.75" hidden="1">
      <c r="A220" s="16" t="s">
        <v>275</v>
      </c>
      <c r="B220" s="20"/>
      <c r="C220" s="20"/>
      <c r="D220" s="20"/>
      <c r="E220" s="20"/>
      <c r="F220" s="20"/>
      <c r="G220" s="24"/>
      <c r="H220" s="24"/>
      <c r="I220" s="24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</row>
    <row r="221" spans="1:249" ht="12.75" hidden="1">
      <c r="A221" s="16" t="s">
        <v>276</v>
      </c>
      <c r="B221" s="20"/>
      <c r="C221" s="20"/>
      <c r="D221" s="20"/>
      <c r="E221" s="20"/>
      <c r="F221" s="20"/>
      <c r="G221" s="24"/>
      <c r="H221" s="24"/>
      <c r="I221" s="24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</row>
    <row r="222" spans="1:249" ht="12.75" hidden="1">
      <c r="A222" s="16" t="s">
        <v>277</v>
      </c>
      <c r="B222" s="20"/>
      <c r="C222" s="20"/>
      <c r="D222" s="20"/>
      <c r="E222" s="20"/>
      <c r="F222" s="20"/>
      <c r="G222" s="24"/>
      <c r="H222" s="24"/>
      <c r="I222" s="24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</row>
    <row r="223" spans="1:249" ht="12.75" hidden="1">
      <c r="A223" s="16" t="s">
        <v>278</v>
      </c>
      <c r="B223" s="20"/>
      <c r="C223" s="20"/>
      <c r="D223" s="20"/>
      <c r="E223" s="20"/>
      <c r="F223" s="20"/>
      <c r="G223" s="24"/>
      <c r="H223" s="24"/>
      <c r="I223" s="24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</row>
    <row r="224" spans="1:249" ht="12.75" hidden="1">
      <c r="A224" s="16" t="s">
        <v>279</v>
      </c>
      <c r="B224" s="20"/>
      <c r="C224" s="20"/>
      <c r="D224" s="20"/>
      <c r="E224" s="20"/>
      <c r="F224" s="20"/>
      <c r="G224" s="24"/>
      <c r="H224" s="24"/>
      <c r="I224" s="24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</row>
    <row r="225" spans="1:249" ht="12.75" hidden="1">
      <c r="A225" s="16" t="s">
        <v>280</v>
      </c>
      <c r="B225" s="20"/>
      <c r="C225" s="20"/>
      <c r="D225" s="20"/>
      <c r="E225" s="20"/>
      <c r="F225" s="20"/>
      <c r="G225" s="24"/>
      <c r="H225" s="24"/>
      <c r="I225" s="24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</row>
    <row r="226" spans="1:249" ht="12.75" hidden="1">
      <c r="A226" s="16" t="s">
        <v>281</v>
      </c>
      <c r="B226" s="20"/>
      <c r="C226" s="20"/>
      <c r="D226" s="20"/>
      <c r="E226" s="20"/>
      <c r="F226" s="20"/>
      <c r="G226" s="24"/>
      <c r="H226" s="24"/>
      <c r="I226" s="24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</row>
    <row r="227" spans="1:249" ht="12.75" hidden="1">
      <c r="A227" s="16" t="s">
        <v>282</v>
      </c>
      <c r="B227" s="20"/>
      <c r="C227" s="20"/>
      <c r="D227" s="20"/>
      <c r="E227" s="20"/>
      <c r="F227" s="20"/>
      <c r="G227" s="24"/>
      <c r="H227" s="24"/>
      <c r="I227" s="24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</row>
    <row r="228" spans="1:249" ht="12.75" hidden="1">
      <c r="A228" s="12" t="s">
        <v>283</v>
      </c>
      <c r="B228" s="12"/>
      <c r="C228" s="12"/>
      <c r="D228" s="12"/>
      <c r="E228" s="12"/>
      <c r="F228" s="13"/>
      <c r="G228" s="14">
        <f>SUM(G229:G238)</f>
        <v>0</v>
      </c>
      <c r="H228" s="14">
        <f>SUM(H229:H238)</f>
        <v>0</v>
      </c>
      <c r="I228" s="14">
        <f>SUM(I229:I238)</f>
        <v>0</v>
      </c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</row>
    <row r="229" spans="1:249" ht="12.75" hidden="1">
      <c r="A229" s="16" t="s">
        <v>273</v>
      </c>
      <c r="B229" s="20"/>
      <c r="C229" s="20"/>
      <c r="D229" s="20"/>
      <c r="E229" s="20"/>
      <c r="F229" s="20"/>
      <c r="G229" s="24"/>
      <c r="H229" s="24"/>
      <c r="I229" s="24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</row>
    <row r="230" spans="1:249" ht="12.75" hidden="1">
      <c r="A230" s="16" t="s">
        <v>274</v>
      </c>
      <c r="B230" s="20"/>
      <c r="C230" s="20"/>
      <c r="D230" s="20"/>
      <c r="E230" s="20"/>
      <c r="F230" s="20"/>
      <c r="G230" s="24"/>
      <c r="H230" s="24"/>
      <c r="I230" s="24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</row>
    <row r="231" spans="1:249" ht="12.75" hidden="1">
      <c r="A231" s="16" t="s">
        <v>275</v>
      </c>
      <c r="B231" s="20"/>
      <c r="C231" s="20"/>
      <c r="D231" s="20"/>
      <c r="E231" s="20"/>
      <c r="F231" s="20"/>
      <c r="G231" s="24"/>
      <c r="H231" s="24"/>
      <c r="I231" s="24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</row>
    <row r="232" spans="1:249" ht="12.75" hidden="1">
      <c r="A232" s="16" t="s">
        <v>276</v>
      </c>
      <c r="B232" s="20"/>
      <c r="C232" s="20"/>
      <c r="D232" s="20"/>
      <c r="E232" s="20"/>
      <c r="F232" s="20"/>
      <c r="G232" s="24"/>
      <c r="H232" s="24"/>
      <c r="I232" s="24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</row>
    <row r="233" spans="1:249" ht="12.75" hidden="1">
      <c r="A233" s="16" t="s">
        <v>277</v>
      </c>
      <c r="B233" s="20"/>
      <c r="C233" s="20"/>
      <c r="D233" s="20"/>
      <c r="E233" s="20"/>
      <c r="F233" s="20"/>
      <c r="G233" s="24"/>
      <c r="H233" s="24"/>
      <c r="I233" s="24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</row>
    <row r="234" spans="1:249" ht="12.75" hidden="1">
      <c r="A234" s="16" t="s">
        <v>278</v>
      </c>
      <c r="B234" s="20"/>
      <c r="C234" s="20"/>
      <c r="D234" s="20"/>
      <c r="E234" s="20"/>
      <c r="F234" s="20"/>
      <c r="G234" s="24"/>
      <c r="H234" s="24"/>
      <c r="I234" s="24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</row>
    <row r="235" spans="1:249" ht="12.75" hidden="1">
      <c r="A235" s="16" t="s">
        <v>279</v>
      </c>
      <c r="B235" s="20"/>
      <c r="C235" s="20"/>
      <c r="D235" s="20"/>
      <c r="E235" s="20"/>
      <c r="F235" s="20"/>
      <c r="G235" s="24"/>
      <c r="H235" s="24"/>
      <c r="I235" s="24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</row>
    <row r="236" spans="1:249" ht="12.75" hidden="1">
      <c r="A236" s="16" t="s">
        <v>280</v>
      </c>
      <c r="B236" s="20"/>
      <c r="C236" s="20"/>
      <c r="D236" s="20"/>
      <c r="E236" s="20"/>
      <c r="F236" s="20"/>
      <c r="G236" s="24"/>
      <c r="H236" s="24"/>
      <c r="I236" s="24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</row>
    <row r="237" spans="1:249" ht="12.75" hidden="1">
      <c r="A237" s="16" t="s">
        <v>281</v>
      </c>
      <c r="B237" s="20"/>
      <c r="C237" s="20"/>
      <c r="D237" s="20"/>
      <c r="E237" s="20"/>
      <c r="F237" s="20"/>
      <c r="G237" s="24"/>
      <c r="H237" s="24"/>
      <c r="I237" s="24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</row>
    <row r="238" spans="1:249" ht="12.75" hidden="1">
      <c r="A238" s="16" t="s">
        <v>282</v>
      </c>
      <c r="B238" s="20"/>
      <c r="C238" s="20"/>
      <c r="D238" s="20"/>
      <c r="E238" s="20"/>
      <c r="F238" s="20"/>
      <c r="G238" s="24"/>
      <c r="H238" s="24"/>
      <c r="I238" s="24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</row>
    <row r="239" spans="1:249" ht="12.75" hidden="1">
      <c r="A239" s="12" t="s">
        <v>283</v>
      </c>
      <c r="B239" s="12"/>
      <c r="C239" s="12"/>
      <c r="D239" s="12"/>
      <c r="E239" s="12"/>
      <c r="F239" s="13"/>
      <c r="G239" s="14">
        <f>SUM(G240:G249)</f>
        <v>0</v>
      </c>
      <c r="H239" s="14">
        <f>SUM(H240:H249)</f>
        <v>0</v>
      </c>
      <c r="I239" s="14">
        <f>SUM(I240:I249)</f>
        <v>0</v>
      </c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</row>
    <row r="240" spans="1:249" ht="12.75" hidden="1">
      <c r="A240" s="16" t="s">
        <v>273</v>
      </c>
      <c r="B240" s="20"/>
      <c r="C240" s="20"/>
      <c r="D240" s="20"/>
      <c r="E240" s="20"/>
      <c r="F240" s="20"/>
      <c r="G240" s="24"/>
      <c r="H240" s="24"/>
      <c r="I240" s="24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</row>
    <row r="241" spans="1:249" ht="12.75" hidden="1">
      <c r="A241" s="16" t="s">
        <v>274</v>
      </c>
      <c r="B241" s="20"/>
      <c r="C241" s="20"/>
      <c r="D241" s="20"/>
      <c r="E241" s="20"/>
      <c r="F241" s="20"/>
      <c r="G241" s="24"/>
      <c r="H241" s="24"/>
      <c r="I241" s="24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</row>
    <row r="242" spans="1:249" ht="12.75" hidden="1">
      <c r="A242" s="16" t="s">
        <v>275</v>
      </c>
      <c r="B242" s="20"/>
      <c r="C242" s="20"/>
      <c r="D242" s="20"/>
      <c r="E242" s="20"/>
      <c r="F242" s="20"/>
      <c r="G242" s="24"/>
      <c r="H242" s="24"/>
      <c r="I242" s="24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</row>
    <row r="243" spans="1:249" ht="12.75" hidden="1">
      <c r="A243" s="16" t="s">
        <v>276</v>
      </c>
      <c r="B243" s="20"/>
      <c r="C243" s="20"/>
      <c r="D243" s="20"/>
      <c r="E243" s="20"/>
      <c r="F243" s="20"/>
      <c r="G243" s="24"/>
      <c r="H243" s="24"/>
      <c r="I243" s="24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</row>
    <row r="244" spans="1:249" ht="12.75" hidden="1">
      <c r="A244" s="16" t="s">
        <v>277</v>
      </c>
      <c r="B244" s="20"/>
      <c r="C244" s="20"/>
      <c r="D244" s="20"/>
      <c r="E244" s="20"/>
      <c r="F244" s="20"/>
      <c r="G244" s="24"/>
      <c r="H244" s="24"/>
      <c r="I244" s="24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</row>
    <row r="245" spans="1:249" ht="12.75" hidden="1">
      <c r="A245" s="16" t="s">
        <v>278</v>
      </c>
      <c r="B245" s="20"/>
      <c r="C245" s="20"/>
      <c r="D245" s="20"/>
      <c r="E245" s="20"/>
      <c r="F245" s="20"/>
      <c r="G245" s="24"/>
      <c r="H245" s="24"/>
      <c r="I245" s="24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</row>
    <row r="246" spans="1:249" ht="12.75" hidden="1">
      <c r="A246" s="16" t="s">
        <v>279</v>
      </c>
      <c r="B246" s="20"/>
      <c r="C246" s="20"/>
      <c r="D246" s="20"/>
      <c r="E246" s="20"/>
      <c r="F246" s="20"/>
      <c r="G246" s="24"/>
      <c r="H246" s="24"/>
      <c r="I246" s="24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</row>
    <row r="247" spans="1:249" ht="12.75" hidden="1">
      <c r="A247" s="16" t="s">
        <v>280</v>
      </c>
      <c r="B247" s="20"/>
      <c r="C247" s="20"/>
      <c r="D247" s="20"/>
      <c r="E247" s="20"/>
      <c r="F247" s="20"/>
      <c r="G247" s="24"/>
      <c r="H247" s="24"/>
      <c r="I247" s="24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</row>
    <row r="248" spans="1:249" ht="12.75" hidden="1">
      <c r="A248" s="16" t="s">
        <v>281</v>
      </c>
      <c r="B248" s="20"/>
      <c r="C248" s="20"/>
      <c r="D248" s="20"/>
      <c r="E248" s="20"/>
      <c r="F248" s="20"/>
      <c r="G248" s="24"/>
      <c r="H248" s="24"/>
      <c r="I248" s="24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</row>
    <row r="249" spans="1:249" ht="12.75" hidden="1">
      <c r="A249" s="16" t="s">
        <v>282</v>
      </c>
      <c r="B249" s="20"/>
      <c r="C249" s="20"/>
      <c r="D249" s="20"/>
      <c r="E249" s="20"/>
      <c r="F249" s="20"/>
      <c r="G249" s="24"/>
      <c r="H249" s="24"/>
      <c r="I249" s="24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</row>
    <row r="250" spans="1:249" ht="12.75" hidden="1">
      <c r="A250" s="12" t="s">
        <v>283</v>
      </c>
      <c r="B250" s="12"/>
      <c r="C250" s="12"/>
      <c r="D250" s="12"/>
      <c r="E250" s="12"/>
      <c r="F250" s="27"/>
      <c r="G250" s="14">
        <f>SUM(G251:G260)</f>
        <v>0</v>
      </c>
      <c r="H250" s="14">
        <f>SUM(H251:H260)</f>
        <v>0</v>
      </c>
      <c r="I250" s="14">
        <f>SUM(I251:I260)</f>
        <v>0</v>
      </c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</row>
    <row r="251" spans="1:249" ht="12.75" hidden="1">
      <c r="A251" s="16" t="s">
        <v>273</v>
      </c>
      <c r="B251" s="25"/>
      <c r="C251" s="25"/>
      <c r="D251" s="25"/>
      <c r="E251" s="25"/>
      <c r="F251" s="25"/>
      <c r="G251" s="24"/>
      <c r="H251" s="24"/>
      <c r="I251" s="24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</row>
    <row r="252" spans="1:249" ht="12.75" hidden="1">
      <c r="A252" s="16" t="s">
        <v>274</v>
      </c>
      <c r="B252" s="25"/>
      <c r="C252" s="25"/>
      <c r="D252" s="25"/>
      <c r="E252" s="25"/>
      <c r="F252" s="25"/>
      <c r="G252" s="24"/>
      <c r="H252" s="24"/>
      <c r="I252" s="24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</row>
    <row r="253" spans="1:249" ht="12.75" hidden="1">
      <c r="A253" s="16" t="s">
        <v>275</v>
      </c>
      <c r="B253" s="25"/>
      <c r="C253" s="25"/>
      <c r="D253" s="25"/>
      <c r="E253" s="25"/>
      <c r="F253" s="25"/>
      <c r="G253" s="24"/>
      <c r="H253" s="24"/>
      <c r="I253" s="24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</row>
    <row r="254" spans="1:249" ht="12.75" hidden="1">
      <c r="A254" s="16" t="s">
        <v>276</v>
      </c>
      <c r="B254" s="25"/>
      <c r="C254" s="25"/>
      <c r="D254" s="25"/>
      <c r="E254" s="25"/>
      <c r="F254" s="25"/>
      <c r="G254" s="24"/>
      <c r="H254" s="24"/>
      <c r="I254" s="24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</row>
    <row r="255" spans="1:249" ht="12.75" hidden="1">
      <c r="A255" s="16" t="s">
        <v>277</v>
      </c>
      <c r="B255" s="25"/>
      <c r="C255" s="25"/>
      <c r="D255" s="25"/>
      <c r="E255" s="25"/>
      <c r="F255" s="25"/>
      <c r="G255" s="24"/>
      <c r="H255" s="24"/>
      <c r="I255" s="24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</row>
    <row r="256" spans="1:249" ht="12.75" hidden="1">
      <c r="A256" s="16" t="s">
        <v>278</v>
      </c>
      <c r="B256" s="25"/>
      <c r="C256" s="25"/>
      <c r="D256" s="25"/>
      <c r="E256" s="25"/>
      <c r="F256" s="25"/>
      <c r="G256" s="24"/>
      <c r="H256" s="24"/>
      <c r="I256" s="24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</row>
    <row r="257" spans="1:249" ht="12.75" hidden="1">
      <c r="A257" s="16" t="s">
        <v>279</v>
      </c>
      <c r="B257" s="25"/>
      <c r="C257" s="25"/>
      <c r="D257" s="25"/>
      <c r="E257" s="25"/>
      <c r="F257" s="25"/>
      <c r="G257" s="24"/>
      <c r="H257" s="24"/>
      <c r="I257" s="24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</row>
    <row r="258" spans="1:249" ht="12.75" hidden="1">
      <c r="A258" s="16" t="s">
        <v>280</v>
      </c>
      <c r="B258" s="25"/>
      <c r="C258" s="25"/>
      <c r="D258" s="25"/>
      <c r="E258" s="25"/>
      <c r="F258" s="25"/>
      <c r="G258" s="24"/>
      <c r="H258" s="24"/>
      <c r="I258" s="24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</row>
    <row r="259" spans="1:249" ht="12.75" hidden="1">
      <c r="A259" s="16" t="s">
        <v>281</v>
      </c>
      <c r="B259" s="25"/>
      <c r="C259" s="25"/>
      <c r="D259" s="25"/>
      <c r="E259" s="25"/>
      <c r="F259" s="25"/>
      <c r="G259" s="24"/>
      <c r="H259" s="24"/>
      <c r="I259" s="24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</row>
    <row r="260" spans="1:249" ht="12.75" hidden="1">
      <c r="A260" s="16" t="s">
        <v>282</v>
      </c>
      <c r="B260" s="25"/>
      <c r="C260" s="25"/>
      <c r="D260" s="25"/>
      <c r="E260" s="25"/>
      <c r="F260" s="25"/>
      <c r="G260" s="24"/>
      <c r="H260" s="24"/>
      <c r="I260" s="24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</row>
    <row r="261" spans="1:249" ht="12.75" hidden="1">
      <c r="A261" s="12" t="s">
        <v>283</v>
      </c>
      <c r="B261" s="12"/>
      <c r="C261" s="12"/>
      <c r="D261" s="12"/>
      <c r="E261" s="12"/>
      <c r="F261" s="27"/>
      <c r="G261" s="14">
        <f>SUM(G262:G271)</f>
        <v>0</v>
      </c>
      <c r="H261" s="14">
        <f>SUM(H262:H271)</f>
        <v>0</v>
      </c>
      <c r="I261" s="14">
        <f>SUM(I262:I271)</f>
        <v>0</v>
      </c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</row>
    <row r="262" spans="1:249" ht="12.75" hidden="1">
      <c r="A262" s="16" t="s">
        <v>273</v>
      </c>
      <c r="B262" s="25"/>
      <c r="C262" s="25"/>
      <c r="D262" s="25"/>
      <c r="E262" s="25"/>
      <c r="F262" s="25"/>
      <c r="G262" s="24"/>
      <c r="H262" s="24"/>
      <c r="I262" s="24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</row>
    <row r="263" spans="1:249" ht="12.75" hidden="1">
      <c r="A263" s="16" t="s">
        <v>274</v>
      </c>
      <c r="B263" s="25"/>
      <c r="C263" s="25"/>
      <c r="D263" s="25"/>
      <c r="E263" s="25"/>
      <c r="F263" s="25"/>
      <c r="G263" s="24"/>
      <c r="H263" s="24"/>
      <c r="I263" s="24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</row>
    <row r="264" spans="1:249" ht="12.75" hidden="1">
      <c r="A264" s="16" t="s">
        <v>275</v>
      </c>
      <c r="B264" s="25"/>
      <c r="C264" s="25"/>
      <c r="D264" s="25"/>
      <c r="E264" s="25"/>
      <c r="F264" s="25"/>
      <c r="G264" s="24"/>
      <c r="H264" s="24"/>
      <c r="I264" s="24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</row>
    <row r="265" spans="1:249" ht="12.75" hidden="1">
      <c r="A265" s="16" t="s">
        <v>276</v>
      </c>
      <c r="B265" s="25"/>
      <c r="C265" s="25"/>
      <c r="D265" s="25"/>
      <c r="E265" s="25"/>
      <c r="F265" s="25"/>
      <c r="G265" s="24"/>
      <c r="H265" s="24"/>
      <c r="I265" s="24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</row>
    <row r="266" spans="1:249" ht="12.75" hidden="1">
      <c r="A266" s="16" t="s">
        <v>277</v>
      </c>
      <c r="B266" s="25"/>
      <c r="C266" s="25"/>
      <c r="D266" s="25"/>
      <c r="E266" s="25"/>
      <c r="F266" s="25"/>
      <c r="G266" s="24"/>
      <c r="H266" s="24"/>
      <c r="I266" s="24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</row>
    <row r="267" spans="1:249" ht="12.75" hidden="1">
      <c r="A267" s="16" t="s">
        <v>278</v>
      </c>
      <c r="B267" s="25"/>
      <c r="C267" s="25"/>
      <c r="D267" s="25"/>
      <c r="E267" s="25"/>
      <c r="F267" s="25"/>
      <c r="G267" s="24"/>
      <c r="H267" s="24"/>
      <c r="I267" s="24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</row>
    <row r="268" spans="1:249" ht="12.75" hidden="1">
      <c r="A268" s="16" t="s">
        <v>279</v>
      </c>
      <c r="B268" s="25"/>
      <c r="C268" s="25"/>
      <c r="D268" s="25"/>
      <c r="E268" s="25"/>
      <c r="F268" s="25"/>
      <c r="G268" s="24"/>
      <c r="H268" s="24"/>
      <c r="I268" s="24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</row>
    <row r="269" spans="1:249" ht="12.75" hidden="1">
      <c r="A269" s="16" t="s">
        <v>280</v>
      </c>
      <c r="B269" s="25"/>
      <c r="C269" s="25"/>
      <c r="D269" s="25"/>
      <c r="E269" s="25"/>
      <c r="F269" s="25"/>
      <c r="G269" s="24"/>
      <c r="H269" s="24"/>
      <c r="I269" s="24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</row>
    <row r="270" spans="1:249" ht="12.75" hidden="1">
      <c r="A270" s="16" t="s">
        <v>281</v>
      </c>
      <c r="B270" s="25"/>
      <c r="C270" s="25"/>
      <c r="D270" s="25"/>
      <c r="E270" s="25"/>
      <c r="F270" s="25"/>
      <c r="G270" s="24"/>
      <c r="H270" s="24"/>
      <c r="I270" s="24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</row>
    <row r="271" spans="1:249" ht="12.75" hidden="1">
      <c r="A271" s="16" t="s">
        <v>282</v>
      </c>
      <c r="B271" s="25"/>
      <c r="C271" s="25"/>
      <c r="D271" s="25"/>
      <c r="E271" s="25"/>
      <c r="F271" s="25"/>
      <c r="G271" s="24"/>
      <c r="H271" s="24"/>
      <c r="I271" s="24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</row>
    <row r="272" spans="1:249" ht="12.75" hidden="1">
      <c r="A272" s="12" t="s">
        <v>283</v>
      </c>
      <c r="B272" s="12"/>
      <c r="C272" s="12"/>
      <c r="D272" s="12"/>
      <c r="E272" s="12"/>
      <c r="F272" s="13"/>
      <c r="G272" s="14">
        <f>SUM(G273:G282)</f>
        <v>0</v>
      </c>
      <c r="H272" s="14">
        <f>SUM(H273:H282)</f>
        <v>0</v>
      </c>
      <c r="I272" s="14">
        <f>SUM(I273:I282)</f>
        <v>0</v>
      </c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</row>
    <row r="273" spans="1:249" ht="12.75" hidden="1">
      <c r="A273" s="16" t="s">
        <v>273</v>
      </c>
      <c r="B273" s="20"/>
      <c r="C273" s="20"/>
      <c r="D273" s="20"/>
      <c r="E273" s="20"/>
      <c r="F273" s="20"/>
      <c r="G273" s="24"/>
      <c r="H273" s="24"/>
      <c r="I273" s="24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</row>
    <row r="274" spans="1:249" ht="12.75" hidden="1">
      <c r="A274" s="16" t="s">
        <v>274</v>
      </c>
      <c r="B274" s="20"/>
      <c r="C274" s="20"/>
      <c r="D274" s="20"/>
      <c r="E274" s="20"/>
      <c r="F274" s="20"/>
      <c r="G274" s="24"/>
      <c r="H274" s="24"/>
      <c r="I274" s="24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</row>
    <row r="275" spans="1:249" ht="12.75" hidden="1">
      <c r="A275" s="16" t="s">
        <v>275</v>
      </c>
      <c r="B275" s="20"/>
      <c r="C275" s="20"/>
      <c r="D275" s="20"/>
      <c r="E275" s="20"/>
      <c r="F275" s="20"/>
      <c r="G275" s="24"/>
      <c r="H275" s="24"/>
      <c r="I275" s="24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</row>
    <row r="276" spans="1:249" ht="12.75" hidden="1">
      <c r="A276" s="16" t="s">
        <v>276</v>
      </c>
      <c r="B276" s="20"/>
      <c r="C276" s="20"/>
      <c r="D276" s="20"/>
      <c r="E276" s="20"/>
      <c r="F276" s="20"/>
      <c r="G276" s="24"/>
      <c r="H276" s="24"/>
      <c r="I276" s="24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</row>
    <row r="277" spans="1:249" ht="12.75" hidden="1">
      <c r="A277" s="16" t="s">
        <v>277</v>
      </c>
      <c r="B277" s="20"/>
      <c r="C277" s="20"/>
      <c r="D277" s="20"/>
      <c r="E277" s="20"/>
      <c r="F277" s="20"/>
      <c r="G277" s="24"/>
      <c r="H277" s="24"/>
      <c r="I277" s="24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</row>
    <row r="278" spans="1:249" ht="12.75" hidden="1">
      <c r="A278" s="16" t="s">
        <v>278</v>
      </c>
      <c r="B278" s="20"/>
      <c r="C278" s="20"/>
      <c r="D278" s="20"/>
      <c r="E278" s="20"/>
      <c r="F278" s="20"/>
      <c r="G278" s="24"/>
      <c r="H278" s="24"/>
      <c r="I278" s="24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</row>
    <row r="279" spans="1:249" ht="12.75" hidden="1">
      <c r="A279" s="16" t="s">
        <v>279</v>
      </c>
      <c r="B279" s="20"/>
      <c r="C279" s="20"/>
      <c r="D279" s="20"/>
      <c r="E279" s="20"/>
      <c r="F279" s="20"/>
      <c r="G279" s="24"/>
      <c r="H279" s="24"/>
      <c r="I279" s="24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</row>
    <row r="280" spans="1:249" ht="12.75" hidden="1">
      <c r="A280" s="16" t="s">
        <v>280</v>
      </c>
      <c r="B280" s="20"/>
      <c r="C280" s="20"/>
      <c r="D280" s="20"/>
      <c r="E280" s="20"/>
      <c r="F280" s="20"/>
      <c r="G280" s="24"/>
      <c r="H280" s="24"/>
      <c r="I280" s="24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</row>
    <row r="281" spans="1:249" ht="12.75" hidden="1">
      <c r="A281" s="16" t="s">
        <v>281</v>
      </c>
      <c r="B281" s="20"/>
      <c r="C281" s="20"/>
      <c r="D281" s="20"/>
      <c r="E281" s="20"/>
      <c r="F281" s="20"/>
      <c r="G281" s="24"/>
      <c r="H281" s="24"/>
      <c r="I281" s="24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</row>
    <row r="282" spans="1:249" ht="12.75" hidden="1">
      <c r="A282" s="16" t="s">
        <v>282</v>
      </c>
      <c r="B282" s="20"/>
      <c r="C282" s="20"/>
      <c r="D282" s="20"/>
      <c r="E282" s="20"/>
      <c r="F282" s="20"/>
      <c r="G282" s="24"/>
      <c r="H282" s="24"/>
      <c r="I282" s="24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</row>
    <row r="283" spans="1:249" ht="12.75" hidden="1">
      <c r="A283" s="12" t="s">
        <v>283</v>
      </c>
      <c r="B283" s="12"/>
      <c r="C283" s="12"/>
      <c r="D283" s="12"/>
      <c r="E283" s="12"/>
      <c r="F283" s="13"/>
      <c r="G283" s="14">
        <f>SUM(G284:G293)</f>
        <v>0</v>
      </c>
      <c r="H283" s="14">
        <f>SUM(H284:H293)</f>
        <v>0</v>
      </c>
      <c r="I283" s="14">
        <f>SUM(I284:I293)</f>
        <v>0</v>
      </c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</row>
    <row r="284" spans="1:249" ht="12.75" hidden="1">
      <c r="A284" s="16" t="s">
        <v>273</v>
      </c>
      <c r="B284" s="20"/>
      <c r="C284" s="20"/>
      <c r="D284" s="20"/>
      <c r="E284" s="20"/>
      <c r="F284" s="20"/>
      <c r="G284" s="24"/>
      <c r="H284" s="24"/>
      <c r="I284" s="24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</row>
    <row r="285" spans="1:249" ht="12.75" hidden="1">
      <c r="A285" s="16" t="s">
        <v>274</v>
      </c>
      <c r="B285" s="20"/>
      <c r="C285" s="20"/>
      <c r="D285" s="20"/>
      <c r="E285" s="20"/>
      <c r="F285" s="20"/>
      <c r="G285" s="24"/>
      <c r="H285" s="24"/>
      <c r="I285" s="24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26"/>
      <c r="IH285" s="26"/>
      <c r="II285" s="26"/>
      <c r="IJ285" s="26"/>
      <c r="IK285" s="26"/>
      <c r="IL285" s="26"/>
      <c r="IM285" s="26"/>
      <c r="IN285" s="26"/>
      <c r="IO285" s="26"/>
    </row>
    <row r="286" spans="1:249" ht="12.75" hidden="1">
      <c r="A286" s="16" t="s">
        <v>275</v>
      </c>
      <c r="B286" s="20"/>
      <c r="C286" s="20"/>
      <c r="D286" s="20"/>
      <c r="E286" s="20"/>
      <c r="F286" s="20"/>
      <c r="G286" s="24"/>
      <c r="H286" s="24"/>
      <c r="I286" s="24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</row>
    <row r="287" spans="1:249" ht="12.75" hidden="1">
      <c r="A287" s="16" t="s">
        <v>276</v>
      </c>
      <c r="B287" s="20"/>
      <c r="C287" s="20"/>
      <c r="D287" s="20"/>
      <c r="E287" s="20"/>
      <c r="F287" s="20"/>
      <c r="G287" s="24"/>
      <c r="H287" s="24"/>
      <c r="I287" s="24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</row>
    <row r="288" spans="1:249" ht="12.75" hidden="1">
      <c r="A288" s="16" t="s">
        <v>277</v>
      </c>
      <c r="B288" s="20"/>
      <c r="C288" s="20"/>
      <c r="D288" s="20"/>
      <c r="E288" s="20"/>
      <c r="F288" s="20"/>
      <c r="G288" s="24"/>
      <c r="H288" s="24"/>
      <c r="I288" s="24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</row>
    <row r="289" spans="1:249" ht="12.75" hidden="1">
      <c r="A289" s="16" t="s">
        <v>278</v>
      </c>
      <c r="B289" s="20"/>
      <c r="C289" s="20"/>
      <c r="D289" s="20"/>
      <c r="E289" s="20"/>
      <c r="F289" s="20"/>
      <c r="G289" s="24"/>
      <c r="H289" s="24"/>
      <c r="I289" s="24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26"/>
      <c r="IH289" s="26"/>
      <c r="II289" s="26"/>
      <c r="IJ289" s="26"/>
      <c r="IK289" s="26"/>
      <c r="IL289" s="26"/>
      <c r="IM289" s="26"/>
      <c r="IN289" s="26"/>
      <c r="IO289" s="26"/>
    </row>
    <row r="290" spans="1:249" ht="12.75" hidden="1">
      <c r="A290" s="16" t="s">
        <v>279</v>
      </c>
      <c r="B290" s="20"/>
      <c r="C290" s="20"/>
      <c r="D290" s="20"/>
      <c r="E290" s="20"/>
      <c r="F290" s="20"/>
      <c r="G290" s="24"/>
      <c r="H290" s="24"/>
      <c r="I290" s="24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</row>
    <row r="291" spans="1:249" ht="12.75" hidden="1">
      <c r="A291" s="16" t="s">
        <v>280</v>
      </c>
      <c r="B291" s="20"/>
      <c r="C291" s="20"/>
      <c r="D291" s="20"/>
      <c r="E291" s="20"/>
      <c r="F291" s="20"/>
      <c r="G291" s="24"/>
      <c r="H291" s="24"/>
      <c r="I291" s="24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</row>
    <row r="292" spans="1:249" ht="12.75" hidden="1">
      <c r="A292" s="16" t="s">
        <v>281</v>
      </c>
      <c r="B292" s="20"/>
      <c r="C292" s="20"/>
      <c r="D292" s="20"/>
      <c r="E292" s="20"/>
      <c r="F292" s="20"/>
      <c r="G292" s="24"/>
      <c r="H292" s="24"/>
      <c r="I292" s="24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</row>
    <row r="293" spans="1:249" ht="12.75" hidden="1">
      <c r="A293" s="16" t="s">
        <v>282</v>
      </c>
      <c r="B293" s="20"/>
      <c r="C293" s="20"/>
      <c r="D293" s="20"/>
      <c r="E293" s="20"/>
      <c r="F293" s="20"/>
      <c r="G293" s="24"/>
      <c r="H293" s="24"/>
      <c r="I293" s="24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</row>
    <row r="294" spans="1:249" ht="12.75" hidden="1">
      <c r="A294" s="12" t="s">
        <v>283</v>
      </c>
      <c r="B294" s="12"/>
      <c r="C294" s="12"/>
      <c r="D294" s="12"/>
      <c r="E294" s="12"/>
      <c r="F294" s="28"/>
      <c r="G294" s="14">
        <f>SUM(G295:G304)</f>
        <v>0</v>
      </c>
      <c r="H294" s="14">
        <f>SUM(H295:H304)</f>
        <v>0</v>
      </c>
      <c r="I294" s="14">
        <f>SUM(I295:I304)</f>
        <v>0</v>
      </c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</row>
    <row r="295" spans="1:249" ht="12.75" hidden="1">
      <c r="A295" s="16" t="s">
        <v>273</v>
      </c>
      <c r="B295" s="20"/>
      <c r="C295" s="20"/>
      <c r="D295" s="20"/>
      <c r="E295" s="20"/>
      <c r="F295" s="20"/>
      <c r="G295" s="24"/>
      <c r="H295" s="24"/>
      <c r="I295" s="24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</row>
    <row r="296" spans="1:249" ht="12.75" hidden="1">
      <c r="A296" s="16" t="s">
        <v>274</v>
      </c>
      <c r="B296" s="20"/>
      <c r="C296" s="20"/>
      <c r="D296" s="20"/>
      <c r="E296" s="20"/>
      <c r="F296" s="20"/>
      <c r="G296" s="24"/>
      <c r="H296" s="24"/>
      <c r="I296" s="24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</row>
    <row r="297" spans="1:249" ht="12.75" hidden="1">
      <c r="A297" s="16" t="s">
        <v>275</v>
      </c>
      <c r="B297" s="20"/>
      <c r="C297" s="20"/>
      <c r="D297" s="20"/>
      <c r="E297" s="20"/>
      <c r="F297" s="20"/>
      <c r="G297" s="24"/>
      <c r="H297" s="24"/>
      <c r="I297" s="24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</row>
    <row r="298" spans="1:249" ht="12.75" hidden="1">
      <c r="A298" s="16" t="s">
        <v>276</v>
      </c>
      <c r="B298" s="20"/>
      <c r="C298" s="20"/>
      <c r="D298" s="20"/>
      <c r="E298" s="20"/>
      <c r="F298" s="20"/>
      <c r="G298" s="24"/>
      <c r="H298" s="24"/>
      <c r="I298" s="24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</row>
    <row r="299" spans="1:249" ht="12.75" hidden="1">
      <c r="A299" s="16" t="s">
        <v>277</v>
      </c>
      <c r="B299" s="20"/>
      <c r="C299" s="20"/>
      <c r="D299" s="20"/>
      <c r="E299" s="20"/>
      <c r="F299" s="20"/>
      <c r="G299" s="24"/>
      <c r="H299" s="24"/>
      <c r="I299" s="24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</row>
    <row r="300" spans="1:249" ht="12.75" hidden="1">
      <c r="A300" s="16" t="s">
        <v>278</v>
      </c>
      <c r="B300" s="20"/>
      <c r="C300" s="20"/>
      <c r="D300" s="20"/>
      <c r="E300" s="20"/>
      <c r="F300" s="20"/>
      <c r="G300" s="24"/>
      <c r="H300" s="24"/>
      <c r="I300" s="24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</row>
    <row r="301" spans="1:249" ht="12.75" hidden="1">
      <c r="A301" s="16" t="s">
        <v>279</v>
      </c>
      <c r="B301" s="20"/>
      <c r="C301" s="20"/>
      <c r="D301" s="20"/>
      <c r="E301" s="20"/>
      <c r="F301" s="20"/>
      <c r="G301" s="24"/>
      <c r="H301" s="24"/>
      <c r="I301" s="24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  <c r="IN301" s="26"/>
      <c r="IO301" s="26"/>
    </row>
    <row r="302" spans="1:249" ht="12.75" hidden="1">
      <c r="A302" s="16" t="s">
        <v>280</v>
      </c>
      <c r="B302" s="20"/>
      <c r="C302" s="20"/>
      <c r="D302" s="20"/>
      <c r="E302" s="20"/>
      <c r="F302" s="20"/>
      <c r="G302" s="24"/>
      <c r="H302" s="24"/>
      <c r="I302" s="24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</row>
    <row r="303" spans="1:249" ht="12.75" hidden="1">
      <c r="A303" s="16" t="s">
        <v>281</v>
      </c>
      <c r="B303" s="20"/>
      <c r="C303" s="20"/>
      <c r="D303" s="20"/>
      <c r="E303" s="20"/>
      <c r="F303" s="20"/>
      <c r="G303" s="24"/>
      <c r="H303" s="24"/>
      <c r="I303" s="24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</row>
    <row r="304" spans="1:249" ht="12.75" hidden="1">
      <c r="A304" s="16" t="s">
        <v>282</v>
      </c>
      <c r="B304" s="20"/>
      <c r="C304" s="20"/>
      <c r="D304" s="20"/>
      <c r="E304" s="20"/>
      <c r="F304" s="20"/>
      <c r="G304" s="24"/>
      <c r="H304" s="24"/>
      <c r="I304" s="24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</row>
    <row r="305" spans="1:249" ht="12.75" hidden="1">
      <c r="A305" s="12" t="s">
        <v>283</v>
      </c>
      <c r="B305" s="12"/>
      <c r="C305" s="12"/>
      <c r="D305" s="12"/>
      <c r="E305" s="12"/>
      <c r="F305" s="28"/>
      <c r="G305" s="14">
        <f>SUM(G306:G315)</f>
        <v>0</v>
      </c>
      <c r="H305" s="14">
        <f>SUM(H306:H315)</f>
        <v>0</v>
      </c>
      <c r="I305" s="14">
        <f>SUM(I306:I315)</f>
        <v>0</v>
      </c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</row>
    <row r="306" spans="1:249" ht="12.75" hidden="1">
      <c r="A306" s="16" t="s">
        <v>273</v>
      </c>
      <c r="B306" s="20"/>
      <c r="C306" s="20"/>
      <c r="D306" s="20"/>
      <c r="E306" s="20"/>
      <c r="F306" s="20"/>
      <c r="G306" s="24"/>
      <c r="H306" s="24"/>
      <c r="I306" s="24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</row>
    <row r="307" spans="1:249" ht="12.75" hidden="1">
      <c r="A307" s="16" t="s">
        <v>274</v>
      </c>
      <c r="B307" s="20"/>
      <c r="C307" s="20"/>
      <c r="D307" s="20"/>
      <c r="E307" s="20"/>
      <c r="F307" s="20"/>
      <c r="G307" s="24"/>
      <c r="H307" s="24"/>
      <c r="I307" s="24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</row>
    <row r="308" spans="1:249" ht="12.75" hidden="1">
      <c r="A308" s="16" t="s">
        <v>275</v>
      </c>
      <c r="B308" s="20"/>
      <c r="C308" s="20"/>
      <c r="D308" s="20"/>
      <c r="E308" s="20"/>
      <c r="F308" s="20"/>
      <c r="G308" s="24"/>
      <c r="H308" s="24"/>
      <c r="I308" s="24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</row>
    <row r="309" spans="1:249" ht="12.75" hidden="1">
      <c r="A309" s="16" t="s">
        <v>276</v>
      </c>
      <c r="B309" s="20"/>
      <c r="C309" s="20"/>
      <c r="D309" s="20"/>
      <c r="E309" s="20"/>
      <c r="F309" s="20"/>
      <c r="G309" s="24"/>
      <c r="H309" s="24"/>
      <c r="I309" s="24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</row>
    <row r="310" spans="1:249" ht="12.75" hidden="1">
      <c r="A310" s="16" t="s">
        <v>277</v>
      </c>
      <c r="B310" s="20"/>
      <c r="C310" s="20"/>
      <c r="D310" s="20"/>
      <c r="E310" s="20"/>
      <c r="F310" s="20"/>
      <c r="G310" s="24"/>
      <c r="H310" s="24"/>
      <c r="I310" s="24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26"/>
      <c r="IH310" s="26"/>
      <c r="II310" s="26"/>
      <c r="IJ310" s="26"/>
      <c r="IK310" s="26"/>
      <c r="IL310" s="26"/>
      <c r="IM310" s="26"/>
      <c r="IN310" s="26"/>
      <c r="IO310" s="26"/>
    </row>
    <row r="311" spans="1:249" ht="12.75" hidden="1">
      <c r="A311" s="16" t="s">
        <v>278</v>
      </c>
      <c r="B311" s="20"/>
      <c r="C311" s="20"/>
      <c r="D311" s="20"/>
      <c r="E311" s="20"/>
      <c r="F311" s="20"/>
      <c r="G311" s="24"/>
      <c r="H311" s="24"/>
      <c r="I311" s="24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</row>
    <row r="312" spans="1:249" ht="12.75" hidden="1">
      <c r="A312" s="16" t="s">
        <v>279</v>
      </c>
      <c r="B312" s="20"/>
      <c r="C312" s="20"/>
      <c r="D312" s="20"/>
      <c r="E312" s="20"/>
      <c r="F312" s="20"/>
      <c r="G312" s="24"/>
      <c r="H312" s="24"/>
      <c r="I312" s="24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</row>
    <row r="313" spans="1:249" ht="12.75" hidden="1">
      <c r="A313" s="16" t="s">
        <v>280</v>
      </c>
      <c r="B313" s="20"/>
      <c r="C313" s="20"/>
      <c r="D313" s="20"/>
      <c r="E313" s="20"/>
      <c r="F313" s="20"/>
      <c r="G313" s="24"/>
      <c r="H313" s="24"/>
      <c r="I313" s="24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</row>
    <row r="314" spans="1:249" ht="12.75" hidden="1">
      <c r="A314" s="16" t="s">
        <v>281</v>
      </c>
      <c r="B314" s="20"/>
      <c r="C314" s="20"/>
      <c r="D314" s="20"/>
      <c r="E314" s="20"/>
      <c r="F314" s="20"/>
      <c r="G314" s="24"/>
      <c r="H314" s="24"/>
      <c r="I314" s="24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</row>
    <row r="315" spans="1:249" ht="12.75" hidden="1">
      <c r="A315" s="16" t="s">
        <v>282</v>
      </c>
      <c r="B315" s="20"/>
      <c r="C315" s="20"/>
      <c r="D315" s="20"/>
      <c r="E315" s="20"/>
      <c r="F315" s="20"/>
      <c r="G315" s="24"/>
      <c r="H315" s="24"/>
      <c r="I315" s="24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</row>
    <row r="316" spans="1:249" ht="12.75" hidden="1">
      <c r="A316" s="12" t="s">
        <v>283</v>
      </c>
      <c r="B316" s="12"/>
      <c r="C316" s="12"/>
      <c r="D316" s="12"/>
      <c r="E316" s="12"/>
      <c r="F316" s="28"/>
      <c r="G316" s="14">
        <f>SUM(G317:G326)</f>
        <v>0</v>
      </c>
      <c r="H316" s="14">
        <f>SUM(H317:H326)</f>
        <v>0</v>
      </c>
      <c r="I316" s="14">
        <f>SUM(I317:I326)</f>
        <v>0</v>
      </c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26"/>
      <c r="IH316" s="26"/>
      <c r="II316" s="26"/>
      <c r="IJ316" s="26"/>
      <c r="IK316" s="26"/>
      <c r="IL316" s="26"/>
      <c r="IM316" s="26"/>
      <c r="IN316" s="26"/>
      <c r="IO316" s="26"/>
    </row>
    <row r="317" spans="1:249" ht="12.75" hidden="1">
      <c r="A317" s="16" t="s">
        <v>273</v>
      </c>
      <c r="B317" s="20"/>
      <c r="C317" s="20"/>
      <c r="D317" s="20"/>
      <c r="E317" s="20"/>
      <c r="F317" s="20"/>
      <c r="G317" s="24"/>
      <c r="H317" s="24"/>
      <c r="I317" s="24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26"/>
      <c r="IH317" s="26"/>
      <c r="II317" s="26"/>
      <c r="IJ317" s="26"/>
      <c r="IK317" s="26"/>
      <c r="IL317" s="26"/>
      <c r="IM317" s="26"/>
      <c r="IN317" s="26"/>
      <c r="IO317" s="26"/>
    </row>
    <row r="318" spans="1:249" ht="12.75" hidden="1">
      <c r="A318" s="16" t="s">
        <v>274</v>
      </c>
      <c r="B318" s="20"/>
      <c r="C318" s="20"/>
      <c r="D318" s="20"/>
      <c r="E318" s="20"/>
      <c r="F318" s="20"/>
      <c r="G318" s="24"/>
      <c r="H318" s="24"/>
      <c r="I318" s="24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26"/>
      <c r="IH318" s="26"/>
      <c r="II318" s="26"/>
      <c r="IJ318" s="26"/>
      <c r="IK318" s="26"/>
      <c r="IL318" s="26"/>
      <c r="IM318" s="26"/>
      <c r="IN318" s="26"/>
      <c r="IO318" s="26"/>
    </row>
    <row r="319" spans="1:249" ht="12.75" hidden="1">
      <c r="A319" s="16" t="s">
        <v>275</v>
      </c>
      <c r="B319" s="20"/>
      <c r="C319" s="20"/>
      <c r="D319" s="20"/>
      <c r="E319" s="20"/>
      <c r="F319" s="20"/>
      <c r="G319" s="24"/>
      <c r="H319" s="24"/>
      <c r="I319" s="24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26"/>
      <c r="IH319" s="26"/>
      <c r="II319" s="26"/>
      <c r="IJ319" s="26"/>
      <c r="IK319" s="26"/>
      <c r="IL319" s="26"/>
      <c r="IM319" s="26"/>
      <c r="IN319" s="26"/>
      <c r="IO319" s="26"/>
    </row>
    <row r="320" spans="1:249" ht="12.75" hidden="1">
      <c r="A320" s="16" t="s">
        <v>276</v>
      </c>
      <c r="B320" s="20"/>
      <c r="C320" s="20"/>
      <c r="D320" s="20"/>
      <c r="E320" s="20"/>
      <c r="F320" s="20"/>
      <c r="G320" s="24"/>
      <c r="H320" s="24"/>
      <c r="I320" s="24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26"/>
      <c r="IH320" s="26"/>
      <c r="II320" s="26"/>
      <c r="IJ320" s="26"/>
      <c r="IK320" s="26"/>
      <c r="IL320" s="26"/>
      <c r="IM320" s="26"/>
      <c r="IN320" s="26"/>
      <c r="IO320" s="26"/>
    </row>
    <row r="321" spans="1:249" ht="12.75" hidden="1">
      <c r="A321" s="16" t="s">
        <v>277</v>
      </c>
      <c r="B321" s="20"/>
      <c r="C321" s="20"/>
      <c r="D321" s="20"/>
      <c r="E321" s="20"/>
      <c r="F321" s="20"/>
      <c r="G321" s="24"/>
      <c r="H321" s="24"/>
      <c r="I321" s="24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26"/>
      <c r="IH321" s="26"/>
      <c r="II321" s="26"/>
      <c r="IJ321" s="26"/>
      <c r="IK321" s="26"/>
      <c r="IL321" s="26"/>
      <c r="IM321" s="26"/>
      <c r="IN321" s="26"/>
      <c r="IO321" s="26"/>
    </row>
    <row r="322" spans="1:249" ht="12.75" hidden="1">
      <c r="A322" s="16" t="s">
        <v>278</v>
      </c>
      <c r="B322" s="20"/>
      <c r="C322" s="20"/>
      <c r="D322" s="20"/>
      <c r="E322" s="20"/>
      <c r="F322" s="20"/>
      <c r="G322" s="24"/>
      <c r="H322" s="24"/>
      <c r="I322" s="24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26"/>
      <c r="IH322" s="26"/>
      <c r="II322" s="26"/>
      <c r="IJ322" s="26"/>
      <c r="IK322" s="26"/>
      <c r="IL322" s="26"/>
      <c r="IM322" s="26"/>
      <c r="IN322" s="26"/>
      <c r="IO322" s="26"/>
    </row>
    <row r="323" spans="1:249" ht="12.75" hidden="1">
      <c r="A323" s="16" t="s">
        <v>279</v>
      </c>
      <c r="B323" s="20"/>
      <c r="C323" s="20"/>
      <c r="D323" s="20"/>
      <c r="E323" s="20"/>
      <c r="F323" s="20"/>
      <c r="G323" s="24"/>
      <c r="H323" s="24"/>
      <c r="I323" s="24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</row>
    <row r="324" spans="1:249" ht="12.75" hidden="1">
      <c r="A324" s="16" t="s">
        <v>280</v>
      </c>
      <c r="B324" s="20"/>
      <c r="C324" s="20"/>
      <c r="D324" s="20"/>
      <c r="E324" s="20"/>
      <c r="F324" s="20"/>
      <c r="G324" s="24"/>
      <c r="H324" s="24"/>
      <c r="I324" s="24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</row>
    <row r="325" spans="1:249" ht="12.75" hidden="1">
      <c r="A325" s="16" t="s">
        <v>281</v>
      </c>
      <c r="B325" s="20"/>
      <c r="C325" s="20"/>
      <c r="D325" s="20"/>
      <c r="E325" s="20"/>
      <c r="F325" s="20"/>
      <c r="G325" s="24"/>
      <c r="H325" s="24"/>
      <c r="I325" s="24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</row>
    <row r="326" spans="1:249" ht="12.75" hidden="1">
      <c r="A326" s="16" t="s">
        <v>282</v>
      </c>
      <c r="B326" s="20"/>
      <c r="C326" s="20"/>
      <c r="D326" s="20"/>
      <c r="E326" s="20"/>
      <c r="F326" s="20"/>
      <c r="G326" s="24"/>
      <c r="H326" s="24"/>
      <c r="I326" s="24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</row>
    <row r="327" spans="1:249" ht="12.75" hidden="1">
      <c r="A327" s="12" t="s">
        <v>283</v>
      </c>
      <c r="B327" s="12"/>
      <c r="C327" s="12"/>
      <c r="D327" s="12"/>
      <c r="E327" s="12"/>
      <c r="F327" s="28"/>
      <c r="G327" s="14">
        <f>SUM(G328:G337)</f>
        <v>0</v>
      </c>
      <c r="H327" s="14">
        <f>SUM(H328:H337)</f>
        <v>0</v>
      </c>
      <c r="I327" s="14">
        <f>SUM(I328:I337)</f>
        <v>0</v>
      </c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  <c r="GD327" s="26"/>
      <c r="GE327" s="26"/>
      <c r="GF327" s="26"/>
      <c r="GG327" s="26"/>
      <c r="GH327" s="26"/>
      <c r="GI327" s="26"/>
      <c r="GJ327" s="26"/>
      <c r="GK327" s="26"/>
      <c r="GL327" s="26"/>
      <c r="GM327" s="26"/>
      <c r="GN327" s="26"/>
      <c r="GO327" s="26"/>
      <c r="GP327" s="26"/>
      <c r="GQ327" s="26"/>
      <c r="GR327" s="26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26"/>
      <c r="IH327" s="26"/>
      <c r="II327" s="26"/>
      <c r="IJ327" s="26"/>
      <c r="IK327" s="26"/>
      <c r="IL327" s="26"/>
      <c r="IM327" s="26"/>
      <c r="IN327" s="26"/>
      <c r="IO327" s="26"/>
    </row>
    <row r="328" spans="1:249" ht="12.75" hidden="1">
      <c r="A328" s="16" t="s">
        <v>273</v>
      </c>
      <c r="B328" s="20"/>
      <c r="C328" s="20"/>
      <c r="D328" s="20"/>
      <c r="E328" s="20"/>
      <c r="F328" s="20"/>
      <c r="G328" s="24"/>
      <c r="H328" s="24"/>
      <c r="I328" s="24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  <c r="GD328" s="26"/>
      <c r="GE328" s="26"/>
      <c r="GF328" s="26"/>
      <c r="GG328" s="26"/>
      <c r="GH328" s="26"/>
      <c r="GI328" s="26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26"/>
      <c r="IH328" s="26"/>
      <c r="II328" s="26"/>
      <c r="IJ328" s="26"/>
      <c r="IK328" s="26"/>
      <c r="IL328" s="26"/>
      <c r="IM328" s="26"/>
      <c r="IN328" s="26"/>
      <c r="IO328" s="26"/>
    </row>
    <row r="329" spans="1:249" ht="12.75" hidden="1">
      <c r="A329" s="16" t="s">
        <v>274</v>
      </c>
      <c r="B329" s="20"/>
      <c r="C329" s="20"/>
      <c r="D329" s="20"/>
      <c r="E329" s="20"/>
      <c r="F329" s="20"/>
      <c r="G329" s="24"/>
      <c r="H329" s="24"/>
      <c r="I329" s="24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  <c r="GD329" s="26"/>
      <c r="GE329" s="26"/>
      <c r="GF329" s="26"/>
      <c r="GG329" s="26"/>
      <c r="GH329" s="26"/>
      <c r="GI329" s="26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26"/>
      <c r="IH329" s="26"/>
      <c r="II329" s="26"/>
      <c r="IJ329" s="26"/>
      <c r="IK329" s="26"/>
      <c r="IL329" s="26"/>
      <c r="IM329" s="26"/>
      <c r="IN329" s="26"/>
      <c r="IO329" s="26"/>
    </row>
    <row r="330" spans="1:249" ht="12.75" hidden="1">
      <c r="A330" s="16" t="s">
        <v>275</v>
      </c>
      <c r="B330" s="20"/>
      <c r="C330" s="20"/>
      <c r="D330" s="20"/>
      <c r="E330" s="20"/>
      <c r="F330" s="20"/>
      <c r="G330" s="24"/>
      <c r="H330" s="24"/>
      <c r="I330" s="24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6"/>
      <c r="IJ330" s="26"/>
      <c r="IK330" s="26"/>
      <c r="IL330" s="26"/>
      <c r="IM330" s="26"/>
      <c r="IN330" s="26"/>
      <c r="IO330" s="26"/>
    </row>
    <row r="331" spans="1:249" ht="12.75" hidden="1">
      <c r="A331" s="16" t="s">
        <v>276</v>
      </c>
      <c r="B331" s="20"/>
      <c r="C331" s="20"/>
      <c r="D331" s="20"/>
      <c r="E331" s="20"/>
      <c r="F331" s="20"/>
      <c r="G331" s="24"/>
      <c r="H331" s="24"/>
      <c r="I331" s="24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6"/>
      <c r="IJ331" s="26"/>
      <c r="IK331" s="26"/>
      <c r="IL331" s="26"/>
      <c r="IM331" s="26"/>
      <c r="IN331" s="26"/>
      <c r="IO331" s="26"/>
    </row>
    <row r="332" spans="1:249" ht="12.75" hidden="1">
      <c r="A332" s="16" t="s">
        <v>277</v>
      </c>
      <c r="B332" s="20"/>
      <c r="C332" s="20"/>
      <c r="D332" s="20"/>
      <c r="E332" s="20"/>
      <c r="F332" s="20"/>
      <c r="G332" s="24"/>
      <c r="H332" s="24"/>
      <c r="I332" s="24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26"/>
      <c r="IH332" s="26"/>
      <c r="II332" s="26"/>
      <c r="IJ332" s="26"/>
      <c r="IK332" s="26"/>
      <c r="IL332" s="26"/>
      <c r="IM332" s="26"/>
      <c r="IN332" s="26"/>
      <c r="IO332" s="26"/>
    </row>
    <row r="333" spans="1:249" ht="12.75" hidden="1">
      <c r="A333" s="16" t="s">
        <v>278</v>
      </c>
      <c r="B333" s="20"/>
      <c r="C333" s="20"/>
      <c r="D333" s="20"/>
      <c r="E333" s="20"/>
      <c r="F333" s="20"/>
      <c r="G333" s="24"/>
      <c r="H333" s="24"/>
      <c r="I333" s="24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26"/>
      <c r="IH333" s="26"/>
      <c r="II333" s="26"/>
      <c r="IJ333" s="26"/>
      <c r="IK333" s="26"/>
      <c r="IL333" s="26"/>
      <c r="IM333" s="26"/>
      <c r="IN333" s="26"/>
      <c r="IO333" s="26"/>
    </row>
    <row r="334" spans="1:249" ht="12.75" hidden="1">
      <c r="A334" s="16" t="s">
        <v>279</v>
      </c>
      <c r="B334" s="20"/>
      <c r="C334" s="20"/>
      <c r="D334" s="20"/>
      <c r="E334" s="20"/>
      <c r="F334" s="20"/>
      <c r="G334" s="24"/>
      <c r="H334" s="24"/>
      <c r="I334" s="24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  <c r="GD334" s="26"/>
      <c r="GE334" s="26"/>
      <c r="GF334" s="26"/>
      <c r="GG334" s="26"/>
      <c r="GH334" s="26"/>
      <c r="GI334" s="26"/>
      <c r="GJ334" s="26"/>
      <c r="GK334" s="26"/>
      <c r="GL334" s="26"/>
      <c r="GM334" s="26"/>
      <c r="GN334" s="26"/>
      <c r="GO334" s="26"/>
      <c r="GP334" s="26"/>
      <c r="GQ334" s="26"/>
      <c r="GR334" s="26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26"/>
      <c r="IH334" s="26"/>
      <c r="II334" s="26"/>
      <c r="IJ334" s="26"/>
      <c r="IK334" s="26"/>
      <c r="IL334" s="26"/>
      <c r="IM334" s="26"/>
      <c r="IN334" s="26"/>
      <c r="IO334" s="26"/>
    </row>
    <row r="335" spans="1:249" ht="12.75" hidden="1">
      <c r="A335" s="16" t="s">
        <v>280</v>
      </c>
      <c r="B335" s="20"/>
      <c r="C335" s="20"/>
      <c r="D335" s="20"/>
      <c r="E335" s="20"/>
      <c r="F335" s="20"/>
      <c r="G335" s="24"/>
      <c r="H335" s="24"/>
      <c r="I335" s="24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</row>
    <row r="336" spans="1:249" ht="12.75" hidden="1">
      <c r="A336" s="16" t="s">
        <v>281</v>
      </c>
      <c r="B336" s="20"/>
      <c r="C336" s="20"/>
      <c r="D336" s="20"/>
      <c r="E336" s="20"/>
      <c r="F336" s="20"/>
      <c r="G336" s="24"/>
      <c r="H336" s="24"/>
      <c r="I336" s="24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</row>
    <row r="337" spans="1:249" ht="12.75" hidden="1">
      <c r="A337" s="16" t="s">
        <v>282</v>
      </c>
      <c r="B337" s="20"/>
      <c r="C337" s="20"/>
      <c r="D337" s="20"/>
      <c r="E337" s="20"/>
      <c r="F337" s="20"/>
      <c r="G337" s="24"/>
      <c r="H337" s="24"/>
      <c r="I337" s="24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</row>
    <row r="338" spans="1:249" ht="12.75" hidden="1">
      <c r="A338" s="12" t="s">
        <v>283</v>
      </c>
      <c r="B338" s="12"/>
      <c r="C338" s="12"/>
      <c r="D338" s="12"/>
      <c r="E338" s="12"/>
      <c r="F338" s="28"/>
      <c r="G338" s="14">
        <f>SUM(G339:G348)</f>
        <v>0</v>
      </c>
      <c r="H338" s="14">
        <f>SUM(H339:H348)</f>
        <v>0</v>
      </c>
      <c r="I338" s="14">
        <f>SUM(I339:I348)</f>
        <v>0</v>
      </c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</row>
    <row r="339" spans="1:249" ht="12.75" hidden="1">
      <c r="A339" s="16" t="s">
        <v>273</v>
      </c>
      <c r="B339" s="20"/>
      <c r="C339" s="20"/>
      <c r="D339" s="20"/>
      <c r="E339" s="20"/>
      <c r="F339" s="20"/>
      <c r="G339" s="24"/>
      <c r="H339" s="24"/>
      <c r="I339" s="24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</row>
    <row r="340" spans="1:249" ht="12.75" hidden="1">
      <c r="A340" s="16" t="s">
        <v>274</v>
      </c>
      <c r="B340" s="20"/>
      <c r="C340" s="20"/>
      <c r="D340" s="20"/>
      <c r="E340" s="20"/>
      <c r="F340" s="20"/>
      <c r="G340" s="24"/>
      <c r="H340" s="24"/>
      <c r="I340" s="24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26"/>
      <c r="IH340" s="26"/>
      <c r="II340" s="26"/>
      <c r="IJ340" s="26"/>
      <c r="IK340" s="26"/>
      <c r="IL340" s="26"/>
      <c r="IM340" s="26"/>
      <c r="IN340" s="26"/>
      <c r="IO340" s="26"/>
    </row>
    <row r="341" spans="1:249" ht="12.75" hidden="1">
      <c r="A341" s="16" t="s">
        <v>275</v>
      </c>
      <c r="B341" s="20"/>
      <c r="C341" s="20"/>
      <c r="D341" s="20"/>
      <c r="E341" s="20"/>
      <c r="F341" s="20"/>
      <c r="G341" s="24"/>
      <c r="H341" s="24"/>
      <c r="I341" s="24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</row>
    <row r="342" spans="1:249" ht="12.75" hidden="1">
      <c r="A342" s="16" t="s">
        <v>276</v>
      </c>
      <c r="B342" s="20"/>
      <c r="C342" s="20"/>
      <c r="D342" s="20"/>
      <c r="E342" s="20"/>
      <c r="F342" s="20"/>
      <c r="G342" s="24"/>
      <c r="H342" s="24"/>
      <c r="I342" s="24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</row>
    <row r="343" spans="1:249" ht="12.75" hidden="1">
      <c r="A343" s="16" t="s">
        <v>277</v>
      </c>
      <c r="B343" s="20"/>
      <c r="C343" s="20"/>
      <c r="D343" s="20"/>
      <c r="E343" s="20"/>
      <c r="F343" s="20"/>
      <c r="G343" s="24"/>
      <c r="H343" s="24"/>
      <c r="I343" s="24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  <c r="GD343" s="26"/>
      <c r="GE343" s="26"/>
      <c r="GF343" s="26"/>
      <c r="GG343" s="26"/>
      <c r="GH343" s="26"/>
      <c r="GI343" s="26"/>
      <c r="GJ343" s="26"/>
      <c r="GK343" s="26"/>
      <c r="GL343" s="26"/>
      <c r="GM343" s="26"/>
      <c r="GN343" s="26"/>
      <c r="GO343" s="26"/>
      <c r="GP343" s="26"/>
      <c r="GQ343" s="26"/>
      <c r="GR343" s="26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26"/>
      <c r="IH343" s="26"/>
      <c r="II343" s="26"/>
      <c r="IJ343" s="26"/>
      <c r="IK343" s="26"/>
      <c r="IL343" s="26"/>
      <c r="IM343" s="26"/>
      <c r="IN343" s="26"/>
      <c r="IO343" s="26"/>
    </row>
    <row r="344" spans="1:249" ht="12.75" hidden="1">
      <c r="A344" s="16" t="s">
        <v>278</v>
      </c>
      <c r="B344" s="20"/>
      <c r="C344" s="20"/>
      <c r="D344" s="20"/>
      <c r="E344" s="20"/>
      <c r="F344" s="20"/>
      <c r="G344" s="24"/>
      <c r="H344" s="24"/>
      <c r="I344" s="24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26"/>
      <c r="IH344" s="26"/>
      <c r="II344" s="26"/>
      <c r="IJ344" s="26"/>
      <c r="IK344" s="26"/>
      <c r="IL344" s="26"/>
      <c r="IM344" s="26"/>
      <c r="IN344" s="26"/>
      <c r="IO344" s="26"/>
    </row>
    <row r="345" spans="1:249" ht="12.75" hidden="1">
      <c r="A345" s="16" t="s">
        <v>279</v>
      </c>
      <c r="B345" s="20"/>
      <c r="C345" s="20"/>
      <c r="D345" s="20"/>
      <c r="E345" s="20"/>
      <c r="F345" s="20"/>
      <c r="G345" s="24"/>
      <c r="H345" s="24"/>
      <c r="I345" s="24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26"/>
      <c r="IH345" s="26"/>
      <c r="II345" s="26"/>
      <c r="IJ345" s="26"/>
      <c r="IK345" s="26"/>
      <c r="IL345" s="26"/>
      <c r="IM345" s="26"/>
      <c r="IN345" s="26"/>
      <c r="IO345" s="26"/>
    </row>
    <row r="346" spans="1:249" ht="12.75" hidden="1">
      <c r="A346" s="16" t="s">
        <v>280</v>
      </c>
      <c r="B346" s="20"/>
      <c r="C346" s="20"/>
      <c r="D346" s="20"/>
      <c r="E346" s="20"/>
      <c r="F346" s="20"/>
      <c r="G346" s="24"/>
      <c r="H346" s="24"/>
      <c r="I346" s="24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</row>
    <row r="347" spans="1:249" ht="12.75" hidden="1">
      <c r="A347" s="16" t="s">
        <v>281</v>
      </c>
      <c r="B347" s="20"/>
      <c r="C347" s="20"/>
      <c r="D347" s="20"/>
      <c r="E347" s="20"/>
      <c r="F347" s="20"/>
      <c r="G347" s="24"/>
      <c r="H347" s="24"/>
      <c r="I347" s="24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</row>
    <row r="348" spans="1:249" ht="12.75" hidden="1">
      <c r="A348" s="16" t="s">
        <v>282</v>
      </c>
      <c r="B348" s="20"/>
      <c r="C348" s="20"/>
      <c r="D348" s="20"/>
      <c r="E348" s="20"/>
      <c r="F348" s="20"/>
      <c r="G348" s="24"/>
      <c r="H348" s="24"/>
      <c r="I348" s="24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</row>
    <row r="349" spans="1:249" ht="12.75">
      <c r="A349" s="19" t="s">
        <v>291</v>
      </c>
      <c r="B349" s="19"/>
      <c r="C349" s="19"/>
      <c r="D349" s="19"/>
      <c r="E349" s="19"/>
      <c r="F349" s="19"/>
      <c r="G349" s="14">
        <f>G8+G19+G30+G41+G63+G74+G85+G118+G129+G140+G151+G162+G184+G195+G206+G217+G250+G272+G96+G107+G173+G228+G239+G52+G283+G294+G261+G305+G338+G327+G316</f>
        <v>52880845.400000006</v>
      </c>
      <c r="H349" s="14">
        <f>H8+H19+H30+H41+H63+H74+H85+H118+H129+H140+H151+H162+H184+H195+H206+H217+H250+H272+H96+H107+H173+H228+H239+H52+H283+H294+H261+H305+H338+H327+H316</f>
        <v>31226100</v>
      </c>
      <c r="I349" s="14">
        <f>I8+I19+I30+I41+I63+I74+I85+I118+I129+I140+I151+I162+I184+I195+I206+I217+I250+I272+I96+I107+I173+I228+I239+I52+I283+I294+I261+I305+I338+I327+I316</f>
        <v>26121100</v>
      </c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</row>
    <row r="350" spans="1:9" ht="12.75">
      <c r="A350" s="29" t="s">
        <v>292</v>
      </c>
      <c r="B350" s="29"/>
      <c r="C350" s="29"/>
      <c r="D350" s="29"/>
      <c r="E350" s="29"/>
      <c r="F350" s="30"/>
      <c r="G350" s="31"/>
      <c r="H350" s="31"/>
      <c r="I350" s="31"/>
    </row>
    <row r="351" spans="1:10" ht="12.75">
      <c r="A351" s="29" t="s">
        <v>273</v>
      </c>
      <c r="B351" s="33"/>
      <c r="C351" s="33"/>
      <c r="D351" s="33"/>
      <c r="E351" s="33"/>
      <c r="F351" s="33"/>
      <c r="G351" s="34">
        <f aca="true" t="shared" si="0" ref="G351:I360">G9+G20+G31+G42+G64+G75+G86+G119+G130+G141+G152+G163+G185+G196+G207+G218+G251+G273+G97+G108+G174+G229+G240+G53++G284+G262+G295+G306+G339+G328+G317</f>
        <v>5399175</v>
      </c>
      <c r="H351" s="34">
        <f t="shared" si="0"/>
        <v>3601556</v>
      </c>
      <c r="I351" s="34">
        <f t="shared" si="0"/>
        <v>3032770</v>
      </c>
      <c r="J351" s="32" t="e">
        <f>G351+#REF!</f>
        <v>#REF!</v>
      </c>
    </row>
    <row r="352" spans="1:10" ht="12.75">
      <c r="A352" s="29" t="s">
        <v>274</v>
      </c>
      <c r="B352" s="33"/>
      <c r="C352" s="33"/>
      <c r="D352" s="33"/>
      <c r="E352" s="33"/>
      <c r="F352" s="33"/>
      <c r="G352" s="34">
        <f t="shared" si="0"/>
        <v>7762727</v>
      </c>
      <c r="H352" s="34">
        <f t="shared" si="0"/>
        <v>3755179</v>
      </c>
      <c r="I352" s="34">
        <f t="shared" si="0"/>
        <v>2930160</v>
      </c>
      <c r="J352" s="32" t="e">
        <f>G352+#REF!</f>
        <v>#REF!</v>
      </c>
    </row>
    <row r="353" spans="1:10" ht="12.75">
      <c r="A353" s="29" t="s">
        <v>275</v>
      </c>
      <c r="B353" s="33"/>
      <c r="C353" s="33"/>
      <c r="D353" s="33"/>
      <c r="E353" s="33"/>
      <c r="F353" s="33"/>
      <c r="G353" s="34">
        <f t="shared" si="0"/>
        <v>3900574.72</v>
      </c>
      <c r="H353" s="34">
        <f t="shared" si="0"/>
        <v>2756959</v>
      </c>
      <c r="I353" s="34">
        <f t="shared" si="0"/>
        <v>2271330</v>
      </c>
      <c r="J353" s="32" t="e">
        <f>G353+#REF!</f>
        <v>#REF!</v>
      </c>
    </row>
    <row r="354" spans="1:10" ht="12.75">
      <c r="A354" s="29" t="s">
        <v>276</v>
      </c>
      <c r="B354" s="33"/>
      <c r="C354" s="33"/>
      <c r="D354" s="33"/>
      <c r="E354" s="33"/>
      <c r="F354" s="33"/>
      <c r="G354" s="34">
        <f t="shared" si="0"/>
        <v>6659788</v>
      </c>
      <c r="H354" s="34">
        <f t="shared" si="0"/>
        <v>3789192</v>
      </c>
      <c r="I354" s="34">
        <f t="shared" si="0"/>
        <v>2999860</v>
      </c>
      <c r="J354" s="32" t="e">
        <f>G354+#REF!</f>
        <v>#REF!</v>
      </c>
    </row>
    <row r="355" spans="1:10" ht="12.75">
      <c r="A355" s="29" t="s">
        <v>277</v>
      </c>
      <c r="B355" s="33"/>
      <c r="C355" s="33"/>
      <c r="D355" s="33"/>
      <c r="E355" s="33"/>
      <c r="F355" s="33"/>
      <c r="G355" s="34">
        <f t="shared" si="0"/>
        <v>4052918.01</v>
      </c>
      <c r="H355" s="34">
        <f t="shared" si="0"/>
        <v>2208775</v>
      </c>
      <c r="I355" s="34">
        <f t="shared" si="0"/>
        <v>1870230</v>
      </c>
      <c r="J355" s="32" t="e">
        <f>G355+#REF!</f>
        <v>#REF!</v>
      </c>
    </row>
    <row r="356" spans="1:10" ht="12.75">
      <c r="A356" s="29" t="s">
        <v>278</v>
      </c>
      <c r="B356" s="33"/>
      <c r="C356" s="33"/>
      <c r="D356" s="33"/>
      <c r="E356" s="33"/>
      <c r="F356" s="33"/>
      <c r="G356" s="34">
        <f t="shared" si="0"/>
        <v>3900967.35</v>
      </c>
      <c r="H356" s="34">
        <f t="shared" si="0"/>
        <v>2721809</v>
      </c>
      <c r="I356" s="34">
        <f t="shared" si="0"/>
        <v>2421920</v>
      </c>
      <c r="J356" s="32" t="e">
        <f>G356+#REF!</f>
        <v>#REF!</v>
      </c>
    </row>
    <row r="357" spans="1:10" ht="12.75">
      <c r="A357" s="29" t="s">
        <v>279</v>
      </c>
      <c r="B357" s="33"/>
      <c r="C357" s="33"/>
      <c r="D357" s="33"/>
      <c r="E357" s="33"/>
      <c r="F357" s="33"/>
      <c r="G357" s="34">
        <f t="shared" si="0"/>
        <v>4150429</v>
      </c>
      <c r="H357" s="34">
        <f t="shared" si="0"/>
        <v>2730629</v>
      </c>
      <c r="I357" s="34">
        <f t="shared" si="0"/>
        <v>2381950</v>
      </c>
      <c r="J357" s="32" t="e">
        <f>G357+#REF!</f>
        <v>#REF!</v>
      </c>
    </row>
    <row r="358" spans="1:10" ht="12.75">
      <c r="A358" s="29" t="s">
        <v>280</v>
      </c>
      <c r="B358" s="33"/>
      <c r="C358" s="33"/>
      <c r="D358" s="33"/>
      <c r="E358" s="33"/>
      <c r="F358" s="33"/>
      <c r="G358" s="34">
        <f t="shared" si="0"/>
        <v>5472778.32</v>
      </c>
      <c r="H358" s="34">
        <f t="shared" si="0"/>
        <v>3438083</v>
      </c>
      <c r="I358" s="34">
        <f t="shared" si="0"/>
        <v>2907810</v>
      </c>
      <c r="J358" s="32" t="e">
        <f>G358+#REF!</f>
        <v>#REF!</v>
      </c>
    </row>
    <row r="359" spans="1:10" ht="12.75">
      <c r="A359" s="29" t="s">
        <v>281</v>
      </c>
      <c r="B359" s="33"/>
      <c r="C359" s="33"/>
      <c r="D359" s="33"/>
      <c r="E359" s="33"/>
      <c r="F359" s="33"/>
      <c r="G359" s="34">
        <f t="shared" si="0"/>
        <v>8055251.5</v>
      </c>
      <c r="H359" s="34">
        <f t="shared" si="0"/>
        <v>5206370</v>
      </c>
      <c r="I359" s="34">
        <f t="shared" si="0"/>
        <v>4416720</v>
      </c>
      <c r="J359" s="32" t="e">
        <f>G359+#REF!</f>
        <v>#REF!</v>
      </c>
    </row>
    <row r="360" spans="1:10" ht="12.75">
      <c r="A360" s="29" t="s">
        <v>282</v>
      </c>
      <c r="B360" s="33"/>
      <c r="C360" s="33"/>
      <c r="D360" s="33"/>
      <c r="E360" s="33"/>
      <c r="F360" s="33"/>
      <c r="G360" s="34">
        <f t="shared" si="0"/>
        <v>3526236.5</v>
      </c>
      <c r="H360" s="34">
        <f t="shared" si="0"/>
        <v>1017548</v>
      </c>
      <c r="I360" s="34">
        <f t="shared" si="0"/>
        <v>888350</v>
      </c>
      <c r="J360" s="32" t="e">
        <f>G360+#REF!</f>
        <v>#REF!</v>
      </c>
    </row>
    <row r="361" spans="1:249" ht="12.75">
      <c r="A361" s="35"/>
      <c r="B361" s="35"/>
      <c r="C361" s="35"/>
      <c r="D361" s="35"/>
      <c r="E361" s="35"/>
      <c r="F361" s="35"/>
      <c r="G361" s="34">
        <f>SUM(G351:G360)</f>
        <v>52880845.4</v>
      </c>
      <c r="H361" s="34">
        <f>SUM(H351:H360)</f>
        <v>31226100</v>
      </c>
      <c r="I361" s="34">
        <f>SUM(I351:I360)</f>
        <v>26121100</v>
      </c>
      <c r="J361" s="32" t="e">
        <f>SUM(J351:J360)</f>
        <v>#REF!</v>
      </c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6"/>
      <c r="EE361" s="36"/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36"/>
      <c r="FE361" s="36"/>
      <c r="FF361" s="36"/>
      <c r="FG361" s="36"/>
      <c r="FH361" s="36"/>
      <c r="FI361" s="36"/>
      <c r="FJ361" s="36"/>
      <c r="FK361" s="36"/>
      <c r="FL361" s="36"/>
      <c r="FM361" s="36"/>
      <c r="FN361" s="36"/>
      <c r="FO361" s="36"/>
      <c r="FP361" s="36"/>
      <c r="FQ361" s="36"/>
      <c r="FR361" s="36"/>
      <c r="FS361" s="36"/>
      <c r="FT361" s="36"/>
      <c r="FU361" s="36"/>
      <c r="FV361" s="36"/>
      <c r="FW361" s="36"/>
      <c r="FX361" s="36"/>
      <c r="FY361" s="36"/>
      <c r="FZ361" s="36"/>
      <c r="GA361" s="36"/>
      <c r="GB361" s="36"/>
      <c r="GC361" s="36"/>
      <c r="GD361" s="36"/>
      <c r="GE361" s="36"/>
      <c r="GF361" s="36"/>
      <c r="GG361" s="36"/>
      <c r="GH361" s="36"/>
      <c r="GI361" s="36"/>
      <c r="GJ361" s="36"/>
      <c r="GK361" s="36"/>
      <c r="GL361" s="36"/>
      <c r="GM361" s="36"/>
      <c r="GN361" s="36"/>
      <c r="GO361" s="36"/>
      <c r="GP361" s="36"/>
      <c r="GQ361" s="36"/>
      <c r="GR361" s="36"/>
      <c r="GS361" s="36"/>
      <c r="GT361" s="36"/>
      <c r="GU361" s="36"/>
      <c r="GV361" s="36"/>
      <c r="GW361" s="36"/>
      <c r="GX361" s="36"/>
      <c r="GY361" s="36"/>
      <c r="GZ361" s="36"/>
      <c r="HA361" s="36"/>
      <c r="HB361" s="36"/>
      <c r="HC361" s="36"/>
      <c r="HD361" s="36"/>
      <c r="HE361" s="36"/>
      <c r="HF361" s="36"/>
      <c r="HG361" s="36"/>
      <c r="HH361" s="36"/>
      <c r="HI361" s="36"/>
      <c r="HJ361" s="36"/>
      <c r="HK361" s="36"/>
      <c r="HL361" s="36"/>
      <c r="HM361" s="36"/>
      <c r="HN361" s="36"/>
      <c r="HO361" s="36"/>
      <c r="HP361" s="36"/>
      <c r="HQ361" s="36"/>
      <c r="HR361" s="36"/>
      <c r="HS361" s="36"/>
      <c r="HT361" s="36"/>
      <c r="HU361" s="36"/>
      <c r="HV361" s="36"/>
      <c r="HW361" s="36"/>
      <c r="HX361" s="36"/>
      <c r="HY361" s="36"/>
      <c r="HZ361" s="36"/>
      <c r="IA361" s="36"/>
      <c r="IB361" s="36"/>
      <c r="IC361" s="36"/>
      <c r="ID361" s="36"/>
      <c r="IE361" s="36"/>
      <c r="IF361" s="36"/>
      <c r="IG361" s="36"/>
      <c r="IH361" s="36"/>
      <c r="II361" s="36"/>
      <c r="IJ361" s="36"/>
      <c r="IK361" s="36"/>
      <c r="IL361" s="36"/>
      <c r="IM361" s="36"/>
      <c r="IN361" s="36"/>
      <c r="IO361" s="36"/>
    </row>
    <row r="362" spans="7:10" ht="12.75">
      <c r="G362" s="37">
        <v>45748528.67</v>
      </c>
      <c r="H362" s="6">
        <v>26090400</v>
      </c>
      <c r="I362" s="6">
        <v>26090400</v>
      </c>
      <c r="J362" s="32"/>
    </row>
    <row r="363" spans="7:9" ht="12.75">
      <c r="G363" s="38">
        <f>G349-G362</f>
        <v>7132316.730000004</v>
      </c>
      <c r="H363" s="38">
        <f>H349-H362</f>
        <v>5135700</v>
      </c>
      <c r="I363" s="38">
        <f>I349-I362</f>
        <v>30700</v>
      </c>
    </row>
    <row r="364" ht="12.75">
      <c r="G364" s="6">
        <v>52880845.4</v>
      </c>
    </row>
    <row r="365" ht="12.75">
      <c r="G365" s="38">
        <f>G349-G364</f>
        <v>0</v>
      </c>
    </row>
  </sheetData>
  <sheetProtection/>
  <mergeCells count="8">
    <mergeCell ref="E1:I1"/>
    <mergeCell ref="E2:I2"/>
    <mergeCell ref="A3:I3"/>
    <mergeCell ref="A4:I4"/>
    <mergeCell ref="A5:A6"/>
    <mergeCell ref="B5:F5"/>
    <mergeCell ref="G5:G6"/>
    <mergeCell ref="H5:I5"/>
  </mergeCells>
  <printOptions/>
  <pageMargins left="1.1023622047244095" right="0.31496062992125984" top="0.15748031496062992" bottom="0.15748031496062992" header="0.31496062992125984" footer="0.31496062992125984"/>
  <pageSetup horizontalDpi="600" verticalDpi="600" orientation="portrait" paperSize="9" scale="7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2023-11-16T05:38:31Z</cp:lastPrinted>
  <dcterms:created xsi:type="dcterms:W3CDTF">2023-11-02T08:11:52Z</dcterms:created>
  <dcterms:modified xsi:type="dcterms:W3CDTF">2023-11-16T07:08:34Z</dcterms:modified>
  <cp:category/>
  <cp:version/>
  <cp:contentType/>
  <cp:contentStatus/>
</cp:coreProperties>
</file>