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075" windowHeight="11835" activeTab="2"/>
  </bookViews>
  <sheets>
    <sheet name="Прил1 " sheetId="1" r:id="rId1"/>
    <sheet name="Прил 2" sheetId="2" r:id="rId2"/>
    <sheet name="прил 3" sheetId="3" r:id="rId3"/>
  </sheets>
  <definedNames>
    <definedName name="_xlnm.Print_Titles" localSheetId="2">'прил 3'!$8:$8</definedName>
    <definedName name="_xlnm.Print_Titles" localSheetId="0">'Прил1 '!$8:$8</definedName>
    <definedName name="_xlnm.Print_Area" localSheetId="2">'прил 3'!$A$1:$I$350</definedName>
  </definedNames>
  <calcPr fullCalcOnLoad="1"/>
</workbook>
</file>

<file path=xl/sharedStrings.xml><?xml version="1.0" encoding="utf-8"?>
<sst xmlns="http://schemas.openxmlformats.org/spreadsheetml/2006/main" count="1669" uniqueCount="298">
  <si>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</si>
  <si>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</si>
  <si>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</si>
  <si>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</si>
  <si>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</si>
  <si>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</si>
  <si>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</si>
  <si>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</si>
  <si>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</si>
  <si>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</si>
  <si>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</si>
  <si>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</si>
  <si>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</si>
  <si>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</si>
  <si>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</si>
  <si>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6</t>
  </si>
  <si>
    <t>7</t>
  </si>
  <si>
    <t>8</t>
  </si>
  <si>
    <t>9</t>
  </si>
  <si>
    <t>074</t>
  </si>
  <si>
    <t>0701</t>
  </si>
  <si>
    <t>0710144300</t>
  </si>
  <si>
    <t>611</t>
  </si>
  <si>
    <t>2934</t>
  </si>
  <si>
    <t>621</t>
  </si>
  <si>
    <t>0710181001</t>
  </si>
  <si>
    <t>612</t>
  </si>
  <si>
    <t>622</t>
  </si>
  <si>
    <t>0710181003</t>
  </si>
  <si>
    <t>0710181004</t>
  </si>
  <si>
    <t>071018100У</t>
  </si>
  <si>
    <t>071018100Ф</t>
  </si>
  <si>
    <t>07101S4500</t>
  </si>
  <si>
    <t>2966</t>
  </si>
  <si>
    <t>07101S8500</t>
  </si>
  <si>
    <t>2938</t>
  </si>
  <si>
    <t>0702</t>
  </si>
  <si>
    <t>0710153032</t>
  </si>
  <si>
    <t>22-53030-00000-00000</t>
  </si>
  <si>
    <t>07101L3042</t>
  </si>
  <si>
    <t>22-53040-00000-00002</t>
  </si>
  <si>
    <t>07101S4600</t>
  </si>
  <si>
    <t>2951</t>
  </si>
  <si>
    <t>071E250972</t>
  </si>
  <si>
    <t>22-50970-00000-00000</t>
  </si>
  <si>
    <t>0703</t>
  </si>
  <si>
    <t>0720181001</t>
  </si>
  <si>
    <t>0720181004</t>
  </si>
  <si>
    <t>072018100У</t>
  </si>
  <si>
    <t>072018100Ф</t>
  </si>
  <si>
    <t>07201S8500</t>
  </si>
  <si>
    <t>0720382001</t>
  </si>
  <si>
    <t>631</t>
  </si>
  <si>
    <t>0707</t>
  </si>
  <si>
    <t>0720247698</t>
  </si>
  <si>
    <t>323</t>
  </si>
  <si>
    <t>2936</t>
  </si>
  <si>
    <t>0709</t>
  </si>
  <si>
    <t>073А000001</t>
  </si>
  <si>
    <t>121</t>
  </si>
  <si>
    <t>129</t>
  </si>
  <si>
    <t>073А0S8500</t>
  </si>
  <si>
    <t>073Ц100001</t>
  </si>
  <si>
    <t>111</t>
  </si>
  <si>
    <t>119</t>
  </si>
  <si>
    <t>244</t>
  </si>
  <si>
    <t>852</t>
  </si>
  <si>
    <t>073Ц144300</t>
  </si>
  <si>
    <t>073Ц1S8500</t>
  </si>
  <si>
    <t>073Ц1S9600</t>
  </si>
  <si>
    <t>2822</t>
  </si>
  <si>
    <t>1004</t>
  </si>
  <si>
    <t>0710143895</t>
  </si>
  <si>
    <t>2935</t>
  </si>
  <si>
    <t>313</t>
  </si>
  <si>
    <t>092</t>
  </si>
  <si>
    <t>0106</t>
  </si>
  <si>
    <t>032А000001</t>
  </si>
  <si>
    <t>122</t>
  </si>
  <si>
    <t>032А00000П</t>
  </si>
  <si>
    <t>032А0S9600</t>
  </si>
  <si>
    <t>0111</t>
  </si>
  <si>
    <t>9900000007</t>
  </si>
  <si>
    <t>870</t>
  </si>
  <si>
    <t>990000Ш500</t>
  </si>
  <si>
    <t>0801</t>
  </si>
  <si>
    <t>0310103003</t>
  </si>
  <si>
    <t>540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</si>
  <si>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</si>
  <si>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</si>
  <si>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</si>
  <si>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</si>
  <si>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</si>
  <si>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</si>
  <si>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</si>
  <si>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</si>
  <si>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521</t>
  </si>
  <si>
    <t>03101S9600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</si>
  <si>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</si>
  <si>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</si>
  <si>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</si>
  <si>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</si>
  <si>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</si>
  <si>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</si>
  <si>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</si>
  <si>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</si>
  <si>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</si>
  <si>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015А00000П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</si>
  <si>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</si>
  <si>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</si>
  <si>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</si>
  <si>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</si>
  <si>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</si>
  <si>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</si>
  <si>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</si>
  <si>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</si>
  <si>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</si>
  <si>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22-370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</si>
  <si>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</si>
  <si>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</si>
  <si>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</si>
  <si>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</si>
  <si>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</si>
  <si>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</si>
  <si>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</si>
  <si>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</si>
  <si>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</si>
  <si>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</si>
  <si>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</si>
  <si>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</si>
  <si>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</si>
  <si>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0309</t>
  </si>
  <si>
    <t>0410800019</t>
  </si>
  <si>
    <t>046Ц100001</t>
  </si>
  <si>
    <t>046Ц1S8500</t>
  </si>
  <si>
    <t>0314</t>
  </si>
  <si>
    <t>0410100041</t>
  </si>
  <si>
    <t>0410200040</t>
  </si>
  <si>
    <t>04102S2330</t>
  </si>
  <si>
    <t>2995</t>
  </si>
  <si>
    <t>0405</t>
  </si>
  <si>
    <t>0110101004</t>
  </si>
  <si>
    <t>0110140100</t>
  </si>
  <si>
    <t>2942</t>
  </si>
  <si>
    <t>0110140300</t>
  </si>
  <si>
    <t>2941</t>
  </si>
  <si>
    <t>0409</t>
  </si>
  <si>
    <t>04301200Д0</t>
  </si>
  <si>
    <t>0412</t>
  </si>
  <si>
    <t>0120142900</t>
  </si>
  <si>
    <t>2949</t>
  </si>
  <si>
    <t>0120301002</t>
  </si>
  <si>
    <t>0130101001</t>
  </si>
  <si>
    <t>811</t>
  </si>
  <si>
    <t>0130102007</t>
  </si>
  <si>
    <t>0610100013</t>
  </si>
  <si>
    <t>247</t>
  </si>
  <si>
    <t>851</t>
  </si>
  <si>
    <t>063Ц100001</t>
  </si>
  <si>
    <t>112</t>
  </si>
  <si>
    <t>063Ц1S8500</t>
  </si>
  <si>
    <t>063Ц1S9600</t>
  </si>
  <si>
    <t>9900000009</t>
  </si>
  <si>
    <t>853</t>
  </si>
  <si>
    <t>9900000043</t>
  </si>
  <si>
    <t>0502</t>
  </si>
  <si>
    <t>0420200018</t>
  </si>
  <si>
    <t>0420241900</t>
  </si>
  <si>
    <t>2969</t>
  </si>
  <si>
    <t>04202S1300</t>
  </si>
  <si>
    <t>2975</t>
  </si>
  <si>
    <t>0420404005</t>
  </si>
  <si>
    <t>0420604004</t>
  </si>
  <si>
    <t>046Ц2000Д1</t>
  </si>
  <si>
    <t>046Ц2000ДУ</t>
  </si>
  <si>
    <t>046Ц2S9600</t>
  </si>
  <si>
    <t>0503</t>
  </si>
  <si>
    <t>0420600016</t>
  </si>
  <si>
    <t>1001</t>
  </si>
  <si>
    <t>0220202006</t>
  </si>
  <si>
    <t>312</t>
  </si>
  <si>
    <t>1003</t>
  </si>
  <si>
    <t>01102L5761</t>
  </si>
  <si>
    <t>322</t>
  </si>
  <si>
    <t>22-55760-00000-03000</t>
  </si>
  <si>
    <t>02401L4970</t>
  </si>
  <si>
    <t>22-54970-00000-00000</t>
  </si>
  <si>
    <t>1202</t>
  </si>
  <si>
    <t>0140181001</t>
  </si>
  <si>
    <t>014018100Ф</t>
  </si>
  <si>
    <t>01401S8500</t>
  </si>
  <si>
    <t>810</t>
  </si>
  <si>
    <t>0240102001</t>
  </si>
  <si>
    <t>0210181001</t>
  </si>
  <si>
    <t>021018100У</t>
  </si>
  <si>
    <t>021018100Ф</t>
  </si>
  <si>
    <t>02101L4670</t>
  </si>
  <si>
    <t>22-54670-00000-00000</t>
  </si>
  <si>
    <t>02101S8500</t>
  </si>
  <si>
    <t>0210681001</t>
  </si>
  <si>
    <t>021068100У</t>
  </si>
  <si>
    <t>021068100Ф</t>
  </si>
  <si>
    <t>02106L5192</t>
  </si>
  <si>
    <t>22-Б98</t>
  </si>
  <si>
    <t>021A154540</t>
  </si>
  <si>
    <t>22-55194-00000-00000</t>
  </si>
  <si>
    <t>021A255195</t>
  </si>
  <si>
    <t>0804</t>
  </si>
  <si>
    <t>025А000001</t>
  </si>
  <si>
    <t>025А0S8500</t>
  </si>
  <si>
    <t>025Ц100001</t>
  </si>
  <si>
    <t>025Ц10000У</t>
  </si>
  <si>
    <t>025Ц1S8500</t>
  </si>
  <si>
    <t>025Ц1S9600</t>
  </si>
  <si>
    <t>1006</t>
  </si>
  <si>
    <t>0220102003</t>
  </si>
  <si>
    <t>1101</t>
  </si>
  <si>
    <t>0240200046</t>
  </si>
  <si>
    <t>999</t>
  </si>
  <si>
    <t>9999</t>
  </si>
  <si>
    <t>9999999999</t>
  </si>
  <si>
    <t>Итого</t>
  </si>
  <si>
    <t>Приложение №3</t>
  </si>
  <si>
    <t>Наименование сельского поселения</t>
  </si>
  <si>
    <t>Коды бюджетной классификации</t>
  </si>
  <si>
    <t xml:space="preserve"> раздел</t>
  </si>
  <si>
    <t>подраздел</t>
  </si>
  <si>
    <t>ЦСР</t>
  </si>
  <si>
    <t>ВР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</si>
  <si>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</si>
  <si>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</si>
  <si>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</si>
  <si>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</si>
  <si>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</si>
  <si>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</si>
  <si>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</si>
  <si>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</si>
  <si>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</si>
  <si>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</si>
  <si>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</si>
  <si>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</si>
  <si>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</si>
  <si>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</si>
  <si>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</si>
  <si>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08</t>
  </si>
  <si>
    <t>ВСЕГО  по СП</t>
  </si>
  <si>
    <t>Нераспределенная сумма</t>
  </si>
  <si>
    <t>Приложение  №2</t>
  </si>
  <si>
    <t>Наименование источника</t>
  </si>
  <si>
    <t>Код бюджетной классификации</t>
  </si>
  <si>
    <t>Утвержденная сумма</t>
  </si>
  <si>
    <t>текущий финансовый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</si>
  <si>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</si>
  <si>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</si>
  <si>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</si>
  <si>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</si>
  <si>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</si>
  <si>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</si>
  <si>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</si>
  <si>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</si>
  <si>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</si>
  <si>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092 01 0200 00 05 0000 810</t>
  </si>
  <si>
    <t>000 01 03 00 00 00 0000 000</t>
  </si>
  <si>
    <t>000 01 03 00 00 00 0000 700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</si>
  <si>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</si>
  <si>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</si>
  <si>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</si>
  <si>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</si>
  <si>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</si>
  <si>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</si>
  <si>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</si>
  <si>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</si>
  <si>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</si>
  <si>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</si>
  <si>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</si>
  <si>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</si>
  <si>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</si>
  <si>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</si>
  <si>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</si>
  <si>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</si>
  <si>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 xml:space="preserve">в том числе, </t>
  </si>
  <si>
    <t>202  16001</t>
  </si>
  <si>
    <t>202  29999</t>
  </si>
  <si>
    <t>202  40014</t>
  </si>
  <si>
    <t>202  45160</t>
  </si>
  <si>
    <t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и на плановый период 2023 и 2024годов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</si>
  <si>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</si>
  <si>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Приложение  №1</t>
  </si>
  <si>
    <t xml:space="preserve">решение Совета депутатов муниципального образования "Онгудайский район" О бюджете  муниципального образования "Онгудайский район"  на  2022 год и на плановый период 2023 и 2024 годов" от 23.12.2021г.  №31-2  </t>
  </si>
  <si>
    <t>Сводная бюджетная роспись бюджета муниципального образования  "Онгудайский район" по источникам финансирования дефицита бюджета  на  2022 год и на плановый период 2023 и 2024годов</t>
  </si>
  <si>
    <t>Сводная бюджетная роспись расходов  бюджета муниципального образования  "Онгудайский район"    на  2022 год и на плановый период 2023 и 2024 годов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</si>
  <si>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</si>
  <si>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  в валюте Российской Федерации</t>
  </si>
  <si>
    <t>Погашение 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</si>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</sst>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9" fontId="44" fillId="20" borderId="1">
      <alignment horizontal="left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56" applyFont="1">
      <alignment/>
      <protection/>
    </xf>
    <xf numFmtId="49" fontId="7" fillId="0" borderId="11" xfId="54" applyNumberFormat="1" applyFont="1" applyFill="1" applyBorder="1" applyAlignment="1">
      <alignment horizontal="left"/>
      <protection/>
    </xf>
    <xf numFmtId="0" fontId="7" fillId="0" borderId="11" xfId="53" applyFont="1" applyBorder="1" applyAlignment="1">
      <alignment wrapText="1"/>
      <protection/>
    </xf>
    <xf numFmtId="2" fontId="7" fillId="0" borderId="11" xfId="56" applyNumberFormat="1" applyFont="1" applyFill="1" applyBorder="1" applyAlignment="1">
      <alignment horizontal="center"/>
      <protection/>
    </xf>
    <xf numFmtId="0" fontId="7" fillId="0" borderId="0" xfId="56" applyFont="1">
      <alignment/>
      <protection/>
    </xf>
    <xf numFmtId="49" fontId="4" fillId="0" borderId="11" xfId="54" applyNumberFormat="1" applyFont="1" applyFill="1" applyBorder="1" applyAlignment="1">
      <alignment horizontal="left"/>
      <protection/>
    </xf>
    <xf numFmtId="2" fontId="4" fillId="0" borderId="11" xfId="56" applyNumberFormat="1" applyFont="1" applyBorder="1" applyAlignment="1">
      <alignment horizontal="center" wrapText="1"/>
      <protection/>
    </xf>
    <xf numFmtId="0" fontId="4" fillId="0" borderId="11" xfId="53" applyFont="1" applyBorder="1" applyAlignment="1">
      <alignment wrapText="1"/>
      <protection/>
    </xf>
    <xf numFmtId="2" fontId="4" fillId="0" borderId="11" xfId="56" applyNumberFormat="1" applyFont="1" applyFill="1" applyBorder="1" applyAlignment="1">
      <alignment horizontal="center" wrapText="1"/>
      <protection/>
    </xf>
    <xf numFmtId="0" fontId="4" fillId="0" borderId="0" xfId="56" applyFont="1">
      <alignment/>
      <protection/>
    </xf>
    <xf numFmtId="2" fontId="4" fillId="0" borderId="11" xfId="56" applyNumberFormat="1" applyFont="1" applyFill="1" applyBorder="1" applyAlignment="1">
      <alignment horizontal="center"/>
      <protection/>
    </xf>
    <xf numFmtId="2" fontId="4" fillId="0" borderId="11" xfId="56" applyNumberFormat="1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0" fontId="4" fillId="0" borderId="0" xfId="56" applyFont="1" applyFill="1">
      <alignment/>
      <protection/>
    </xf>
    <xf numFmtId="0" fontId="7" fillId="0" borderId="11" xfId="53" applyFont="1" applyFill="1" applyBorder="1" applyAlignment="1">
      <alignment wrapText="1"/>
      <protection/>
    </xf>
    <xf numFmtId="0" fontId="4" fillId="0" borderId="11" xfId="56" applyFont="1" applyFill="1" applyBorder="1">
      <alignment/>
      <protection/>
    </xf>
    <xf numFmtId="0" fontId="7" fillId="0" borderId="11" xfId="56" applyFont="1" applyBorder="1">
      <alignment/>
      <protection/>
    </xf>
    <xf numFmtId="2" fontId="4" fillId="0" borderId="0" xfId="56" applyNumberFormat="1" applyFont="1">
      <alignment/>
      <protection/>
    </xf>
    <xf numFmtId="2" fontId="4" fillId="0" borderId="11" xfId="56" applyNumberFormat="1" applyFont="1" applyFill="1" applyBorder="1">
      <alignment/>
      <protection/>
    </xf>
    <xf numFmtId="0" fontId="0" fillId="0" borderId="0" xfId="60" applyFont="1">
      <alignment/>
      <protection/>
    </xf>
    <xf numFmtId="0" fontId="0" fillId="0" borderId="0" xfId="60" applyAlignment="1">
      <alignment horizontal="left" vertical="top"/>
      <protection/>
    </xf>
    <xf numFmtId="0" fontId="0" fillId="0" borderId="0" xfId="60" applyFont="1" applyBorder="1">
      <alignment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0" fillId="0" borderId="0" xfId="56" applyNumberFormat="1">
      <alignment/>
      <protection/>
    </xf>
    <xf numFmtId="0" fontId="13" fillId="34" borderId="11" xfId="56" applyNumberFormat="1" applyFont="1" applyFill="1" applyBorder="1" applyAlignment="1">
      <alignment horizontal="center" vertical="center" wrapText="1"/>
      <protection/>
    </xf>
    <xf numFmtId="2" fontId="6" fillId="0" borderId="11" xfId="56" applyNumberFormat="1" applyFont="1" applyBorder="1" applyAlignment="1">
      <alignment vertical="center" wrapText="1"/>
      <protection/>
    </xf>
    <xf numFmtId="2" fontId="6" fillId="0" borderId="11" xfId="56" applyNumberFormat="1" applyFont="1" applyBorder="1" applyAlignment="1">
      <alignment horizontal="center" vertical="center" wrapText="1"/>
      <protection/>
    </xf>
    <xf numFmtId="4" fontId="6" fillId="0" borderId="11" xfId="56" applyNumberFormat="1" applyFont="1" applyBorder="1" applyAlignment="1">
      <alignment horizontal="center" vertical="center" wrapText="1"/>
      <protection/>
    </xf>
    <xf numFmtId="0" fontId="14" fillId="0" borderId="0" xfId="56" applyFont="1" applyFill="1" applyAlignment="1">
      <alignment vertical="top"/>
      <protection/>
    </xf>
    <xf numFmtId="2" fontId="14" fillId="0" borderId="11" xfId="56" applyNumberFormat="1" applyFont="1" applyBorder="1" applyAlignment="1">
      <alignment vertical="center" wrapText="1"/>
      <protection/>
    </xf>
    <xf numFmtId="2" fontId="14" fillId="0" borderId="11" xfId="56" applyNumberFormat="1" applyFont="1" applyBorder="1" applyAlignment="1">
      <alignment horizontal="center" vertical="center" wrapText="1"/>
      <protection/>
    </xf>
    <xf numFmtId="4" fontId="14" fillId="0" borderId="11" xfId="56" applyNumberFormat="1" applyFont="1" applyBorder="1" applyAlignment="1">
      <alignment horizontal="center" vertical="center" wrapText="1"/>
      <protection/>
    </xf>
    <xf numFmtId="0" fontId="6" fillId="0" borderId="0" xfId="56" applyFont="1" applyFill="1" applyAlignment="1">
      <alignment vertical="top"/>
      <protection/>
    </xf>
    <xf numFmtId="4" fontId="14" fillId="0" borderId="11" xfId="56" applyNumberFormat="1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1" xfId="70" applyFont="1" applyFill="1" applyBorder="1" applyAlignment="1">
      <alignment horizontal="center" vertical="top" wrapText="1"/>
    </xf>
    <xf numFmtId="0" fontId="14" fillId="0" borderId="11" xfId="56" applyFont="1" applyFill="1" applyBorder="1" applyAlignment="1">
      <alignment vertical="top"/>
      <protection/>
    </xf>
    <xf numFmtId="164" fontId="6" fillId="0" borderId="11" xfId="70" applyFont="1" applyFill="1" applyBorder="1" applyAlignment="1">
      <alignment horizontal="center" vertical="top" wrapText="1"/>
    </xf>
    <xf numFmtId="0" fontId="14" fillId="0" borderId="0" xfId="56" applyFont="1" applyFill="1" applyBorder="1" applyAlignment="1">
      <alignment horizontal="center" vertical="top" wrapText="1"/>
      <protection/>
    </xf>
    <xf numFmtId="164" fontId="14" fillId="0" borderId="0" xfId="70" applyFont="1" applyFill="1" applyBorder="1" applyAlignment="1">
      <alignment horizontal="center" vertical="top" wrapText="1"/>
    </xf>
    <xf numFmtId="0" fontId="14" fillId="0" borderId="0" xfId="56" applyFont="1" applyFill="1" applyBorder="1" applyAlignment="1">
      <alignment vertical="top"/>
      <protection/>
    </xf>
    <xf numFmtId="164" fontId="14" fillId="0" borderId="0" xfId="70" applyFont="1" applyFill="1" applyBorder="1" applyAlignment="1">
      <alignment horizontal="center" vertical="top"/>
    </xf>
    <xf numFmtId="164" fontId="14" fillId="0" borderId="0" xfId="70" applyFont="1" applyFill="1" applyAlignment="1">
      <alignment horizontal="center" vertical="top"/>
    </xf>
    <xf numFmtId="164" fontId="14" fillId="0" borderId="0" xfId="70" applyFont="1" applyFill="1" applyAlignment="1">
      <alignment vertical="top"/>
    </xf>
    <xf numFmtId="2" fontId="7" fillId="35" borderId="11" xfId="56" applyNumberFormat="1" applyFont="1" applyFill="1" applyBorder="1" applyAlignment="1">
      <alignment horizontal="center"/>
      <protection/>
    </xf>
    <xf numFmtId="2" fontId="7" fillId="0" borderId="0" xfId="56" applyNumberFormat="1" applyFont="1">
      <alignment/>
      <protection/>
    </xf>
    <xf numFmtId="0" fontId="4" fillId="0" borderId="11" xfId="56" applyFont="1" applyBorder="1">
      <alignment/>
      <protection/>
    </xf>
    <xf numFmtId="2" fontId="4" fillId="0" borderId="11" xfId="56" applyNumberFormat="1" applyFont="1" applyBorder="1">
      <alignment/>
      <protection/>
    </xf>
    <xf numFmtId="2" fontId="4" fillId="0" borderId="11" xfId="0" applyNumberFormat="1" applyFont="1" applyBorder="1" applyAlignment="1">
      <alignment horizontal="center" wrapText="1"/>
    </xf>
    <xf numFmtId="0" fontId="0" fillId="0" borderId="0" xfId="56" applyAlignment="1">
      <alignment wrapText="1"/>
      <protection/>
    </xf>
    <xf numFmtId="3" fontId="17" fillId="34" borderId="11" xfId="56" applyNumberFormat="1" applyFont="1" applyFill="1" applyBorder="1" applyAlignment="1">
      <alignment horizontal="center" vertical="center" wrapText="1"/>
      <protection/>
    </xf>
    <xf numFmtId="0" fontId="15" fillId="34" borderId="11" xfId="56" applyNumberFormat="1" applyFont="1" applyFill="1" applyBorder="1" applyAlignment="1">
      <alignment horizontal="center" vertical="center" wrapText="1"/>
      <protection/>
    </xf>
    <xf numFmtId="0" fontId="15" fillId="0" borderId="11" xfId="56" applyNumberFormat="1" applyFont="1" applyFill="1" applyBorder="1" applyAlignment="1">
      <alignment horizontal="center" vertical="center" wrapText="1"/>
      <protection/>
    </xf>
    <xf numFmtId="0" fontId="16" fillId="0" borderId="11" xfId="56" applyFont="1" applyFill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 vertical="center"/>
      <protection/>
    </xf>
    <xf numFmtId="0" fontId="16" fillId="0" borderId="0" xfId="56" applyFont="1" applyAlignment="1">
      <alignment vertical="center"/>
      <protection/>
    </xf>
    <xf numFmtId="0" fontId="16" fillId="0" borderId="0" xfId="56" applyFont="1">
      <alignment/>
      <protection/>
    </xf>
    <xf numFmtId="0" fontId="16" fillId="0" borderId="0" xfId="60" applyFont="1">
      <alignment/>
      <protection/>
    </xf>
    <xf numFmtId="0" fontId="16" fillId="0" borderId="0" xfId="56" applyNumberFormat="1" applyFont="1">
      <alignment/>
      <protection/>
    </xf>
    <xf numFmtId="0" fontId="61" fillId="0" borderId="0" xfId="56" applyFont="1">
      <alignment/>
      <protection/>
    </xf>
    <xf numFmtId="0" fontId="16" fillId="0" borderId="0" xfId="56" applyFont="1" applyFill="1">
      <alignment/>
      <protection/>
    </xf>
    <xf numFmtId="0" fontId="18" fillId="0" borderId="11" xfId="56" applyFont="1" applyBorder="1" applyAlignment="1">
      <alignment horizontal="center" vertical="center" wrapText="1"/>
      <protection/>
    </xf>
    <xf numFmtId="49" fontId="18" fillId="0" borderId="11" xfId="54" applyNumberFormat="1" applyFont="1" applyFill="1" applyBorder="1" applyAlignment="1">
      <alignment horizontal="left"/>
      <protection/>
    </xf>
    <xf numFmtId="2" fontId="16" fillId="0" borderId="0" xfId="56" applyNumberFormat="1" applyFont="1">
      <alignment/>
      <protection/>
    </xf>
    <xf numFmtId="0" fontId="18" fillId="0" borderId="11" xfId="53" applyFont="1" applyFill="1" applyBorder="1" applyAlignment="1">
      <alignment wrapText="1"/>
      <protection/>
    </xf>
    <xf numFmtId="2" fontId="18" fillId="0" borderId="12" xfId="56" applyNumberFormat="1" applyFont="1" applyFill="1" applyBorder="1">
      <alignment/>
      <protection/>
    </xf>
    <xf numFmtId="0" fontId="18" fillId="0" borderId="11" xfId="56" applyFont="1" applyFill="1" applyBorder="1">
      <alignment/>
      <protection/>
    </xf>
    <xf numFmtId="2" fontId="18" fillId="0" borderId="11" xfId="56" applyNumberFormat="1" applyFont="1" applyFill="1" applyBorder="1">
      <alignment/>
      <protection/>
    </xf>
    <xf numFmtId="2" fontId="16" fillId="35" borderId="0" xfId="56" applyNumberFormat="1" applyFont="1" applyFill="1">
      <alignment/>
      <protection/>
    </xf>
    <xf numFmtId="0" fontId="18" fillId="0" borderId="11" xfId="56" applyFont="1" applyBorder="1">
      <alignment/>
      <protection/>
    </xf>
    <xf numFmtId="2" fontId="18" fillId="0" borderId="0" xfId="56" applyNumberFormat="1" applyFont="1">
      <alignment/>
      <protection/>
    </xf>
    <xf numFmtId="0" fontId="18" fillId="0" borderId="0" xfId="56" applyFont="1">
      <alignment/>
      <protection/>
    </xf>
    <xf numFmtId="0" fontId="16" fillId="0" borderId="0" xfId="54" applyFont="1" applyFill="1">
      <alignment/>
      <protection/>
    </xf>
    <xf numFmtId="2" fontId="16" fillId="0" borderId="0" xfId="56" applyNumberFormat="1" applyFont="1" applyFill="1">
      <alignment/>
      <protection/>
    </xf>
    <xf numFmtId="0" fontId="16" fillId="0" borderId="11" xfId="60" applyFont="1" applyBorder="1" applyAlignment="1">
      <alignment horizontal="center" vertical="center" wrapText="1"/>
      <protection/>
    </xf>
    <xf numFmtId="49" fontId="62" fillId="20" borderId="11" xfId="33" applyNumberFormat="1" applyFont="1" applyBorder="1" applyProtection="1">
      <alignment horizontal="left" wrapText="1"/>
      <protection/>
    </xf>
    <xf numFmtId="0" fontId="4" fillId="0" borderId="0" xfId="60" applyFont="1" applyAlignment="1">
      <alignment horizontal="left" vertical="top"/>
      <protection/>
    </xf>
    <xf numFmtId="0" fontId="4" fillId="0" borderId="0" xfId="0" applyNumberFormat="1" applyFont="1" applyBorder="1" applyAlignment="1">
      <alignment/>
    </xf>
    <xf numFmtId="0" fontId="19" fillId="34" borderId="0" xfId="0" applyNumberFormat="1" applyFont="1" applyFill="1" applyBorder="1" applyAlignment="1">
      <alignment horizontal="right" vertical="center"/>
    </xf>
    <xf numFmtId="0" fontId="19" fillId="34" borderId="0" xfId="0" applyNumberFormat="1" applyFont="1" applyFill="1" applyBorder="1" applyAlignment="1">
      <alignment horizontal="center" vertical="center"/>
    </xf>
    <xf numFmtId="0" fontId="4" fillId="0" borderId="0" xfId="60" applyFont="1">
      <alignment/>
      <protection/>
    </xf>
    <xf numFmtId="0" fontId="4" fillId="0" borderId="0" xfId="56" applyNumberFormat="1" applyFont="1">
      <alignment/>
      <protection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0" fillId="34" borderId="0" xfId="0" applyNumberFormat="1" applyFont="1" applyFill="1" applyBorder="1" applyAlignment="1">
      <alignment horizontal="right" vertical="center"/>
    </xf>
    <xf numFmtId="0" fontId="20" fillId="34" borderId="0" xfId="0" applyNumberFormat="1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center" vertical="center" wrapText="1"/>
    </xf>
    <xf numFmtId="0" fontId="20" fillId="34" borderId="11" xfId="0" applyNumberFormat="1" applyFont="1" applyFill="1" applyBorder="1" applyAlignment="1">
      <alignment horizontal="center" vertical="top" wrapText="1"/>
    </xf>
    <xf numFmtId="0" fontId="15" fillId="34" borderId="11" xfId="0" applyNumberFormat="1" applyFont="1" applyFill="1" applyBorder="1" applyAlignment="1">
      <alignment horizontal="center" vertical="top" wrapText="1"/>
    </xf>
    <xf numFmtId="4" fontId="15" fillId="34" borderId="11" xfId="0" applyNumberFormat="1" applyFont="1" applyFill="1" applyBorder="1" applyAlignment="1">
      <alignment horizontal="right" vertical="top" wrapText="1"/>
    </xf>
    <xf numFmtId="0" fontId="15" fillId="34" borderId="11" xfId="0" applyNumberFormat="1" applyFont="1" applyFill="1" applyBorder="1" applyAlignment="1">
      <alignment horizontal="right" vertical="top" wrapText="1"/>
    </xf>
    <xf numFmtId="0" fontId="15" fillId="34" borderId="11" xfId="0" applyNumberFormat="1" applyFont="1" applyFill="1" applyBorder="1" applyAlignment="1">
      <alignment horizontal="right" vertical="top" wrapText="1"/>
    </xf>
    <xf numFmtId="0" fontId="4" fillId="0" borderId="0" xfId="60" applyFont="1" applyAlignment="1">
      <alignment horizontal="left" wrapText="1"/>
      <protection/>
    </xf>
    <xf numFmtId="0" fontId="4" fillId="0" borderId="0" xfId="56" applyFont="1" applyAlignment="1">
      <alignment horizontal="left" wrapText="1"/>
      <protection/>
    </xf>
    <xf numFmtId="49" fontId="4" fillId="0" borderId="0" xfId="60" applyNumberFormat="1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wrapText="1"/>
      <protection/>
    </xf>
    <xf numFmtId="0" fontId="7" fillId="0" borderId="0" xfId="56" applyFont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0" fillId="34" borderId="11" xfId="0" applyNumberFormat="1" applyFont="1" applyFill="1" applyBorder="1" applyAlignment="1">
      <alignment horizontal="center" vertical="center" wrapText="1"/>
    </xf>
    <xf numFmtId="0" fontId="5" fillId="0" borderId="0" xfId="60" applyFont="1" applyAlignment="1">
      <alignment horizontal="left" wrapText="1"/>
      <protection/>
    </xf>
    <xf numFmtId="0" fontId="9" fillId="0" borderId="0" xfId="56" applyFont="1" applyAlignment="1">
      <alignment horizontal="left" wrapText="1"/>
      <protection/>
    </xf>
    <xf numFmtId="0" fontId="10" fillId="0" borderId="0" xfId="60" applyFont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49" fontId="4" fillId="0" borderId="13" xfId="60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2" fontId="6" fillId="0" borderId="14" xfId="56" applyNumberFormat="1" applyFont="1" applyBorder="1" applyAlignment="1">
      <alignment horizontal="center" vertical="center" wrapText="1"/>
      <protection/>
    </xf>
    <xf numFmtId="2" fontId="6" fillId="0" borderId="15" xfId="56" applyNumberFormat="1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2" fontId="6" fillId="0" borderId="16" xfId="56" applyNumberFormat="1" applyFont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left" wrapText="1"/>
      <protection/>
    </xf>
    <xf numFmtId="0" fontId="16" fillId="0" borderId="0" xfId="56" applyFont="1" applyFill="1" applyAlignment="1">
      <alignment horizontal="right" wrapText="1"/>
      <protection/>
    </xf>
    <xf numFmtId="0" fontId="16" fillId="0" borderId="0" xfId="56" applyFont="1" applyAlignment="1">
      <alignment horizontal="right" wrapText="1"/>
      <protection/>
    </xf>
    <xf numFmtId="0" fontId="16" fillId="0" borderId="0" xfId="56" applyFont="1" applyAlignment="1">
      <alignment wrapText="1"/>
      <protection/>
    </xf>
    <xf numFmtId="0" fontId="16" fillId="0" borderId="0" xfId="60" applyFont="1" applyFill="1" applyAlignment="1">
      <alignment horizontal="right" vertical="top" wrapText="1"/>
      <protection/>
    </xf>
    <xf numFmtId="0" fontId="18" fillId="0" borderId="0" xfId="56" applyFont="1" applyAlignment="1">
      <alignment horizontal="center" vertical="center" wrapText="1"/>
      <protection/>
    </xf>
    <xf numFmtId="0" fontId="16" fillId="0" borderId="0" xfId="56" applyFont="1" applyAlignment="1">
      <alignment vertical="center" wrapText="1"/>
      <protection/>
    </xf>
    <xf numFmtId="49" fontId="16" fillId="0" borderId="0" xfId="60" applyNumberFormat="1" applyFont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1" xfId="60" applyFont="1" applyFill="1" applyBorder="1" applyAlignment="1">
      <alignment horizontal="center" vertical="center" wrapText="1"/>
      <protection/>
    </xf>
    <xf numFmtId="0" fontId="16" fillId="0" borderId="11" xfId="56" applyFont="1" applyFill="1" applyBorder="1" applyAlignment="1">
      <alignment horizontal="center" vertical="center" wrapText="1"/>
      <protection/>
    </xf>
    <xf numFmtId="0" fontId="15" fillId="0" borderId="11" xfId="56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18 2 2 2" xfId="55"/>
    <cellStyle name="Обычный 2" xfId="56"/>
    <cellStyle name="Обычный 2 2 2" xfId="57"/>
    <cellStyle name="Обычный 3 31" xfId="58"/>
    <cellStyle name="Обычный 7" xfId="59"/>
    <cellStyle name="Обычный_прил 1,2,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3" xfId="69"/>
    <cellStyle name="Финансовый 2" xfId="70"/>
    <cellStyle name="Финансовый 3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4"/>
  <sheetViews>
    <sheetView view="pageBreakPreview" zoomScaleSheetLayoutView="100" zoomScalePageLayoutView="0" workbookViewId="0" topLeftCell="A179">
      <selection activeCell="E6" sqref="E6:E7"/>
    </sheetView>
  </sheetViews>
  <sheetFormatPr defaultColWidth="9.140625" defaultRowHeight="12.75"/>
  <cols>
    <col min="1" max="1" width="11.421875" style="84" customWidth="1"/>
    <col min="2" max="2" width="7.7109375" style="84" customWidth="1"/>
    <col min="3" max="3" width="15.7109375" style="84" customWidth="1"/>
    <col min="4" max="4" width="7.7109375" style="84" customWidth="1"/>
    <col min="5" max="5" width="10.57421875" style="84" customWidth="1"/>
    <col min="6" max="6" width="14.8515625" style="84" customWidth="1"/>
    <col min="7" max="7" width="15.140625" style="84" customWidth="1"/>
    <col min="8" max="8" width="16.8515625" style="84" customWidth="1"/>
    <col min="9" max="16384" width="9.140625" style="85" customWidth="1"/>
  </cols>
  <sheetData>
    <row r="1" spans="1:8" s="79" customFormat="1" ht="18" customHeight="1">
      <c r="A1" s="81"/>
      <c r="B1" s="81"/>
      <c r="C1" s="81"/>
      <c r="D1" s="81"/>
      <c r="E1" s="81"/>
      <c r="F1" s="78" t="s">
        <v>287</v>
      </c>
      <c r="G1" s="81"/>
      <c r="H1" s="81"/>
    </row>
    <row r="2" spans="1:8" s="79" customFormat="1" ht="72" customHeight="1">
      <c r="A2" s="80"/>
      <c r="B2" s="80"/>
      <c r="C2" s="80"/>
      <c r="D2" s="80"/>
      <c r="E2" s="80"/>
      <c r="F2" s="95" t="s">
        <v>286</v>
      </c>
      <c r="G2" s="96"/>
      <c r="H2" s="96"/>
    </row>
    <row r="3" spans="1:8" s="79" customFormat="1" ht="51" customHeight="1">
      <c r="A3" s="100" t="s">
        <v>290</v>
      </c>
      <c r="B3" s="101"/>
      <c r="C3" s="101"/>
      <c r="D3" s="101"/>
      <c r="E3" s="101"/>
      <c r="F3" s="101"/>
      <c r="G3" s="101"/>
      <c r="H3" s="101"/>
    </row>
    <row r="4" spans="1:255" s="83" customFormat="1" ht="42" customHeight="1">
      <c r="A4" s="97" t="s">
        <v>288</v>
      </c>
      <c r="B4" s="97"/>
      <c r="C4" s="97"/>
      <c r="D4" s="97"/>
      <c r="E4" s="98"/>
      <c r="F4" s="98"/>
      <c r="G4" s="98"/>
      <c r="H4" s="99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8" s="79" customFormat="1" ht="15" customHeight="1">
      <c r="A5" s="87"/>
      <c r="B5" s="87"/>
      <c r="C5" s="87"/>
      <c r="D5" s="88"/>
      <c r="E5" s="88"/>
      <c r="F5" s="88"/>
      <c r="G5" s="88"/>
      <c r="H5" s="86"/>
    </row>
    <row r="6" spans="1:8" s="84" customFormat="1" ht="13.5" customHeight="1">
      <c r="A6" s="102" t="s">
        <v>1</v>
      </c>
      <c r="B6" s="102"/>
      <c r="C6" s="102"/>
      <c r="D6" s="102"/>
      <c r="E6" s="102" t="s">
        <v>6</v>
      </c>
      <c r="F6" s="102" t="s">
        <v>7</v>
      </c>
      <c r="G6" s="102" t="s">
        <v>8</v>
      </c>
      <c r="H6" s="102"/>
    </row>
    <row r="7" spans="1:8" s="84" customFormat="1" ht="24.75" customHeight="1">
      <c r="A7" s="89" t="s">
        <v>2</v>
      </c>
      <c r="B7" s="89" t="s">
        <v>3</v>
      </c>
      <c r="C7" s="89" t="s">
        <v>4</v>
      </c>
      <c r="D7" s="89" t="s">
        <v>5</v>
      </c>
      <c r="E7" s="102"/>
      <c r="F7" s="102"/>
      <c r="G7" s="89" t="s">
        <v>9</v>
      </c>
      <c r="H7" s="89" t="s">
        <v>10</v>
      </c>
    </row>
    <row r="8" spans="1:8" s="84" customFormat="1" ht="13.5" customHeight="1">
      <c r="A8" s="90" t="s">
        <v>11</v>
      </c>
      <c r="B8" s="90" t="s">
        <v>12</v>
      </c>
      <c r="C8" s="90" t="s">
        <v>13</v>
      </c>
      <c r="D8" s="90" t="s">
        <v>14</v>
      </c>
      <c r="E8" s="90" t="s">
        <v>15</v>
      </c>
      <c r="F8" s="90" t="s">
        <v>16</v>
      </c>
      <c r="G8" s="90" t="s">
        <v>17</v>
      </c>
      <c r="H8" s="90" t="s">
        <v>18</v>
      </c>
    </row>
    <row r="9" spans="1:8" s="84" customFormat="1" ht="13.5" customHeight="1">
      <c r="A9" s="91" t="s">
        <v>19</v>
      </c>
      <c r="B9" s="91" t="s">
        <v>20</v>
      </c>
      <c r="C9" s="91" t="s">
        <v>21</v>
      </c>
      <c r="D9" s="91" t="s">
        <v>22</v>
      </c>
      <c r="E9" s="91" t="s">
        <v>23</v>
      </c>
      <c r="F9" s="92">
        <f>38400000</f>
        <v>38400000</v>
      </c>
      <c r="G9" s="92">
        <f>13440000</f>
        <v>13440000</v>
      </c>
      <c r="H9" s="92">
        <f>36864000</f>
        <v>36864000</v>
      </c>
    </row>
    <row r="10" spans="1:8" s="84" customFormat="1" ht="13.5" customHeight="1">
      <c r="A10" s="91" t="s">
        <v>19</v>
      </c>
      <c r="B10" s="91" t="s">
        <v>20</v>
      </c>
      <c r="C10" s="91" t="s">
        <v>21</v>
      </c>
      <c r="D10" s="91" t="s">
        <v>24</v>
      </c>
      <c r="E10" s="91" t="s">
        <v>23</v>
      </c>
      <c r="F10" s="92">
        <f>19600000</f>
        <v>19600000</v>
      </c>
      <c r="G10" s="92">
        <f>6860000</f>
        <v>6860000</v>
      </c>
      <c r="H10" s="92">
        <f>18816000</f>
        <v>18816000</v>
      </c>
    </row>
    <row r="11" spans="1:8" s="84" customFormat="1" ht="13.5" customHeight="1">
      <c r="A11" s="91" t="s">
        <v>19</v>
      </c>
      <c r="B11" s="91" t="s">
        <v>20</v>
      </c>
      <c r="C11" s="91" t="s">
        <v>25</v>
      </c>
      <c r="D11" s="91" t="s">
        <v>22</v>
      </c>
      <c r="E11" s="91" t="s">
        <v>0</v>
      </c>
      <c r="F11" s="92">
        <f>2992670</f>
        <v>2992670</v>
      </c>
      <c r="G11" s="93" t="s">
        <v>0</v>
      </c>
      <c r="H11" s="93" t="s">
        <v>0</v>
      </c>
    </row>
    <row r="12" spans="1:8" s="84" customFormat="1" ht="13.5" customHeight="1">
      <c r="A12" s="91" t="s">
        <v>19</v>
      </c>
      <c r="B12" s="91" t="s">
        <v>20</v>
      </c>
      <c r="C12" s="91" t="s">
        <v>25</v>
      </c>
      <c r="D12" s="91" t="s">
        <v>26</v>
      </c>
      <c r="E12" s="91" t="s">
        <v>0</v>
      </c>
      <c r="F12" s="92">
        <f>1031000</f>
        <v>1031000</v>
      </c>
      <c r="G12" s="93" t="s">
        <v>0</v>
      </c>
      <c r="H12" s="93" t="s">
        <v>0</v>
      </c>
    </row>
    <row r="13" spans="1:8" s="84" customFormat="1" ht="13.5" customHeight="1">
      <c r="A13" s="91" t="s">
        <v>19</v>
      </c>
      <c r="B13" s="91" t="s">
        <v>20</v>
      </c>
      <c r="C13" s="91" t="s">
        <v>25</v>
      </c>
      <c r="D13" s="91" t="s">
        <v>24</v>
      </c>
      <c r="E13" s="91" t="s">
        <v>0</v>
      </c>
      <c r="F13" s="92">
        <f>1461310</f>
        <v>1461310</v>
      </c>
      <c r="G13" s="93" t="s">
        <v>0</v>
      </c>
      <c r="H13" s="93" t="s">
        <v>0</v>
      </c>
    </row>
    <row r="14" spans="1:8" s="84" customFormat="1" ht="13.5" customHeight="1">
      <c r="A14" s="91" t="s">
        <v>19</v>
      </c>
      <c r="B14" s="91" t="s">
        <v>20</v>
      </c>
      <c r="C14" s="91" t="s">
        <v>25</v>
      </c>
      <c r="D14" s="91" t="s">
        <v>27</v>
      </c>
      <c r="E14" s="91" t="s">
        <v>0</v>
      </c>
      <c r="F14" s="92">
        <f>674800</f>
        <v>674800</v>
      </c>
      <c r="G14" s="93" t="s">
        <v>0</v>
      </c>
      <c r="H14" s="93" t="s">
        <v>0</v>
      </c>
    </row>
    <row r="15" spans="1:8" s="84" customFormat="1" ht="13.5" customHeight="1">
      <c r="A15" s="91" t="s">
        <v>19</v>
      </c>
      <c r="B15" s="91" t="s">
        <v>20</v>
      </c>
      <c r="C15" s="91" t="s">
        <v>28</v>
      </c>
      <c r="D15" s="91" t="s">
        <v>22</v>
      </c>
      <c r="E15" s="91" t="s">
        <v>0</v>
      </c>
      <c r="F15" s="92">
        <f>100000</f>
        <v>100000</v>
      </c>
      <c r="G15" s="92">
        <f>100000</f>
        <v>100000</v>
      </c>
      <c r="H15" s="92">
        <f>100000</f>
        <v>100000</v>
      </c>
    </row>
    <row r="16" spans="1:8" s="84" customFormat="1" ht="13.5" customHeight="1">
      <c r="A16" s="91" t="s">
        <v>19</v>
      </c>
      <c r="B16" s="91" t="s">
        <v>20</v>
      </c>
      <c r="C16" s="91" t="s">
        <v>28</v>
      </c>
      <c r="D16" s="91" t="s">
        <v>24</v>
      </c>
      <c r="E16" s="91" t="s">
        <v>0</v>
      </c>
      <c r="F16" s="92">
        <f>110000</f>
        <v>110000</v>
      </c>
      <c r="G16" s="92">
        <f>110000</f>
        <v>110000</v>
      </c>
      <c r="H16" s="92">
        <f>110000</f>
        <v>110000</v>
      </c>
    </row>
    <row r="17" spans="1:8" s="84" customFormat="1" ht="13.5" customHeight="1">
      <c r="A17" s="91" t="s">
        <v>19</v>
      </c>
      <c r="B17" s="91" t="s">
        <v>20</v>
      </c>
      <c r="C17" s="91" t="s">
        <v>29</v>
      </c>
      <c r="D17" s="91" t="s">
        <v>22</v>
      </c>
      <c r="E17" s="91" t="s">
        <v>0</v>
      </c>
      <c r="F17" s="92">
        <f>194000</f>
        <v>194000</v>
      </c>
      <c r="G17" s="93" t="s">
        <v>0</v>
      </c>
      <c r="H17" s="93" t="s">
        <v>0</v>
      </c>
    </row>
    <row r="18" spans="1:8" s="84" customFormat="1" ht="13.5" customHeight="1">
      <c r="A18" s="91" t="s">
        <v>19</v>
      </c>
      <c r="B18" s="91" t="s">
        <v>20</v>
      </c>
      <c r="C18" s="91" t="s">
        <v>29</v>
      </c>
      <c r="D18" s="91" t="s">
        <v>24</v>
      </c>
      <c r="E18" s="91" t="s">
        <v>0</v>
      </c>
      <c r="F18" s="92">
        <f>457500</f>
        <v>457500</v>
      </c>
      <c r="G18" s="93" t="s">
        <v>0</v>
      </c>
      <c r="H18" s="93" t="s">
        <v>0</v>
      </c>
    </row>
    <row r="19" spans="1:8" s="84" customFormat="1" ht="13.5" customHeight="1">
      <c r="A19" s="91" t="s">
        <v>19</v>
      </c>
      <c r="B19" s="91" t="s">
        <v>20</v>
      </c>
      <c r="C19" s="91" t="s">
        <v>30</v>
      </c>
      <c r="D19" s="91" t="s">
        <v>24</v>
      </c>
      <c r="E19" s="91" t="s">
        <v>0</v>
      </c>
      <c r="F19" s="92">
        <f>3865700</f>
        <v>3865700</v>
      </c>
      <c r="G19" s="92">
        <f>3865700</f>
        <v>3865700</v>
      </c>
      <c r="H19" s="92">
        <f>3865700</f>
        <v>3865700</v>
      </c>
    </row>
    <row r="20" spans="1:8" s="84" customFormat="1" ht="13.5" customHeight="1">
      <c r="A20" s="91" t="s">
        <v>19</v>
      </c>
      <c r="B20" s="91" t="s">
        <v>20</v>
      </c>
      <c r="C20" s="91" t="s">
        <v>31</v>
      </c>
      <c r="D20" s="91" t="s">
        <v>22</v>
      </c>
      <c r="E20" s="91" t="s">
        <v>0</v>
      </c>
      <c r="F20" s="92">
        <f>9944306.73</f>
        <v>9944306.73</v>
      </c>
      <c r="G20" s="92">
        <f>13817877</f>
        <v>13817877</v>
      </c>
      <c r="H20" s="92">
        <f>13817877</f>
        <v>13817877</v>
      </c>
    </row>
    <row r="21" spans="1:8" s="84" customFormat="1" ht="13.5" customHeight="1">
      <c r="A21" s="91" t="s">
        <v>19</v>
      </c>
      <c r="B21" s="91" t="s">
        <v>20</v>
      </c>
      <c r="C21" s="91" t="s">
        <v>31</v>
      </c>
      <c r="D21" s="91" t="s">
        <v>24</v>
      </c>
      <c r="E21" s="91" t="s">
        <v>0</v>
      </c>
      <c r="F21" s="92">
        <f>2698769</f>
        <v>2698769</v>
      </c>
      <c r="G21" s="92">
        <f>5577113</f>
        <v>5577113</v>
      </c>
      <c r="H21" s="92">
        <f>5577113</f>
        <v>5577113</v>
      </c>
    </row>
    <row r="22" spans="1:8" s="84" customFormat="1" ht="13.5" customHeight="1">
      <c r="A22" s="91" t="s">
        <v>19</v>
      </c>
      <c r="B22" s="91" t="s">
        <v>20</v>
      </c>
      <c r="C22" s="91" t="s">
        <v>32</v>
      </c>
      <c r="D22" s="91" t="s">
        <v>24</v>
      </c>
      <c r="E22" s="91" t="s">
        <v>33</v>
      </c>
      <c r="F22" s="92">
        <f>93700</f>
        <v>93700</v>
      </c>
      <c r="G22" s="92">
        <f>93700</f>
        <v>93700</v>
      </c>
      <c r="H22" s="92">
        <f>93700</f>
        <v>93700</v>
      </c>
    </row>
    <row r="23" spans="1:8" s="84" customFormat="1" ht="13.5" customHeight="1">
      <c r="A23" s="91" t="s">
        <v>19</v>
      </c>
      <c r="B23" s="91" t="s">
        <v>20</v>
      </c>
      <c r="C23" s="91" t="s">
        <v>34</v>
      </c>
      <c r="D23" s="91" t="s">
        <v>22</v>
      </c>
      <c r="E23" s="91" t="s">
        <v>35</v>
      </c>
      <c r="F23" s="92">
        <f>4966579.27</f>
        <v>4966579.27</v>
      </c>
      <c r="G23" s="93" t="s">
        <v>0</v>
      </c>
      <c r="H23" s="93" t="s">
        <v>0</v>
      </c>
    </row>
    <row r="24" spans="1:8" s="84" customFormat="1" ht="13.5" customHeight="1">
      <c r="A24" s="91" t="s">
        <v>19</v>
      </c>
      <c r="B24" s="91" t="s">
        <v>20</v>
      </c>
      <c r="C24" s="91" t="s">
        <v>34</v>
      </c>
      <c r="D24" s="91" t="s">
        <v>24</v>
      </c>
      <c r="E24" s="91" t="s">
        <v>35</v>
      </c>
      <c r="F24" s="92">
        <f>1785335</f>
        <v>1785335</v>
      </c>
      <c r="G24" s="93" t="s">
        <v>0</v>
      </c>
      <c r="H24" s="93" t="s">
        <v>0</v>
      </c>
    </row>
    <row r="25" spans="1:8" s="84" customFormat="1" ht="13.5" customHeight="1">
      <c r="A25" s="91" t="s">
        <v>19</v>
      </c>
      <c r="B25" s="91" t="s">
        <v>36</v>
      </c>
      <c r="C25" s="91" t="s">
        <v>21</v>
      </c>
      <c r="D25" s="91" t="s">
        <v>22</v>
      </c>
      <c r="E25" s="91" t="s">
        <v>23</v>
      </c>
      <c r="F25" s="92">
        <f>162131000</f>
        <v>162131000</v>
      </c>
      <c r="G25" s="92">
        <f>63946900</f>
        <v>63946900</v>
      </c>
      <c r="H25" s="92">
        <f>163090400</f>
        <v>163090400</v>
      </c>
    </row>
    <row r="26" spans="1:8" s="84" customFormat="1" ht="33.75" customHeight="1">
      <c r="A26" s="91" t="s">
        <v>19</v>
      </c>
      <c r="B26" s="91" t="s">
        <v>36</v>
      </c>
      <c r="C26" s="91" t="s">
        <v>37</v>
      </c>
      <c r="D26" s="91" t="s">
        <v>26</v>
      </c>
      <c r="E26" s="91" t="s">
        <v>38</v>
      </c>
      <c r="F26" s="92">
        <f>19732000</f>
        <v>19732000</v>
      </c>
      <c r="G26" s="92">
        <f>19732000</f>
        <v>19732000</v>
      </c>
      <c r="H26" s="92">
        <f>20479900</f>
        <v>20479900</v>
      </c>
    </row>
    <row r="27" spans="1:8" s="84" customFormat="1" ht="13.5" customHeight="1">
      <c r="A27" s="91" t="s">
        <v>19</v>
      </c>
      <c r="B27" s="91" t="s">
        <v>36</v>
      </c>
      <c r="C27" s="91" t="s">
        <v>25</v>
      </c>
      <c r="D27" s="91" t="s">
        <v>22</v>
      </c>
      <c r="E27" s="91" t="s">
        <v>0</v>
      </c>
      <c r="F27" s="92">
        <f>30222416.13</f>
        <v>30222416.13</v>
      </c>
      <c r="G27" s="93" t="s">
        <v>0</v>
      </c>
      <c r="H27" s="93" t="s">
        <v>0</v>
      </c>
    </row>
    <row r="28" spans="1:8" s="84" customFormat="1" ht="13.5" customHeight="1">
      <c r="A28" s="91" t="s">
        <v>19</v>
      </c>
      <c r="B28" s="91" t="s">
        <v>36</v>
      </c>
      <c r="C28" s="91" t="s">
        <v>25</v>
      </c>
      <c r="D28" s="91" t="s">
        <v>26</v>
      </c>
      <c r="E28" s="91" t="s">
        <v>0</v>
      </c>
      <c r="F28" s="92">
        <f>1376800</f>
        <v>1376800</v>
      </c>
      <c r="G28" s="93" t="s">
        <v>0</v>
      </c>
      <c r="H28" s="93" t="s">
        <v>0</v>
      </c>
    </row>
    <row r="29" spans="1:8" s="84" customFormat="1" ht="13.5" customHeight="1">
      <c r="A29" s="91" t="s">
        <v>19</v>
      </c>
      <c r="B29" s="91" t="s">
        <v>36</v>
      </c>
      <c r="C29" s="91" t="s">
        <v>28</v>
      </c>
      <c r="D29" s="91" t="s">
        <v>22</v>
      </c>
      <c r="E29" s="91" t="s">
        <v>0</v>
      </c>
      <c r="F29" s="92">
        <f>3730000</f>
        <v>3730000</v>
      </c>
      <c r="G29" s="92">
        <f>3730000</f>
        <v>3730000</v>
      </c>
      <c r="H29" s="92">
        <f>3730000</f>
        <v>3730000</v>
      </c>
    </row>
    <row r="30" spans="1:8" s="84" customFormat="1" ht="13.5" customHeight="1">
      <c r="A30" s="91" t="s">
        <v>19</v>
      </c>
      <c r="B30" s="91" t="s">
        <v>36</v>
      </c>
      <c r="C30" s="91" t="s">
        <v>29</v>
      </c>
      <c r="D30" s="91" t="s">
        <v>22</v>
      </c>
      <c r="E30" s="91" t="s">
        <v>0</v>
      </c>
      <c r="F30" s="92">
        <f>2973600</f>
        <v>2973600</v>
      </c>
      <c r="G30" s="93" t="s">
        <v>0</v>
      </c>
      <c r="H30" s="93" t="s">
        <v>0</v>
      </c>
    </row>
    <row r="31" spans="1:8" s="84" customFormat="1" ht="13.5" customHeight="1">
      <c r="A31" s="91" t="s">
        <v>19</v>
      </c>
      <c r="B31" s="91" t="s">
        <v>36</v>
      </c>
      <c r="C31" s="91" t="s">
        <v>30</v>
      </c>
      <c r="D31" s="91" t="s">
        <v>22</v>
      </c>
      <c r="E31" s="91" t="s">
        <v>0</v>
      </c>
      <c r="F31" s="92">
        <f>17685000</f>
        <v>17685000</v>
      </c>
      <c r="G31" s="92">
        <f>17685000</f>
        <v>17685000</v>
      </c>
      <c r="H31" s="92">
        <f>17685000</f>
        <v>17685000</v>
      </c>
    </row>
    <row r="32" spans="1:8" s="84" customFormat="1" ht="13.5" customHeight="1">
      <c r="A32" s="91" t="s">
        <v>19</v>
      </c>
      <c r="B32" s="91" t="s">
        <v>36</v>
      </c>
      <c r="C32" s="91" t="s">
        <v>31</v>
      </c>
      <c r="D32" s="91" t="s">
        <v>22</v>
      </c>
      <c r="E32" s="91" t="s">
        <v>0</v>
      </c>
      <c r="F32" s="92">
        <f>29049300.66</f>
        <v>29049300.66</v>
      </c>
      <c r="G32" s="92">
        <f>45932670.62</f>
        <v>45932670.62</v>
      </c>
      <c r="H32" s="92">
        <f>45932680</f>
        <v>45932680</v>
      </c>
    </row>
    <row r="33" spans="1:8" s="84" customFormat="1" ht="13.5" customHeight="1">
      <c r="A33" s="91" t="s">
        <v>19</v>
      </c>
      <c r="B33" s="91" t="s">
        <v>36</v>
      </c>
      <c r="C33" s="91" t="s">
        <v>39</v>
      </c>
      <c r="D33" s="91" t="s">
        <v>26</v>
      </c>
      <c r="E33" s="91" t="s">
        <v>0</v>
      </c>
      <c r="F33" s="92">
        <f>309804.08</f>
        <v>309804.08</v>
      </c>
      <c r="G33" s="92">
        <f>238038.78</f>
        <v>238038.78</v>
      </c>
      <c r="H33" s="92">
        <f>244577.55</f>
        <v>244577.55</v>
      </c>
    </row>
    <row r="34" spans="1:8" s="84" customFormat="1" ht="33.75" customHeight="1">
      <c r="A34" s="91" t="s">
        <v>19</v>
      </c>
      <c r="B34" s="91" t="s">
        <v>36</v>
      </c>
      <c r="C34" s="91" t="s">
        <v>39</v>
      </c>
      <c r="D34" s="91" t="s">
        <v>26</v>
      </c>
      <c r="E34" s="91" t="s">
        <v>40</v>
      </c>
      <c r="F34" s="92">
        <f>15180400</f>
        <v>15180400</v>
      </c>
      <c r="G34" s="92">
        <f>11663900</f>
        <v>11663900</v>
      </c>
      <c r="H34" s="92">
        <f>11984300</f>
        <v>11984300</v>
      </c>
    </row>
    <row r="35" spans="1:8" s="84" customFormat="1" ht="13.5" customHeight="1">
      <c r="A35" s="91" t="s">
        <v>19</v>
      </c>
      <c r="B35" s="91" t="s">
        <v>36</v>
      </c>
      <c r="C35" s="91" t="s">
        <v>32</v>
      </c>
      <c r="D35" s="91" t="s">
        <v>22</v>
      </c>
      <c r="E35" s="91" t="s">
        <v>0</v>
      </c>
      <c r="F35" s="92">
        <f>39520.41</f>
        <v>39520.41</v>
      </c>
      <c r="G35" s="92">
        <f>39520.41</f>
        <v>39520.41</v>
      </c>
      <c r="H35" s="92">
        <f>39520.41</f>
        <v>39520.41</v>
      </c>
    </row>
    <row r="36" spans="1:8" s="84" customFormat="1" ht="13.5" customHeight="1">
      <c r="A36" s="91" t="s">
        <v>19</v>
      </c>
      <c r="B36" s="91" t="s">
        <v>36</v>
      </c>
      <c r="C36" s="91" t="s">
        <v>32</v>
      </c>
      <c r="D36" s="91" t="s">
        <v>22</v>
      </c>
      <c r="E36" s="91" t="s">
        <v>33</v>
      </c>
      <c r="F36" s="92">
        <f>1842800</f>
        <v>1842800</v>
      </c>
      <c r="G36" s="92">
        <f>1842800</f>
        <v>1842800</v>
      </c>
      <c r="H36" s="92">
        <f>1842800</f>
        <v>1842800</v>
      </c>
    </row>
    <row r="37" spans="1:8" s="84" customFormat="1" ht="13.5" customHeight="1">
      <c r="A37" s="91" t="s">
        <v>19</v>
      </c>
      <c r="B37" s="91" t="s">
        <v>36</v>
      </c>
      <c r="C37" s="91" t="s">
        <v>41</v>
      </c>
      <c r="D37" s="91" t="s">
        <v>22</v>
      </c>
      <c r="E37" s="91" t="s">
        <v>0</v>
      </c>
      <c r="F37" s="92">
        <f>62959.18</f>
        <v>62959.18</v>
      </c>
      <c r="G37" s="92">
        <f>62959.18</f>
        <v>62959.18</v>
      </c>
      <c r="H37" s="92">
        <f>62959.18</f>
        <v>62959.18</v>
      </c>
    </row>
    <row r="38" spans="1:8" s="84" customFormat="1" ht="13.5" customHeight="1">
      <c r="A38" s="91" t="s">
        <v>19</v>
      </c>
      <c r="B38" s="91" t="s">
        <v>36</v>
      </c>
      <c r="C38" s="91" t="s">
        <v>41</v>
      </c>
      <c r="D38" s="91" t="s">
        <v>22</v>
      </c>
      <c r="E38" s="91" t="s">
        <v>42</v>
      </c>
      <c r="F38" s="92">
        <f>3085000</f>
        <v>3085000</v>
      </c>
      <c r="G38" s="92">
        <f>3085000</f>
        <v>3085000</v>
      </c>
      <c r="H38" s="92">
        <f>3085000</f>
        <v>3085000</v>
      </c>
    </row>
    <row r="39" spans="1:8" s="84" customFormat="1" ht="13.5" customHeight="1">
      <c r="A39" s="91" t="s">
        <v>19</v>
      </c>
      <c r="B39" s="91" t="s">
        <v>36</v>
      </c>
      <c r="C39" s="91" t="s">
        <v>34</v>
      </c>
      <c r="D39" s="91" t="s">
        <v>22</v>
      </c>
      <c r="E39" s="91" t="s">
        <v>0</v>
      </c>
      <c r="F39" s="92">
        <f>709975.51</f>
        <v>709975.51</v>
      </c>
      <c r="G39" s="93" t="s">
        <v>0</v>
      </c>
      <c r="H39" s="93" t="s">
        <v>0</v>
      </c>
    </row>
    <row r="40" spans="1:8" s="84" customFormat="1" ht="13.5" customHeight="1">
      <c r="A40" s="91" t="s">
        <v>19</v>
      </c>
      <c r="B40" s="91" t="s">
        <v>36</v>
      </c>
      <c r="C40" s="91" t="s">
        <v>34</v>
      </c>
      <c r="D40" s="91" t="s">
        <v>22</v>
      </c>
      <c r="E40" s="91" t="s">
        <v>35</v>
      </c>
      <c r="F40" s="92">
        <f>16173403.83</f>
        <v>16173403.83</v>
      </c>
      <c r="G40" s="93" t="s">
        <v>0</v>
      </c>
      <c r="H40" s="93" t="s">
        <v>0</v>
      </c>
    </row>
    <row r="41" spans="1:8" s="84" customFormat="1" ht="13.5" customHeight="1">
      <c r="A41" s="91" t="s">
        <v>19</v>
      </c>
      <c r="B41" s="91" t="s">
        <v>36</v>
      </c>
      <c r="C41" s="91" t="s">
        <v>43</v>
      </c>
      <c r="D41" s="91" t="s">
        <v>26</v>
      </c>
      <c r="E41" s="91" t="s">
        <v>0</v>
      </c>
      <c r="F41" s="92">
        <f>100676</f>
        <v>100676</v>
      </c>
      <c r="G41" s="92">
        <f>123407.97</f>
        <v>123407.97</v>
      </c>
      <c r="H41" s="92">
        <f>70400</f>
        <v>70400</v>
      </c>
    </row>
    <row r="42" spans="1:8" s="84" customFormat="1" ht="33.75" customHeight="1">
      <c r="A42" s="91" t="s">
        <v>19</v>
      </c>
      <c r="B42" s="91" t="s">
        <v>36</v>
      </c>
      <c r="C42" s="91" t="s">
        <v>43</v>
      </c>
      <c r="D42" s="91" t="s">
        <v>26</v>
      </c>
      <c r="E42" s="91" t="s">
        <v>44</v>
      </c>
      <c r="F42" s="92">
        <f>4933124</f>
        <v>4933124</v>
      </c>
      <c r="G42" s="92">
        <f>6046990.62</f>
        <v>6046990.62</v>
      </c>
      <c r="H42" s="92">
        <f>3449600</f>
        <v>3449600</v>
      </c>
    </row>
    <row r="43" spans="1:8" s="84" customFormat="1" ht="13.5" customHeight="1">
      <c r="A43" s="91" t="s">
        <v>19</v>
      </c>
      <c r="B43" s="91" t="s">
        <v>45</v>
      </c>
      <c r="C43" s="91" t="s">
        <v>46</v>
      </c>
      <c r="D43" s="91" t="s">
        <v>22</v>
      </c>
      <c r="E43" s="91" t="s">
        <v>0</v>
      </c>
      <c r="F43" s="92">
        <f>142700</f>
        <v>142700</v>
      </c>
      <c r="G43" s="93" t="s">
        <v>0</v>
      </c>
      <c r="H43" s="93" t="s">
        <v>0</v>
      </c>
    </row>
    <row r="44" spans="1:8" s="84" customFormat="1" ht="13.5" customHeight="1">
      <c r="A44" s="91" t="s">
        <v>19</v>
      </c>
      <c r="B44" s="91" t="s">
        <v>45</v>
      </c>
      <c r="C44" s="91" t="s">
        <v>46</v>
      </c>
      <c r="D44" s="91" t="s">
        <v>24</v>
      </c>
      <c r="E44" s="91" t="s">
        <v>0</v>
      </c>
      <c r="F44" s="92">
        <f>2015410</f>
        <v>2015410</v>
      </c>
      <c r="G44" s="93" t="s">
        <v>0</v>
      </c>
      <c r="H44" s="93" t="s">
        <v>0</v>
      </c>
    </row>
    <row r="45" spans="1:8" s="84" customFormat="1" ht="13.5" customHeight="1">
      <c r="A45" s="91" t="s">
        <v>19</v>
      </c>
      <c r="B45" s="91" t="s">
        <v>45</v>
      </c>
      <c r="C45" s="91" t="s">
        <v>46</v>
      </c>
      <c r="D45" s="91" t="s">
        <v>27</v>
      </c>
      <c r="E45" s="91" t="s">
        <v>0</v>
      </c>
      <c r="F45" s="92">
        <f>35000</f>
        <v>35000</v>
      </c>
      <c r="G45" s="93" t="s">
        <v>0</v>
      </c>
      <c r="H45" s="93" t="s">
        <v>0</v>
      </c>
    </row>
    <row r="46" spans="1:8" s="84" customFormat="1" ht="13.5" customHeight="1">
      <c r="A46" s="91" t="s">
        <v>19</v>
      </c>
      <c r="B46" s="91" t="s">
        <v>45</v>
      </c>
      <c r="C46" s="91" t="s">
        <v>47</v>
      </c>
      <c r="D46" s="91" t="s">
        <v>24</v>
      </c>
      <c r="E46" s="91" t="s">
        <v>0</v>
      </c>
      <c r="F46" s="92">
        <f>217600</f>
        <v>217600</v>
      </c>
      <c r="G46" s="93" t="s">
        <v>0</v>
      </c>
      <c r="H46" s="93" t="s">
        <v>0</v>
      </c>
    </row>
    <row r="47" spans="1:8" s="84" customFormat="1" ht="13.5" customHeight="1">
      <c r="A47" s="91" t="s">
        <v>19</v>
      </c>
      <c r="B47" s="91" t="s">
        <v>45</v>
      </c>
      <c r="C47" s="91" t="s">
        <v>48</v>
      </c>
      <c r="D47" s="91" t="s">
        <v>24</v>
      </c>
      <c r="E47" s="91" t="s">
        <v>0</v>
      </c>
      <c r="F47" s="92">
        <f>892200</f>
        <v>892200</v>
      </c>
      <c r="G47" s="92">
        <f>892200</f>
        <v>892200</v>
      </c>
      <c r="H47" s="92">
        <f>407000</f>
        <v>407000</v>
      </c>
    </row>
    <row r="48" spans="1:8" s="84" customFormat="1" ht="13.5" customHeight="1">
      <c r="A48" s="91" t="s">
        <v>19</v>
      </c>
      <c r="B48" s="91" t="s">
        <v>45</v>
      </c>
      <c r="C48" s="91" t="s">
        <v>49</v>
      </c>
      <c r="D48" s="91" t="s">
        <v>22</v>
      </c>
      <c r="E48" s="91" t="s">
        <v>0</v>
      </c>
      <c r="F48" s="92">
        <f>940740</f>
        <v>940740</v>
      </c>
      <c r="G48" s="92">
        <f>1968397</f>
        <v>1968397</v>
      </c>
      <c r="H48" s="92">
        <f>1561412</f>
        <v>1561412</v>
      </c>
    </row>
    <row r="49" spans="1:8" s="84" customFormat="1" ht="13.5" customHeight="1">
      <c r="A49" s="91" t="s">
        <v>19</v>
      </c>
      <c r="B49" s="91" t="s">
        <v>45</v>
      </c>
      <c r="C49" s="91" t="s">
        <v>49</v>
      </c>
      <c r="D49" s="91" t="s">
        <v>24</v>
      </c>
      <c r="E49" s="91" t="s">
        <v>0</v>
      </c>
      <c r="F49" s="92">
        <f>8930976.17</f>
        <v>8930976.17</v>
      </c>
      <c r="G49" s="92">
        <f>18687103</f>
        <v>18687103</v>
      </c>
      <c r="H49" s="92">
        <f>14823348</f>
        <v>14823348</v>
      </c>
    </row>
    <row r="50" spans="1:8" s="84" customFormat="1" ht="13.5" customHeight="1">
      <c r="A50" s="91" t="s">
        <v>19</v>
      </c>
      <c r="B50" s="91" t="s">
        <v>45</v>
      </c>
      <c r="C50" s="91" t="s">
        <v>50</v>
      </c>
      <c r="D50" s="91" t="s">
        <v>24</v>
      </c>
      <c r="E50" s="91" t="s">
        <v>35</v>
      </c>
      <c r="F50" s="92">
        <f>1434583.83</f>
        <v>1434583.83</v>
      </c>
      <c r="G50" s="93" t="s">
        <v>0</v>
      </c>
      <c r="H50" s="93" t="s">
        <v>0</v>
      </c>
    </row>
    <row r="51" spans="1:8" s="84" customFormat="1" ht="13.5" customHeight="1">
      <c r="A51" s="91" t="s">
        <v>19</v>
      </c>
      <c r="B51" s="91" t="s">
        <v>45</v>
      </c>
      <c r="C51" s="91" t="s">
        <v>51</v>
      </c>
      <c r="D51" s="91" t="s">
        <v>52</v>
      </c>
      <c r="E51" s="91" t="s">
        <v>0</v>
      </c>
      <c r="F51" s="92">
        <f>9514400</f>
        <v>9514400</v>
      </c>
      <c r="G51" s="93" t="s">
        <v>0</v>
      </c>
      <c r="H51" s="93" t="s">
        <v>0</v>
      </c>
    </row>
    <row r="52" spans="1:8" s="84" customFormat="1" ht="13.5" customHeight="1">
      <c r="A52" s="91" t="s">
        <v>19</v>
      </c>
      <c r="B52" s="91" t="s">
        <v>53</v>
      </c>
      <c r="C52" s="91" t="s">
        <v>54</v>
      </c>
      <c r="D52" s="91" t="s">
        <v>55</v>
      </c>
      <c r="E52" s="91" t="s">
        <v>56</v>
      </c>
      <c r="F52" s="92">
        <f>165200</f>
        <v>165200</v>
      </c>
      <c r="G52" s="92">
        <f>165200</f>
        <v>165200</v>
      </c>
      <c r="H52" s="92">
        <f>165200</f>
        <v>165200</v>
      </c>
    </row>
    <row r="53" spans="1:8" s="84" customFormat="1" ht="13.5" customHeight="1">
      <c r="A53" s="91" t="s">
        <v>19</v>
      </c>
      <c r="B53" s="91" t="s">
        <v>53</v>
      </c>
      <c r="C53" s="91" t="s">
        <v>54</v>
      </c>
      <c r="D53" s="91" t="s">
        <v>26</v>
      </c>
      <c r="E53" s="91" t="s">
        <v>56</v>
      </c>
      <c r="F53" s="92">
        <f>1335500</f>
        <v>1335500</v>
      </c>
      <c r="G53" s="92">
        <f>1335500</f>
        <v>1335500</v>
      </c>
      <c r="H53" s="92">
        <f>1335500</f>
        <v>1335500</v>
      </c>
    </row>
    <row r="54" spans="1:8" s="84" customFormat="1" ht="13.5" customHeight="1">
      <c r="A54" s="91" t="s">
        <v>19</v>
      </c>
      <c r="B54" s="91" t="s">
        <v>57</v>
      </c>
      <c r="C54" s="91" t="s">
        <v>58</v>
      </c>
      <c r="D54" s="91" t="s">
        <v>59</v>
      </c>
      <c r="E54" s="91" t="s">
        <v>0</v>
      </c>
      <c r="F54" s="92">
        <f>2722045.35</f>
        <v>2722045.35</v>
      </c>
      <c r="G54" s="92">
        <f>2996298</f>
        <v>2996298</v>
      </c>
      <c r="H54" s="92">
        <f>2996298</f>
        <v>2996298</v>
      </c>
    </row>
    <row r="55" spans="1:8" s="84" customFormat="1" ht="13.5" customHeight="1">
      <c r="A55" s="91" t="s">
        <v>19</v>
      </c>
      <c r="B55" s="91" t="s">
        <v>57</v>
      </c>
      <c r="C55" s="91" t="s">
        <v>58</v>
      </c>
      <c r="D55" s="91" t="s">
        <v>60</v>
      </c>
      <c r="E55" s="91" t="s">
        <v>0</v>
      </c>
      <c r="F55" s="92">
        <f>822057.7</f>
        <v>822057.7</v>
      </c>
      <c r="G55" s="92">
        <f>904882</f>
        <v>904882</v>
      </c>
      <c r="H55" s="92">
        <f>904882</f>
        <v>904882</v>
      </c>
    </row>
    <row r="56" spans="1:8" s="84" customFormat="1" ht="13.5" customHeight="1">
      <c r="A56" s="91" t="s">
        <v>19</v>
      </c>
      <c r="B56" s="91" t="s">
        <v>57</v>
      </c>
      <c r="C56" s="91" t="s">
        <v>61</v>
      </c>
      <c r="D56" s="91" t="s">
        <v>59</v>
      </c>
      <c r="E56" s="91" t="s">
        <v>35</v>
      </c>
      <c r="F56" s="92">
        <f>274252.65</f>
        <v>274252.65</v>
      </c>
      <c r="G56" s="93" t="s">
        <v>0</v>
      </c>
      <c r="H56" s="93" t="s">
        <v>0</v>
      </c>
    </row>
    <row r="57" spans="1:8" s="84" customFormat="1" ht="13.5" customHeight="1">
      <c r="A57" s="91" t="s">
        <v>19</v>
      </c>
      <c r="B57" s="91" t="s">
        <v>57</v>
      </c>
      <c r="C57" s="91" t="s">
        <v>61</v>
      </c>
      <c r="D57" s="91" t="s">
        <v>60</v>
      </c>
      <c r="E57" s="91" t="s">
        <v>35</v>
      </c>
      <c r="F57" s="92">
        <f>82824.3</f>
        <v>82824.3</v>
      </c>
      <c r="G57" s="93" t="s">
        <v>0</v>
      </c>
      <c r="H57" s="93" t="s">
        <v>0</v>
      </c>
    </row>
    <row r="58" spans="1:8" s="84" customFormat="1" ht="13.5" customHeight="1">
      <c r="A58" s="91" t="s">
        <v>19</v>
      </c>
      <c r="B58" s="91" t="s">
        <v>57</v>
      </c>
      <c r="C58" s="91" t="s">
        <v>62</v>
      </c>
      <c r="D58" s="91" t="s">
        <v>63</v>
      </c>
      <c r="E58" s="91" t="s">
        <v>0</v>
      </c>
      <c r="F58" s="92">
        <f>3266587.17</f>
        <v>3266587.17</v>
      </c>
      <c r="G58" s="92">
        <f>4223272</f>
        <v>4223272</v>
      </c>
      <c r="H58" s="92">
        <f>4223272</f>
        <v>4223272</v>
      </c>
    </row>
    <row r="59" spans="1:8" s="84" customFormat="1" ht="13.5" customHeight="1">
      <c r="A59" s="91" t="s">
        <v>19</v>
      </c>
      <c r="B59" s="91" t="s">
        <v>57</v>
      </c>
      <c r="C59" s="91" t="s">
        <v>62</v>
      </c>
      <c r="D59" s="91" t="s">
        <v>64</v>
      </c>
      <c r="E59" s="91" t="s">
        <v>0</v>
      </c>
      <c r="F59" s="92">
        <f>986509.32</f>
        <v>986509.32</v>
      </c>
      <c r="G59" s="92">
        <f>1275428</f>
        <v>1275428</v>
      </c>
      <c r="H59" s="92">
        <f>1275428</f>
        <v>1275428</v>
      </c>
    </row>
    <row r="60" spans="1:8" s="84" customFormat="1" ht="13.5" customHeight="1">
      <c r="A60" s="91" t="s">
        <v>19</v>
      </c>
      <c r="B60" s="91" t="s">
        <v>57</v>
      </c>
      <c r="C60" s="91" t="s">
        <v>62</v>
      </c>
      <c r="D60" s="91" t="s">
        <v>65</v>
      </c>
      <c r="E60" s="91" t="s">
        <v>0</v>
      </c>
      <c r="F60" s="92">
        <f>2503890</f>
        <v>2503890</v>
      </c>
      <c r="G60" s="92">
        <f>745636.54</f>
        <v>745636.54</v>
      </c>
      <c r="H60" s="93" t="s">
        <v>0</v>
      </c>
    </row>
    <row r="61" spans="1:8" s="84" customFormat="1" ht="13.5" customHeight="1">
      <c r="A61" s="91" t="s">
        <v>19</v>
      </c>
      <c r="B61" s="91" t="s">
        <v>57</v>
      </c>
      <c r="C61" s="91" t="s">
        <v>62</v>
      </c>
      <c r="D61" s="91" t="s">
        <v>66</v>
      </c>
      <c r="E61" s="91" t="s">
        <v>0</v>
      </c>
      <c r="F61" s="92">
        <f>8200</f>
        <v>8200</v>
      </c>
      <c r="G61" s="93" t="s">
        <v>0</v>
      </c>
      <c r="H61" s="93" t="s">
        <v>0</v>
      </c>
    </row>
    <row r="62" spans="1:8" s="84" customFormat="1" ht="13.5" customHeight="1">
      <c r="A62" s="91" t="s">
        <v>19</v>
      </c>
      <c r="B62" s="91" t="s">
        <v>57</v>
      </c>
      <c r="C62" s="91" t="s">
        <v>67</v>
      </c>
      <c r="D62" s="91" t="s">
        <v>63</v>
      </c>
      <c r="E62" s="91" t="s">
        <v>23</v>
      </c>
      <c r="F62" s="92">
        <f>4875038</f>
        <v>4875038</v>
      </c>
      <c r="G62" s="92">
        <f>1706298</f>
        <v>1706298</v>
      </c>
      <c r="H62" s="92">
        <f>4680031</f>
        <v>4680031</v>
      </c>
    </row>
    <row r="63" spans="1:8" s="84" customFormat="1" ht="13.5" customHeight="1">
      <c r="A63" s="91" t="s">
        <v>19</v>
      </c>
      <c r="B63" s="91" t="s">
        <v>57</v>
      </c>
      <c r="C63" s="91" t="s">
        <v>67</v>
      </c>
      <c r="D63" s="91" t="s">
        <v>64</v>
      </c>
      <c r="E63" s="91" t="s">
        <v>23</v>
      </c>
      <c r="F63" s="92">
        <f>1472262</f>
        <v>1472262</v>
      </c>
      <c r="G63" s="92">
        <f>515302</f>
        <v>515302</v>
      </c>
      <c r="H63" s="92">
        <f>1413369</f>
        <v>1413369</v>
      </c>
    </row>
    <row r="64" spans="1:8" s="84" customFormat="1" ht="13.5" customHeight="1">
      <c r="A64" s="91" t="s">
        <v>19</v>
      </c>
      <c r="B64" s="91" t="s">
        <v>57</v>
      </c>
      <c r="C64" s="91" t="s">
        <v>68</v>
      </c>
      <c r="D64" s="91" t="s">
        <v>63</v>
      </c>
      <c r="E64" s="91" t="s">
        <v>35</v>
      </c>
      <c r="F64" s="92">
        <f>956684.72</f>
        <v>956684.72</v>
      </c>
      <c r="G64" s="93" t="s">
        <v>0</v>
      </c>
      <c r="H64" s="93" t="s">
        <v>0</v>
      </c>
    </row>
    <row r="65" spans="1:8" s="84" customFormat="1" ht="13.5" customHeight="1">
      <c r="A65" s="91" t="s">
        <v>19</v>
      </c>
      <c r="B65" s="91" t="s">
        <v>57</v>
      </c>
      <c r="C65" s="91" t="s">
        <v>68</v>
      </c>
      <c r="D65" s="91" t="s">
        <v>64</v>
      </c>
      <c r="E65" s="91" t="s">
        <v>35</v>
      </c>
      <c r="F65" s="92">
        <f>288918.79</f>
        <v>288918.79</v>
      </c>
      <c r="G65" s="93" t="s">
        <v>0</v>
      </c>
      <c r="H65" s="93" t="s">
        <v>0</v>
      </c>
    </row>
    <row r="66" spans="1:8" s="84" customFormat="1" ht="13.5" customHeight="1">
      <c r="A66" s="91" t="s">
        <v>19</v>
      </c>
      <c r="B66" s="91" t="s">
        <v>57</v>
      </c>
      <c r="C66" s="91" t="s">
        <v>69</v>
      </c>
      <c r="D66" s="91" t="s">
        <v>65</v>
      </c>
      <c r="E66" s="91" t="s">
        <v>70</v>
      </c>
      <c r="F66" s="92">
        <f>204170</f>
        <v>204170</v>
      </c>
      <c r="G66" s="93" t="s">
        <v>0</v>
      </c>
      <c r="H66" s="93" t="s">
        <v>0</v>
      </c>
    </row>
    <row r="67" spans="1:8" s="84" customFormat="1" ht="13.5" customHeight="1">
      <c r="A67" s="91" t="s">
        <v>19</v>
      </c>
      <c r="B67" s="91" t="s">
        <v>71</v>
      </c>
      <c r="C67" s="91" t="s">
        <v>72</v>
      </c>
      <c r="D67" s="91" t="s">
        <v>65</v>
      </c>
      <c r="E67" s="91" t="s">
        <v>73</v>
      </c>
      <c r="F67" s="92">
        <f>14000</f>
        <v>14000</v>
      </c>
      <c r="G67" s="92">
        <f>14000</f>
        <v>14000</v>
      </c>
      <c r="H67" s="92">
        <f>14000</f>
        <v>14000</v>
      </c>
    </row>
    <row r="68" spans="1:8" s="84" customFormat="1" ht="13.5" customHeight="1">
      <c r="A68" s="91" t="s">
        <v>19</v>
      </c>
      <c r="B68" s="91" t="s">
        <v>71</v>
      </c>
      <c r="C68" s="91" t="s">
        <v>72</v>
      </c>
      <c r="D68" s="91" t="s">
        <v>74</v>
      </c>
      <c r="E68" s="91" t="s">
        <v>73</v>
      </c>
      <c r="F68" s="92">
        <f>4662900</f>
        <v>4662900</v>
      </c>
      <c r="G68" s="92">
        <f>4662900</f>
        <v>4662900</v>
      </c>
      <c r="H68" s="92">
        <f>4662900</f>
        <v>4662900</v>
      </c>
    </row>
    <row r="69" spans="1:8" s="84" customFormat="1" ht="13.5" customHeight="1">
      <c r="A69" s="91" t="s">
        <v>75</v>
      </c>
      <c r="B69" s="91" t="s">
        <v>76</v>
      </c>
      <c r="C69" s="91" t="s">
        <v>77</v>
      </c>
      <c r="D69" s="91" t="s">
        <v>59</v>
      </c>
      <c r="E69" s="91" t="s">
        <v>0</v>
      </c>
      <c r="F69" s="92">
        <f>3884300</f>
        <v>3884300</v>
      </c>
      <c r="G69" s="92">
        <f>3884300</f>
        <v>3884300</v>
      </c>
      <c r="H69" s="92">
        <f>3884300</f>
        <v>3884300</v>
      </c>
    </row>
    <row r="70" spans="1:8" s="84" customFormat="1" ht="13.5" customHeight="1">
      <c r="A70" s="91" t="s">
        <v>75</v>
      </c>
      <c r="B70" s="91" t="s">
        <v>76</v>
      </c>
      <c r="C70" s="91" t="s">
        <v>77</v>
      </c>
      <c r="D70" s="91" t="s">
        <v>78</v>
      </c>
      <c r="E70" s="91" t="s">
        <v>0</v>
      </c>
      <c r="F70" s="92">
        <f>6000</f>
        <v>6000</v>
      </c>
      <c r="G70" s="93" t="s">
        <v>0</v>
      </c>
      <c r="H70" s="93" t="s">
        <v>0</v>
      </c>
    </row>
    <row r="71" spans="1:8" s="84" customFormat="1" ht="13.5" customHeight="1">
      <c r="A71" s="91" t="s">
        <v>75</v>
      </c>
      <c r="B71" s="91" t="s">
        <v>76</v>
      </c>
      <c r="C71" s="91" t="s">
        <v>77</v>
      </c>
      <c r="D71" s="91" t="s">
        <v>60</v>
      </c>
      <c r="E71" s="91" t="s">
        <v>0</v>
      </c>
      <c r="F71" s="92">
        <f>1173060</f>
        <v>1173060</v>
      </c>
      <c r="G71" s="92">
        <f>1173060</f>
        <v>1173060</v>
      </c>
      <c r="H71" s="92">
        <f>1173060</f>
        <v>1173060</v>
      </c>
    </row>
    <row r="72" spans="1:8" s="84" customFormat="1" ht="13.5" customHeight="1">
      <c r="A72" s="91" t="s">
        <v>75</v>
      </c>
      <c r="B72" s="91" t="s">
        <v>76</v>
      </c>
      <c r="C72" s="91" t="s">
        <v>77</v>
      </c>
      <c r="D72" s="91" t="s">
        <v>65</v>
      </c>
      <c r="E72" s="91" t="s">
        <v>0</v>
      </c>
      <c r="F72" s="92">
        <f>732150</f>
        <v>732150</v>
      </c>
      <c r="G72" s="92">
        <f>738150</f>
        <v>738150</v>
      </c>
      <c r="H72" s="92">
        <f>738150</f>
        <v>738150</v>
      </c>
    </row>
    <row r="73" spans="1:8" s="84" customFormat="1" ht="13.5" customHeight="1">
      <c r="A73" s="91" t="s">
        <v>75</v>
      </c>
      <c r="B73" s="91" t="s">
        <v>76</v>
      </c>
      <c r="C73" s="91" t="s">
        <v>77</v>
      </c>
      <c r="D73" s="91" t="s">
        <v>66</v>
      </c>
      <c r="E73" s="91" t="s">
        <v>0</v>
      </c>
      <c r="F73" s="92">
        <f>5000</f>
        <v>5000</v>
      </c>
      <c r="G73" s="92">
        <f>5000</f>
        <v>5000</v>
      </c>
      <c r="H73" s="92">
        <f>5000</f>
        <v>5000</v>
      </c>
    </row>
    <row r="74" spans="1:8" s="84" customFormat="1" ht="13.5" customHeight="1">
      <c r="A74" s="91" t="s">
        <v>75</v>
      </c>
      <c r="B74" s="91" t="s">
        <v>76</v>
      </c>
      <c r="C74" s="91" t="s">
        <v>79</v>
      </c>
      <c r="D74" s="91" t="s">
        <v>65</v>
      </c>
      <c r="E74" s="91" t="s">
        <v>0</v>
      </c>
      <c r="F74" s="92">
        <f>25000</f>
        <v>25000</v>
      </c>
      <c r="G74" s="93" t="s">
        <v>0</v>
      </c>
      <c r="H74" s="93" t="s">
        <v>0</v>
      </c>
    </row>
    <row r="75" spans="1:8" s="84" customFormat="1" ht="13.5" customHeight="1">
      <c r="A75" s="91" t="s">
        <v>75</v>
      </c>
      <c r="B75" s="91" t="s">
        <v>76</v>
      </c>
      <c r="C75" s="91" t="s">
        <v>80</v>
      </c>
      <c r="D75" s="91" t="s">
        <v>65</v>
      </c>
      <c r="E75" s="91" t="s">
        <v>70</v>
      </c>
      <c r="F75" s="92">
        <f>85400</f>
        <v>85400</v>
      </c>
      <c r="G75" s="93" t="s">
        <v>0</v>
      </c>
      <c r="H75" s="93" t="s">
        <v>0</v>
      </c>
    </row>
    <row r="76" spans="1:8" s="84" customFormat="1" ht="13.5" customHeight="1">
      <c r="A76" s="91" t="s">
        <v>75</v>
      </c>
      <c r="B76" s="91" t="s">
        <v>81</v>
      </c>
      <c r="C76" s="91" t="s">
        <v>82</v>
      </c>
      <c r="D76" s="91" t="s">
        <v>83</v>
      </c>
      <c r="E76" s="91" t="s">
        <v>0</v>
      </c>
      <c r="F76" s="92">
        <f>2300000</f>
        <v>2300000</v>
      </c>
      <c r="G76" s="93" t="s">
        <v>0</v>
      </c>
      <c r="H76" s="93" t="s">
        <v>0</v>
      </c>
    </row>
    <row r="77" spans="1:8" s="84" customFormat="1" ht="13.5" customHeight="1">
      <c r="A77" s="91" t="s">
        <v>75</v>
      </c>
      <c r="B77" s="91" t="s">
        <v>81</v>
      </c>
      <c r="C77" s="91" t="s">
        <v>84</v>
      </c>
      <c r="D77" s="91" t="s">
        <v>83</v>
      </c>
      <c r="E77" s="91" t="s">
        <v>0</v>
      </c>
      <c r="F77" s="92">
        <f>2500000</f>
        <v>2500000</v>
      </c>
      <c r="G77" s="92">
        <f>2500000</f>
        <v>2500000</v>
      </c>
      <c r="H77" s="92">
        <f>2500000</f>
        <v>2500000</v>
      </c>
    </row>
    <row r="78" spans="1:8" s="84" customFormat="1" ht="13.5" customHeight="1">
      <c r="A78" s="91" t="s">
        <v>75</v>
      </c>
      <c r="B78" s="91" t="s">
        <v>85</v>
      </c>
      <c r="C78" s="91" t="s">
        <v>86</v>
      </c>
      <c r="D78" s="91" t="s">
        <v>87</v>
      </c>
      <c r="E78" s="91" t="s">
        <v>0</v>
      </c>
      <c r="F78" s="92">
        <f>1493605</f>
        <v>1493605</v>
      </c>
      <c r="G78" s="93" t="s">
        <v>0</v>
      </c>
      <c r="H78" s="93" t="s">
        <v>0</v>
      </c>
    </row>
    <row r="79" spans="1:8" s="84" customFormat="1" ht="13.5" customHeight="1">
      <c r="A79" s="91" t="s">
        <v>75</v>
      </c>
      <c r="B79" s="91" t="s">
        <v>88</v>
      </c>
      <c r="C79" s="91" t="s">
        <v>89</v>
      </c>
      <c r="D79" s="91" t="s">
        <v>90</v>
      </c>
      <c r="E79" s="91" t="s">
        <v>0</v>
      </c>
      <c r="F79" s="92">
        <f>18000</f>
        <v>18000</v>
      </c>
      <c r="G79" s="92">
        <f>18000</f>
        <v>18000</v>
      </c>
      <c r="H79" s="92">
        <f>18000</f>
        <v>18000</v>
      </c>
    </row>
    <row r="80" spans="1:8" s="84" customFormat="1" ht="13.5" customHeight="1">
      <c r="A80" s="91" t="s">
        <v>75</v>
      </c>
      <c r="B80" s="91" t="s">
        <v>91</v>
      </c>
      <c r="C80" s="91" t="s">
        <v>92</v>
      </c>
      <c r="D80" s="91" t="s">
        <v>93</v>
      </c>
      <c r="E80" s="91" t="s">
        <v>0</v>
      </c>
      <c r="F80" s="92">
        <f>26090400</f>
        <v>26090400</v>
      </c>
      <c r="G80" s="92">
        <f>26090400</f>
        <v>26090400</v>
      </c>
      <c r="H80" s="92">
        <f>26090400</f>
        <v>26090400</v>
      </c>
    </row>
    <row r="81" spans="1:8" s="84" customFormat="1" ht="13.5" customHeight="1">
      <c r="A81" s="91" t="s">
        <v>75</v>
      </c>
      <c r="B81" s="91" t="s">
        <v>94</v>
      </c>
      <c r="C81" s="91" t="s">
        <v>86</v>
      </c>
      <c r="D81" s="91" t="s">
        <v>87</v>
      </c>
      <c r="E81" s="91" t="s">
        <v>0</v>
      </c>
      <c r="F81" s="92">
        <f>394660</f>
        <v>394660</v>
      </c>
      <c r="G81" s="93" t="s">
        <v>0</v>
      </c>
      <c r="H81" s="93" t="s">
        <v>0</v>
      </c>
    </row>
    <row r="82" spans="1:8" s="84" customFormat="1" ht="13.5" customHeight="1">
      <c r="A82" s="91" t="s">
        <v>75</v>
      </c>
      <c r="B82" s="91" t="s">
        <v>94</v>
      </c>
      <c r="C82" s="91" t="s">
        <v>95</v>
      </c>
      <c r="D82" s="91" t="s">
        <v>96</v>
      </c>
      <c r="E82" s="91" t="s">
        <v>35</v>
      </c>
      <c r="F82" s="92">
        <f>5105000</f>
        <v>5105000</v>
      </c>
      <c r="G82" s="93" t="s">
        <v>0</v>
      </c>
      <c r="H82" s="93" t="s">
        <v>0</v>
      </c>
    </row>
    <row r="83" spans="1:8" s="84" customFormat="1" ht="13.5" customHeight="1">
      <c r="A83" s="91" t="s">
        <v>75</v>
      </c>
      <c r="B83" s="91" t="s">
        <v>94</v>
      </c>
      <c r="C83" s="91" t="s">
        <v>97</v>
      </c>
      <c r="D83" s="91" t="s">
        <v>87</v>
      </c>
      <c r="E83" s="91" t="s">
        <v>70</v>
      </c>
      <c r="F83" s="92">
        <f>268000</f>
        <v>268000</v>
      </c>
      <c r="G83" s="93" t="s">
        <v>0</v>
      </c>
      <c r="H83" s="93" t="s">
        <v>0</v>
      </c>
    </row>
    <row r="84" spans="1:8" s="84" customFormat="1" ht="13.5" customHeight="1">
      <c r="A84" s="91" t="s">
        <v>98</v>
      </c>
      <c r="B84" s="91" t="s">
        <v>99</v>
      </c>
      <c r="C84" s="91" t="s">
        <v>100</v>
      </c>
      <c r="D84" s="91" t="s">
        <v>59</v>
      </c>
      <c r="E84" s="91" t="s">
        <v>0</v>
      </c>
      <c r="F84" s="92">
        <f>1520793.79</f>
        <v>1520793.79</v>
      </c>
      <c r="G84" s="92">
        <f>1520793.79</f>
        <v>1520793.79</v>
      </c>
      <c r="H84" s="92">
        <f>1520793.79</f>
        <v>1520793.79</v>
      </c>
    </row>
    <row r="85" spans="1:8" s="84" customFormat="1" ht="13.5" customHeight="1">
      <c r="A85" s="91" t="s">
        <v>98</v>
      </c>
      <c r="B85" s="91" t="s">
        <v>99</v>
      </c>
      <c r="C85" s="91" t="s">
        <v>100</v>
      </c>
      <c r="D85" s="91" t="s">
        <v>60</v>
      </c>
      <c r="E85" s="91" t="s">
        <v>0</v>
      </c>
      <c r="F85" s="92">
        <f>459279.72</f>
        <v>459279.72</v>
      </c>
      <c r="G85" s="92">
        <f>459279.72</f>
        <v>459279.72</v>
      </c>
      <c r="H85" s="92">
        <f>459279.72</f>
        <v>459279.72</v>
      </c>
    </row>
    <row r="86" spans="1:8" s="84" customFormat="1" ht="13.5" customHeight="1">
      <c r="A86" s="91" t="s">
        <v>98</v>
      </c>
      <c r="B86" s="91" t="s">
        <v>101</v>
      </c>
      <c r="C86" s="91" t="s">
        <v>102</v>
      </c>
      <c r="D86" s="91" t="s">
        <v>59</v>
      </c>
      <c r="E86" s="91" t="s">
        <v>0</v>
      </c>
      <c r="F86" s="92">
        <f>411253.92</f>
        <v>411253.92</v>
      </c>
      <c r="G86" s="92">
        <f>411253.92</f>
        <v>411253.92</v>
      </c>
      <c r="H86" s="92">
        <f>411253.92</f>
        <v>411253.92</v>
      </c>
    </row>
    <row r="87" spans="1:8" s="84" customFormat="1" ht="13.5" customHeight="1">
      <c r="A87" s="91" t="s">
        <v>98</v>
      </c>
      <c r="B87" s="91" t="s">
        <v>101</v>
      </c>
      <c r="C87" s="91" t="s">
        <v>102</v>
      </c>
      <c r="D87" s="91" t="s">
        <v>103</v>
      </c>
      <c r="E87" s="91" t="s">
        <v>0</v>
      </c>
      <c r="F87" s="92">
        <f>324000</f>
        <v>324000</v>
      </c>
      <c r="G87" s="92">
        <f>324000</f>
        <v>324000</v>
      </c>
      <c r="H87" s="92">
        <f>324000</f>
        <v>324000</v>
      </c>
    </row>
    <row r="88" spans="1:8" s="84" customFormat="1" ht="13.5" customHeight="1">
      <c r="A88" s="91" t="s">
        <v>98</v>
      </c>
      <c r="B88" s="91" t="s">
        <v>101</v>
      </c>
      <c r="C88" s="91" t="s">
        <v>102</v>
      </c>
      <c r="D88" s="91" t="s">
        <v>60</v>
      </c>
      <c r="E88" s="91" t="s">
        <v>0</v>
      </c>
      <c r="F88" s="92">
        <f>124198.68</f>
        <v>124198.68</v>
      </c>
      <c r="G88" s="92">
        <f>124198.68</f>
        <v>124198.68</v>
      </c>
      <c r="H88" s="92">
        <f>124198.68</f>
        <v>124198.68</v>
      </c>
    </row>
    <row r="89" spans="1:8" s="84" customFormat="1" ht="13.5" customHeight="1">
      <c r="A89" s="91" t="s">
        <v>98</v>
      </c>
      <c r="B89" s="91" t="s">
        <v>101</v>
      </c>
      <c r="C89" s="91" t="s">
        <v>104</v>
      </c>
      <c r="D89" s="91" t="s">
        <v>59</v>
      </c>
      <c r="E89" s="91" t="s">
        <v>0</v>
      </c>
      <c r="F89" s="92">
        <f>910252.22</f>
        <v>910252.22</v>
      </c>
      <c r="G89" s="92">
        <f>910252.22</f>
        <v>910252.22</v>
      </c>
      <c r="H89" s="92">
        <f>910252.22</f>
        <v>910252.22</v>
      </c>
    </row>
    <row r="90" spans="1:8" s="84" customFormat="1" ht="13.5" customHeight="1">
      <c r="A90" s="91" t="s">
        <v>98</v>
      </c>
      <c r="B90" s="91" t="s">
        <v>101</v>
      </c>
      <c r="C90" s="91" t="s">
        <v>104</v>
      </c>
      <c r="D90" s="91" t="s">
        <v>60</v>
      </c>
      <c r="E90" s="91" t="s">
        <v>0</v>
      </c>
      <c r="F90" s="92">
        <f>274896.17</f>
        <v>274896.17</v>
      </c>
      <c r="G90" s="92">
        <f>274896.17</f>
        <v>274896.17</v>
      </c>
      <c r="H90" s="92">
        <f>274896.17</f>
        <v>274896.17</v>
      </c>
    </row>
    <row r="91" spans="1:8" s="84" customFormat="1" ht="13.5" customHeight="1">
      <c r="A91" s="91" t="s">
        <v>98</v>
      </c>
      <c r="B91" s="91" t="s">
        <v>105</v>
      </c>
      <c r="C91" s="91" t="s">
        <v>106</v>
      </c>
      <c r="D91" s="91" t="s">
        <v>59</v>
      </c>
      <c r="E91" s="91" t="s">
        <v>0</v>
      </c>
      <c r="F91" s="92">
        <f>10964813.59</f>
        <v>10964813.59</v>
      </c>
      <c r="G91" s="92">
        <f>10964813.59</f>
        <v>10964813.59</v>
      </c>
      <c r="H91" s="92">
        <f>10964813.59</f>
        <v>10964813.59</v>
      </c>
    </row>
    <row r="92" spans="1:8" s="84" customFormat="1" ht="13.5" customHeight="1">
      <c r="A92" s="91" t="s">
        <v>98</v>
      </c>
      <c r="B92" s="91" t="s">
        <v>105</v>
      </c>
      <c r="C92" s="91" t="s">
        <v>106</v>
      </c>
      <c r="D92" s="91" t="s">
        <v>78</v>
      </c>
      <c r="E92" s="91" t="s">
        <v>0</v>
      </c>
      <c r="F92" s="92">
        <f>198500</f>
        <v>198500</v>
      </c>
      <c r="G92" s="92">
        <f>198500</f>
        <v>198500</v>
      </c>
      <c r="H92" s="92">
        <f>198500</f>
        <v>198500</v>
      </c>
    </row>
    <row r="93" spans="1:8" s="84" customFormat="1" ht="13.5" customHeight="1">
      <c r="A93" s="91" t="s">
        <v>98</v>
      </c>
      <c r="B93" s="91" t="s">
        <v>105</v>
      </c>
      <c r="C93" s="91" t="s">
        <v>106</v>
      </c>
      <c r="D93" s="91" t="s">
        <v>60</v>
      </c>
      <c r="E93" s="91" t="s">
        <v>0</v>
      </c>
      <c r="F93" s="92">
        <f>3311373.71</f>
        <v>3311373.71</v>
      </c>
      <c r="G93" s="92">
        <f>3311373.71</f>
        <v>3311373.71</v>
      </c>
      <c r="H93" s="92">
        <f>3311373.71</f>
        <v>3311373.71</v>
      </c>
    </row>
    <row r="94" spans="1:8" s="84" customFormat="1" ht="13.5" customHeight="1">
      <c r="A94" s="91" t="s">
        <v>98</v>
      </c>
      <c r="B94" s="91" t="s">
        <v>105</v>
      </c>
      <c r="C94" s="91" t="s">
        <v>106</v>
      </c>
      <c r="D94" s="91" t="s">
        <v>65</v>
      </c>
      <c r="E94" s="91" t="s">
        <v>0</v>
      </c>
      <c r="F94" s="92">
        <f>589700</f>
        <v>589700</v>
      </c>
      <c r="G94" s="92">
        <f>589700</f>
        <v>589700</v>
      </c>
      <c r="H94" s="92">
        <f>589700</f>
        <v>589700</v>
      </c>
    </row>
    <row r="95" spans="1:8" s="84" customFormat="1" ht="13.5" customHeight="1">
      <c r="A95" s="91" t="s">
        <v>98</v>
      </c>
      <c r="B95" s="91" t="s">
        <v>105</v>
      </c>
      <c r="C95" s="91" t="s">
        <v>107</v>
      </c>
      <c r="D95" s="91" t="s">
        <v>65</v>
      </c>
      <c r="E95" s="91" t="s">
        <v>0</v>
      </c>
      <c r="F95" s="92">
        <f>45000</f>
        <v>45000</v>
      </c>
      <c r="G95" s="93" t="s">
        <v>0</v>
      </c>
      <c r="H95" s="93" t="s">
        <v>0</v>
      </c>
    </row>
    <row r="96" spans="1:8" s="84" customFormat="1" ht="13.5" customHeight="1">
      <c r="A96" s="91" t="s">
        <v>98</v>
      </c>
      <c r="B96" s="91" t="s">
        <v>105</v>
      </c>
      <c r="C96" s="91" t="s">
        <v>108</v>
      </c>
      <c r="D96" s="91" t="s">
        <v>59</v>
      </c>
      <c r="E96" s="91" t="s">
        <v>35</v>
      </c>
      <c r="F96" s="92">
        <f>210435.07</f>
        <v>210435.07</v>
      </c>
      <c r="G96" s="93" t="s">
        <v>0</v>
      </c>
      <c r="H96" s="93" t="s">
        <v>0</v>
      </c>
    </row>
    <row r="97" spans="1:8" s="84" customFormat="1" ht="13.5" customHeight="1">
      <c r="A97" s="91" t="s">
        <v>98</v>
      </c>
      <c r="B97" s="91" t="s">
        <v>105</v>
      </c>
      <c r="C97" s="91" t="s">
        <v>108</v>
      </c>
      <c r="D97" s="91" t="s">
        <v>60</v>
      </c>
      <c r="E97" s="91" t="s">
        <v>35</v>
      </c>
      <c r="F97" s="92">
        <f>63543.99</f>
        <v>63543.99</v>
      </c>
      <c r="G97" s="93" t="s">
        <v>0</v>
      </c>
      <c r="H97" s="93" t="s">
        <v>0</v>
      </c>
    </row>
    <row r="98" spans="1:8" s="84" customFormat="1" ht="13.5" customHeight="1">
      <c r="A98" s="91" t="s">
        <v>98</v>
      </c>
      <c r="B98" s="91" t="s">
        <v>105</v>
      </c>
      <c r="C98" s="91" t="s">
        <v>109</v>
      </c>
      <c r="D98" s="91" t="s">
        <v>59</v>
      </c>
      <c r="E98" s="91" t="s">
        <v>110</v>
      </c>
      <c r="F98" s="92">
        <f>72503.84</f>
        <v>72503.84</v>
      </c>
      <c r="G98" s="92">
        <f>72503.84</f>
        <v>72503.84</v>
      </c>
      <c r="H98" s="92">
        <f>72503.84</f>
        <v>72503.84</v>
      </c>
    </row>
    <row r="99" spans="1:8" s="84" customFormat="1" ht="13.5" customHeight="1">
      <c r="A99" s="91" t="s">
        <v>98</v>
      </c>
      <c r="B99" s="91" t="s">
        <v>105</v>
      </c>
      <c r="C99" s="91" t="s">
        <v>109</v>
      </c>
      <c r="D99" s="91" t="s">
        <v>60</v>
      </c>
      <c r="E99" s="91" t="s">
        <v>110</v>
      </c>
      <c r="F99" s="92">
        <f>21896.16</f>
        <v>21896.16</v>
      </c>
      <c r="G99" s="92">
        <f>21896.16</f>
        <v>21896.16</v>
      </c>
      <c r="H99" s="92">
        <f>21896.16</f>
        <v>21896.16</v>
      </c>
    </row>
    <row r="100" spans="1:8" s="84" customFormat="1" ht="13.5" customHeight="1">
      <c r="A100" s="91" t="s">
        <v>98</v>
      </c>
      <c r="B100" s="91" t="s">
        <v>105</v>
      </c>
      <c r="C100" s="91" t="s">
        <v>111</v>
      </c>
      <c r="D100" s="91" t="s">
        <v>59</v>
      </c>
      <c r="E100" s="91" t="s">
        <v>112</v>
      </c>
      <c r="F100" s="92">
        <f>891613.44</f>
        <v>891613.44</v>
      </c>
      <c r="G100" s="92">
        <f>891613.44</f>
        <v>891613.44</v>
      </c>
      <c r="H100" s="92">
        <f>891613.44</f>
        <v>891613.44</v>
      </c>
    </row>
    <row r="101" spans="1:8" s="84" customFormat="1" ht="13.5" customHeight="1">
      <c r="A101" s="91" t="s">
        <v>98</v>
      </c>
      <c r="B101" s="91" t="s">
        <v>105</v>
      </c>
      <c r="C101" s="91" t="s">
        <v>111</v>
      </c>
      <c r="D101" s="91" t="s">
        <v>78</v>
      </c>
      <c r="E101" s="91" t="s">
        <v>112</v>
      </c>
      <c r="F101" s="92">
        <f>10000</f>
        <v>10000</v>
      </c>
      <c r="G101" s="92">
        <f>10000</f>
        <v>10000</v>
      </c>
      <c r="H101" s="92">
        <f>10000</f>
        <v>10000</v>
      </c>
    </row>
    <row r="102" spans="1:8" s="84" customFormat="1" ht="13.5" customHeight="1">
      <c r="A102" s="91" t="s">
        <v>98</v>
      </c>
      <c r="B102" s="91" t="s">
        <v>105</v>
      </c>
      <c r="C102" s="91" t="s">
        <v>111</v>
      </c>
      <c r="D102" s="91" t="s">
        <v>60</v>
      </c>
      <c r="E102" s="91" t="s">
        <v>112</v>
      </c>
      <c r="F102" s="92">
        <f>266859.14</f>
        <v>266859.14</v>
      </c>
      <c r="G102" s="92">
        <f>266859.14</f>
        <v>266859.14</v>
      </c>
      <c r="H102" s="92">
        <f>266859.14</f>
        <v>266859.14</v>
      </c>
    </row>
    <row r="103" spans="1:8" s="84" customFormat="1" ht="13.5" customHeight="1">
      <c r="A103" s="91" t="s">
        <v>98</v>
      </c>
      <c r="B103" s="91" t="s">
        <v>105</v>
      </c>
      <c r="C103" s="91" t="s">
        <v>111</v>
      </c>
      <c r="D103" s="91" t="s">
        <v>65</v>
      </c>
      <c r="E103" s="91" t="s">
        <v>112</v>
      </c>
      <c r="F103" s="92">
        <f>92227.42</f>
        <v>92227.42</v>
      </c>
      <c r="G103" s="92">
        <f>92227.42</f>
        <v>92227.42</v>
      </c>
      <c r="H103" s="92">
        <f>92227.42</f>
        <v>92227.42</v>
      </c>
    </row>
    <row r="104" spans="1:8" s="84" customFormat="1" ht="13.5" customHeight="1">
      <c r="A104" s="91" t="s">
        <v>98</v>
      </c>
      <c r="B104" s="91" t="s">
        <v>105</v>
      </c>
      <c r="C104" s="91" t="s">
        <v>113</v>
      </c>
      <c r="D104" s="91" t="s">
        <v>65</v>
      </c>
      <c r="E104" s="91" t="s">
        <v>114</v>
      </c>
      <c r="F104" s="92">
        <f>200</f>
        <v>200</v>
      </c>
      <c r="G104" s="92">
        <f>200</f>
        <v>200</v>
      </c>
      <c r="H104" s="92">
        <f>200</f>
        <v>200</v>
      </c>
    </row>
    <row r="105" spans="1:8" s="84" customFormat="1" ht="13.5" customHeight="1">
      <c r="A105" s="91" t="s">
        <v>98</v>
      </c>
      <c r="B105" s="91" t="s">
        <v>115</v>
      </c>
      <c r="C105" s="91" t="s">
        <v>116</v>
      </c>
      <c r="D105" s="91" t="s">
        <v>65</v>
      </c>
      <c r="E105" s="91" t="s">
        <v>117</v>
      </c>
      <c r="F105" s="92">
        <f>84700</f>
        <v>84700</v>
      </c>
      <c r="G105" s="92">
        <f>3800</f>
        <v>3800</v>
      </c>
      <c r="H105" s="92">
        <f>3400</f>
        <v>3400</v>
      </c>
    </row>
    <row r="106" spans="1:8" s="84" customFormat="1" ht="13.5" customHeight="1">
      <c r="A106" s="91" t="s">
        <v>98</v>
      </c>
      <c r="B106" s="91" t="s">
        <v>76</v>
      </c>
      <c r="C106" s="91" t="s">
        <v>102</v>
      </c>
      <c r="D106" s="91" t="s">
        <v>59</v>
      </c>
      <c r="E106" s="91" t="s">
        <v>0</v>
      </c>
      <c r="F106" s="92">
        <f>819383.04</f>
        <v>819383.04</v>
      </c>
      <c r="G106" s="93" t="s">
        <v>0</v>
      </c>
      <c r="H106" s="93" t="s">
        <v>0</v>
      </c>
    </row>
    <row r="107" spans="1:8" s="84" customFormat="1" ht="13.5" customHeight="1">
      <c r="A107" s="91" t="s">
        <v>98</v>
      </c>
      <c r="B107" s="91" t="s">
        <v>76</v>
      </c>
      <c r="C107" s="91" t="s">
        <v>102</v>
      </c>
      <c r="D107" s="91" t="s">
        <v>60</v>
      </c>
      <c r="E107" s="91" t="s">
        <v>0</v>
      </c>
      <c r="F107" s="92">
        <f>247453.68</f>
        <v>247453.68</v>
      </c>
      <c r="G107" s="93" t="s">
        <v>0</v>
      </c>
      <c r="H107" s="93" t="s">
        <v>0</v>
      </c>
    </row>
    <row r="108" spans="1:8" s="84" customFormat="1" ht="13.5" customHeight="1">
      <c r="A108" s="91" t="s">
        <v>98</v>
      </c>
      <c r="B108" s="91" t="s">
        <v>118</v>
      </c>
      <c r="C108" s="91" t="s">
        <v>119</v>
      </c>
      <c r="D108" s="91" t="s">
        <v>120</v>
      </c>
      <c r="E108" s="91" t="s">
        <v>0</v>
      </c>
      <c r="F108" s="92">
        <f>411000</f>
        <v>411000</v>
      </c>
      <c r="G108" s="93" t="s">
        <v>0</v>
      </c>
      <c r="H108" s="93" t="s">
        <v>0</v>
      </c>
    </row>
    <row r="109" spans="1:8" s="84" customFormat="1" ht="13.5" customHeight="1">
      <c r="A109" s="91" t="s">
        <v>98</v>
      </c>
      <c r="B109" s="91" t="s">
        <v>121</v>
      </c>
      <c r="C109" s="91" t="s">
        <v>122</v>
      </c>
      <c r="D109" s="91" t="s">
        <v>59</v>
      </c>
      <c r="E109" s="91" t="s">
        <v>123</v>
      </c>
      <c r="F109" s="92">
        <f>603854.65</f>
        <v>603854.65</v>
      </c>
      <c r="G109" s="92">
        <f>603854.65</f>
        <v>603854.65</v>
      </c>
      <c r="H109" s="92">
        <f>603854.65</f>
        <v>603854.65</v>
      </c>
    </row>
    <row r="110" spans="1:8" s="84" customFormat="1" ht="13.5" customHeight="1">
      <c r="A110" s="91" t="s">
        <v>98</v>
      </c>
      <c r="B110" s="91" t="s">
        <v>121</v>
      </c>
      <c r="C110" s="91" t="s">
        <v>122</v>
      </c>
      <c r="D110" s="91" t="s">
        <v>78</v>
      </c>
      <c r="E110" s="91" t="s">
        <v>123</v>
      </c>
      <c r="F110" s="92">
        <f>22400</f>
        <v>22400</v>
      </c>
      <c r="G110" s="92">
        <f>22400</f>
        <v>22400</v>
      </c>
      <c r="H110" s="92">
        <f>22400</f>
        <v>22400</v>
      </c>
    </row>
    <row r="111" spans="1:8" s="84" customFormat="1" ht="13.5" customHeight="1">
      <c r="A111" s="91" t="s">
        <v>98</v>
      </c>
      <c r="B111" s="91" t="s">
        <v>121</v>
      </c>
      <c r="C111" s="91" t="s">
        <v>122</v>
      </c>
      <c r="D111" s="91" t="s">
        <v>60</v>
      </c>
      <c r="E111" s="91" t="s">
        <v>123</v>
      </c>
      <c r="F111" s="92">
        <f>181156.11</f>
        <v>181156.11</v>
      </c>
      <c r="G111" s="92">
        <f>181156.11</f>
        <v>181156.11</v>
      </c>
      <c r="H111" s="92">
        <f>181156.11</f>
        <v>181156.11</v>
      </c>
    </row>
    <row r="112" spans="1:8" s="84" customFormat="1" ht="13.5" customHeight="1">
      <c r="A112" s="91" t="s">
        <v>98</v>
      </c>
      <c r="B112" s="91" t="s">
        <v>121</v>
      </c>
      <c r="C112" s="91" t="s">
        <v>122</v>
      </c>
      <c r="D112" s="91" t="s">
        <v>65</v>
      </c>
      <c r="E112" s="91" t="s">
        <v>123</v>
      </c>
      <c r="F112" s="92">
        <f>21489.24</f>
        <v>21489.24</v>
      </c>
      <c r="G112" s="92">
        <f>21489.24</f>
        <v>21489.24</v>
      </c>
      <c r="H112" s="92">
        <f>21489.24</f>
        <v>21489.24</v>
      </c>
    </row>
    <row r="113" spans="1:8" s="84" customFormat="1" ht="13.5" customHeight="1">
      <c r="A113" s="91" t="s">
        <v>98</v>
      </c>
      <c r="B113" s="91" t="s">
        <v>121</v>
      </c>
      <c r="C113" s="91" t="s">
        <v>124</v>
      </c>
      <c r="D113" s="91" t="s">
        <v>65</v>
      </c>
      <c r="E113" s="91" t="s">
        <v>125</v>
      </c>
      <c r="F113" s="92">
        <f>58900</f>
        <v>58900</v>
      </c>
      <c r="G113" s="92">
        <f>58900</f>
        <v>58900</v>
      </c>
      <c r="H113" s="92">
        <f>58900</f>
        <v>58900</v>
      </c>
    </row>
    <row r="114" spans="1:8" s="84" customFormat="1" ht="13.5" customHeight="1">
      <c r="A114" s="91" t="s">
        <v>98</v>
      </c>
      <c r="B114" s="91" t="s">
        <v>121</v>
      </c>
      <c r="C114" s="91" t="s">
        <v>126</v>
      </c>
      <c r="D114" s="91" t="s">
        <v>59</v>
      </c>
      <c r="E114" s="91" t="s">
        <v>127</v>
      </c>
      <c r="F114" s="92">
        <f>219585.25</f>
        <v>219585.25</v>
      </c>
      <c r="G114" s="92">
        <f>219585.25</f>
        <v>219585.25</v>
      </c>
      <c r="H114" s="92">
        <f>219585.25</f>
        <v>219585.25</v>
      </c>
    </row>
    <row r="115" spans="1:8" s="84" customFormat="1" ht="13.5" customHeight="1">
      <c r="A115" s="91" t="s">
        <v>98</v>
      </c>
      <c r="B115" s="91" t="s">
        <v>121</v>
      </c>
      <c r="C115" s="91" t="s">
        <v>126</v>
      </c>
      <c r="D115" s="91" t="s">
        <v>60</v>
      </c>
      <c r="E115" s="91" t="s">
        <v>127</v>
      </c>
      <c r="F115" s="92">
        <f>66314.75</f>
        <v>66314.75</v>
      </c>
      <c r="G115" s="92">
        <f>66314.75</f>
        <v>66314.75</v>
      </c>
      <c r="H115" s="92">
        <f>66314.75</f>
        <v>66314.75</v>
      </c>
    </row>
    <row r="116" spans="1:8" s="84" customFormat="1" ht="13.5" customHeight="1">
      <c r="A116" s="91" t="s">
        <v>98</v>
      </c>
      <c r="B116" s="91" t="s">
        <v>121</v>
      </c>
      <c r="C116" s="91" t="s">
        <v>128</v>
      </c>
      <c r="D116" s="91" t="s">
        <v>129</v>
      </c>
      <c r="E116" s="91" t="s">
        <v>0</v>
      </c>
      <c r="F116" s="92">
        <f>600</f>
        <v>600</v>
      </c>
      <c r="G116" s="92">
        <f>600</f>
        <v>600</v>
      </c>
      <c r="H116" s="92">
        <f>600</f>
        <v>600</v>
      </c>
    </row>
    <row r="117" spans="1:8" s="84" customFormat="1" ht="13.5" customHeight="1">
      <c r="A117" s="91" t="s">
        <v>98</v>
      </c>
      <c r="B117" s="91" t="s">
        <v>121</v>
      </c>
      <c r="C117" s="91" t="s">
        <v>128</v>
      </c>
      <c r="D117" s="91" t="s">
        <v>129</v>
      </c>
      <c r="E117" s="91" t="s">
        <v>130</v>
      </c>
      <c r="F117" s="92">
        <f>29400</f>
        <v>29400</v>
      </c>
      <c r="G117" s="92">
        <f>29400</f>
        <v>29400</v>
      </c>
      <c r="H117" s="92">
        <f>29400</f>
        <v>29400</v>
      </c>
    </row>
    <row r="118" spans="1:8" s="84" customFormat="1" ht="13.5" customHeight="1">
      <c r="A118" s="91" t="s">
        <v>98</v>
      </c>
      <c r="B118" s="91" t="s">
        <v>131</v>
      </c>
      <c r="C118" s="91" t="s">
        <v>132</v>
      </c>
      <c r="D118" s="91" t="s">
        <v>65</v>
      </c>
      <c r="E118" s="91" t="s">
        <v>0</v>
      </c>
      <c r="F118" s="92">
        <f>311000</f>
        <v>311000</v>
      </c>
      <c r="G118" s="92">
        <f>311000</f>
        <v>311000</v>
      </c>
      <c r="H118" s="92">
        <f>311000</f>
        <v>311000</v>
      </c>
    </row>
    <row r="119" spans="1:8" s="84" customFormat="1" ht="13.5" customHeight="1">
      <c r="A119" s="91" t="s">
        <v>98</v>
      </c>
      <c r="B119" s="91" t="s">
        <v>131</v>
      </c>
      <c r="C119" s="91" t="s">
        <v>133</v>
      </c>
      <c r="D119" s="91" t="s">
        <v>63</v>
      </c>
      <c r="E119" s="91" t="s">
        <v>0</v>
      </c>
      <c r="F119" s="92">
        <f>2518149</f>
        <v>2518149</v>
      </c>
      <c r="G119" s="92">
        <f>2518149</f>
        <v>2518149</v>
      </c>
      <c r="H119" s="92">
        <f>2518149</f>
        <v>2518149</v>
      </c>
    </row>
    <row r="120" spans="1:8" s="84" customFormat="1" ht="13.5" customHeight="1">
      <c r="A120" s="91" t="s">
        <v>98</v>
      </c>
      <c r="B120" s="91" t="s">
        <v>131</v>
      </c>
      <c r="C120" s="91" t="s">
        <v>133</v>
      </c>
      <c r="D120" s="91" t="s">
        <v>64</v>
      </c>
      <c r="E120" s="91" t="s">
        <v>0</v>
      </c>
      <c r="F120" s="92">
        <f>760481</f>
        <v>760481</v>
      </c>
      <c r="G120" s="92">
        <f>760481</f>
        <v>760481</v>
      </c>
      <c r="H120" s="92">
        <f>760481</f>
        <v>760481</v>
      </c>
    </row>
    <row r="121" spans="1:8" s="84" customFormat="1" ht="13.5" customHeight="1">
      <c r="A121" s="91" t="s">
        <v>98</v>
      </c>
      <c r="B121" s="91" t="s">
        <v>131</v>
      </c>
      <c r="C121" s="91" t="s">
        <v>133</v>
      </c>
      <c r="D121" s="91" t="s">
        <v>65</v>
      </c>
      <c r="E121" s="91" t="s">
        <v>0</v>
      </c>
      <c r="F121" s="92">
        <f>483800</f>
        <v>483800</v>
      </c>
      <c r="G121" s="93" t="s">
        <v>0</v>
      </c>
      <c r="H121" s="93" t="s">
        <v>0</v>
      </c>
    </row>
    <row r="122" spans="1:8" s="84" customFormat="1" ht="13.5" customHeight="1">
      <c r="A122" s="91" t="s">
        <v>98</v>
      </c>
      <c r="B122" s="91" t="s">
        <v>131</v>
      </c>
      <c r="C122" s="91" t="s">
        <v>134</v>
      </c>
      <c r="D122" s="91" t="s">
        <v>63</v>
      </c>
      <c r="E122" s="91" t="s">
        <v>35</v>
      </c>
      <c r="F122" s="92">
        <f>204470</f>
        <v>204470</v>
      </c>
      <c r="G122" s="93" t="s">
        <v>0</v>
      </c>
      <c r="H122" s="93" t="s">
        <v>0</v>
      </c>
    </row>
    <row r="123" spans="1:8" s="84" customFormat="1" ht="13.5" customHeight="1">
      <c r="A123" s="91" t="s">
        <v>98</v>
      </c>
      <c r="B123" s="91" t="s">
        <v>131</v>
      </c>
      <c r="C123" s="91" t="s">
        <v>134</v>
      </c>
      <c r="D123" s="91" t="s">
        <v>64</v>
      </c>
      <c r="E123" s="91" t="s">
        <v>35</v>
      </c>
      <c r="F123" s="92">
        <f>61750</f>
        <v>61750</v>
      </c>
      <c r="G123" s="93" t="s">
        <v>0</v>
      </c>
      <c r="H123" s="93" t="s">
        <v>0</v>
      </c>
    </row>
    <row r="124" spans="1:8" s="84" customFormat="1" ht="13.5" customHeight="1">
      <c r="A124" s="91" t="s">
        <v>98</v>
      </c>
      <c r="B124" s="91" t="s">
        <v>135</v>
      </c>
      <c r="C124" s="91" t="s">
        <v>136</v>
      </c>
      <c r="D124" s="91" t="s">
        <v>65</v>
      </c>
      <c r="E124" s="91" t="s">
        <v>0</v>
      </c>
      <c r="F124" s="92">
        <f>43000</f>
        <v>43000</v>
      </c>
      <c r="G124" s="93" t="s">
        <v>0</v>
      </c>
      <c r="H124" s="93" t="s">
        <v>0</v>
      </c>
    </row>
    <row r="125" spans="1:8" s="84" customFormat="1" ht="13.5" customHeight="1">
      <c r="A125" s="91" t="s">
        <v>98</v>
      </c>
      <c r="B125" s="91" t="s">
        <v>135</v>
      </c>
      <c r="C125" s="91" t="s">
        <v>137</v>
      </c>
      <c r="D125" s="91" t="s">
        <v>65</v>
      </c>
      <c r="E125" s="91" t="s">
        <v>0</v>
      </c>
      <c r="F125" s="92">
        <f>195560</f>
        <v>195560</v>
      </c>
      <c r="G125" s="92">
        <f>195560</f>
        <v>195560</v>
      </c>
      <c r="H125" s="92">
        <f>195560</f>
        <v>195560</v>
      </c>
    </row>
    <row r="126" spans="1:8" s="84" customFormat="1" ht="13.5" customHeight="1">
      <c r="A126" s="91" t="s">
        <v>98</v>
      </c>
      <c r="B126" s="91" t="s">
        <v>135</v>
      </c>
      <c r="C126" s="91" t="s">
        <v>138</v>
      </c>
      <c r="D126" s="91" t="s">
        <v>65</v>
      </c>
      <c r="E126" s="91" t="s">
        <v>0</v>
      </c>
      <c r="F126" s="92">
        <f>1516.33</f>
        <v>1516.33</v>
      </c>
      <c r="G126" s="92">
        <f>944.9</f>
        <v>944.9</v>
      </c>
      <c r="H126" s="92">
        <f>944.9</f>
        <v>944.9</v>
      </c>
    </row>
    <row r="127" spans="1:8" s="84" customFormat="1" ht="13.5" customHeight="1">
      <c r="A127" s="91" t="s">
        <v>98</v>
      </c>
      <c r="B127" s="91" t="s">
        <v>135</v>
      </c>
      <c r="C127" s="91" t="s">
        <v>138</v>
      </c>
      <c r="D127" s="91" t="s">
        <v>65</v>
      </c>
      <c r="E127" s="91" t="s">
        <v>139</v>
      </c>
      <c r="F127" s="92">
        <f>74300</f>
        <v>74300</v>
      </c>
      <c r="G127" s="92">
        <f>46300</f>
        <v>46300</v>
      </c>
      <c r="H127" s="92">
        <f>46300</f>
        <v>46300</v>
      </c>
    </row>
    <row r="128" spans="1:8" s="84" customFormat="1" ht="13.5" customHeight="1">
      <c r="A128" s="91" t="s">
        <v>98</v>
      </c>
      <c r="B128" s="91" t="s">
        <v>140</v>
      </c>
      <c r="C128" s="91" t="s">
        <v>141</v>
      </c>
      <c r="D128" s="91" t="s">
        <v>65</v>
      </c>
      <c r="E128" s="91" t="s">
        <v>0</v>
      </c>
      <c r="F128" s="92">
        <f>611700</f>
        <v>611700</v>
      </c>
      <c r="G128" s="93" t="s">
        <v>0</v>
      </c>
      <c r="H128" s="93" t="s">
        <v>0</v>
      </c>
    </row>
    <row r="129" spans="1:8" s="84" customFormat="1" ht="13.5" customHeight="1">
      <c r="A129" s="91" t="s">
        <v>98</v>
      </c>
      <c r="B129" s="91" t="s">
        <v>140</v>
      </c>
      <c r="C129" s="91" t="s">
        <v>142</v>
      </c>
      <c r="D129" s="91" t="s">
        <v>65</v>
      </c>
      <c r="E129" s="91" t="s">
        <v>143</v>
      </c>
      <c r="F129" s="92">
        <f>236900</f>
        <v>236900</v>
      </c>
      <c r="G129" s="92">
        <f>236900</f>
        <v>236900</v>
      </c>
      <c r="H129" s="92">
        <f>236900</f>
        <v>236900</v>
      </c>
    </row>
    <row r="130" spans="1:8" s="84" customFormat="1" ht="13.5" customHeight="1">
      <c r="A130" s="91" t="s">
        <v>98</v>
      </c>
      <c r="B130" s="91" t="s">
        <v>140</v>
      </c>
      <c r="C130" s="91" t="s">
        <v>144</v>
      </c>
      <c r="D130" s="91" t="s">
        <v>65</v>
      </c>
      <c r="E130" s="91" t="s">
        <v>145</v>
      </c>
      <c r="F130" s="92">
        <f>355200</f>
        <v>355200</v>
      </c>
      <c r="G130" s="92">
        <f>355200</f>
        <v>355200</v>
      </c>
      <c r="H130" s="92">
        <f>355200</f>
        <v>355200</v>
      </c>
    </row>
    <row r="131" spans="1:8" s="84" customFormat="1" ht="13.5" customHeight="1">
      <c r="A131" s="91" t="s">
        <v>98</v>
      </c>
      <c r="B131" s="91" t="s">
        <v>146</v>
      </c>
      <c r="C131" s="91" t="s">
        <v>147</v>
      </c>
      <c r="D131" s="91" t="s">
        <v>65</v>
      </c>
      <c r="E131" s="91" t="s">
        <v>0</v>
      </c>
      <c r="F131" s="92">
        <f>13972670</f>
        <v>13972670</v>
      </c>
      <c r="G131" s="92">
        <f>14889680</f>
        <v>14889680</v>
      </c>
      <c r="H131" s="92">
        <f>14799370</f>
        <v>14799370</v>
      </c>
    </row>
    <row r="132" spans="1:8" s="84" customFormat="1" ht="13.5" customHeight="1">
      <c r="A132" s="91" t="s">
        <v>98</v>
      </c>
      <c r="B132" s="91" t="s">
        <v>148</v>
      </c>
      <c r="C132" s="91" t="s">
        <v>149</v>
      </c>
      <c r="D132" s="91" t="s">
        <v>59</v>
      </c>
      <c r="E132" s="91" t="s">
        <v>150</v>
      </c>
      <c r="F132" s="92">
        <f>47634.41</f>
        <v>47634.41</v>
      </c>
      <c r="G132" s="92">
        <f>47634.41</f>
        <v>47634.41</v>
      </c>
      <c r="H132" s="92">
        <f>47634.41</f>
        <v>47634.41</v>
      </c>
    </row>
    <row r="133" spans="1:8" s="84" customFormat="1" ht="13.5" customHeight="1">
      <c r="A133" s="91" t="s">
        <v>98</v>
      </c>
      <c r="B133" s="91" t="s">
        <v>148</v>
      </c>
      <c r="C133" s="91" t="s">
        <v>149</v>
      </c>
      <c r="D133" s="91" t="s">
        <v>60</v>
      </c>
      <c r="E133" s="91" t="s">
        <v>150</v>
      </c>
      <c r="F133" s="92">
        <f>14385.59</f>
        <v>14385.59</v>
      </c>
      <c r="G133" s="92">
        <f>14385.59</f>
        <v>14385.59</v>
      </c>
      <c r="H133" s="92">
        <f>14385.59</f>
        <v>14385.59</v>
      </c>
    </row>
    <row r="134" spans="1:8" s="84" customFormat="1" ht="13.5" customHeight="1">
      <c r="A134" s="91" t="s">
        <v>98</v>
      </c>
      <c r="B134" s="91" t="s">
        <v>148</v>
      </c>
      <c r="C134" s="91" t="s">
        <v>149</v>
      </c>
      <c r="D134" s="91" t="s">
        <v>65</v>
      </c>
      <c r="E134" s="91" t="s">
        <v>150</v>
      </c>
      <c r="F134" s="92">
        <f>2380</f>
        <v>2380</v>
      </c>
      <c r="G134" s="92">
        <f>2380</f>
        <v>2380</v>
      </c>
      <c r="H134" s="92">
        <f>2380</f>
        <v>2380</v>
      </c>
    </row>
    <row r="135" spans="1:8" s="84" customFormat="1" ht="13.5" customHeight="1">
      <c r="A135" s="91" t="s">
        <v>98</v>
      </c>
      <c r="B135" s="91" t="s">
        <v>148</v>
      </c>
      <c r="C135" s="91" t="s">
        <v>151</v>
      </c>
      <c r="D135" s="91" t="s">
        <v>65</v>
      </c>
      <c r="E135" s="91" t="s">
        <v>0</v>
      </c>
      <c r="F135" s="92">
        <f>500000</f>
        <v>500000</v>
      </c>
      <c r="G135" s="93" t="s">
        <v>0</v>
      </c>
      <c r="H135" s="93" t="s">
        <v>0</v>
      </c>
    </row>
    <row r="136" spans="1:8" s="84" customFormat="1" ht="13.5" customHeight="1">
      <c r="A136" s="91" t="s">
        <v>98</v>
      </c>
      <c r="B136" s="91" t="s">
        <v>148</v>
      </c>
      <c r="C136" s="91" t="s">
        <v>152</v>
      </c>
      <c r="D136" s="91" t="s">
        <v>153</v>
      </c>
      <c r="E136" s="91" t="s">
        <v>0</v>
      </c>
      <c r="F136" s="92">
        <f>350000</f>
        <v>350000</v>
      </c>
      <c r="G136" s="93" t="s">
        <v>0</v>
      </c>
      <c r="H136" s="93" t="s">
        <v>0</v>
      </c>
    </row>
    <row r="137" spans="1:8" s="84" customFormat="1" ht="13.5" customHeight="1">
      <c r="A137" s="91" t="s">
        <v>98</v>
      </c>
      <c r="B137" s="91" t="s">
        <v>148</v>
      </c>
      <c r="C137" s="91" t="s">
        <v>154</v>
      </c>
      <c r="D137" s="91" t="s">
        <v>65</v>
      </c>
      <c r="E137" s="91" t="s">
        <v>0</v>
      </c>
      <c r="F137" s="92">
        <f>100000</f>
        <v>100000</v>
      </c>
      <c r="G137" s="93" t="s">
        <v>0</v>
      </c>
      <c r="H137" s="93" t="s">
        <v>0</v>
      </c>
    </row>
    <row r="138" spans="1:8" s="84" customFormat="1" ht="13.5" customHeight="1">
      <c r="A138" s="91" t="s">
        <v>98</v>
      </c>
      <c r="B138" s="91" t="s">
        <v>148</v>
      </c>
      <c r="C138" s="91" t="s">
        <v>155</v>
      </c>
      <c r="D138" s="91" t="s">
        <v>65</v>
      </c>
      <c r="E138" s="91" t="s">
        <v>0</v>
      </c>
      <c r="F138" s="92">
        <f>4802000</f>
        <v>4802000</v>
      </c>
      <c r="G138" s="93" t="s">
        <v>0</v>
      </c>
      <c r="H138" s="93" t="s">
        <v>0</v>
      </c>
    </row>
    <row r="139" spans="1:8" s="84" customFormat="1" ht="13.5" customHeight="1">
      <c r="A139" s="91" t="s">
        <v>98</v>
      </c>
      <c r="B139" s="91" t="s">
        <v>148</v>
      </c>
      <c r="C139" s="91" t="s">
        <v>155</v>
      </c>
      <c r="D139" s="91" t="s">
        <v>156</v>
      </c>
      <c r="E139" s="91" t="s">
        <v>0</v>
      </c>
      <c r="F139" s="92">
        <f>3515400</f>
        <v>3515400</v>
      </c>
      <c r="G139" s="93" t="s">
        <v>0</v>
      </c>
      <c r="H139" s="93" t="s">
        <v>0</v>
      </c>
    </row>
    <row r="140" spans="1:8" s="84" customFormat="1" ht="13.5" customHeight="1">
      <c r="A140" s="91" t="s">
        <v>98</v>
      </c>
      <c r="B140" s="91" t="s">
        <v>148</v>
      </c>
      <c r="C140" s="91" t="s">
        <v>155</v>
      </c>
      <c r="D140" s="91" t="s">
        <v>157</v>
      </c>
      <c r="E140" s="91" t="s">
        <v>0</v>
      </c>
      <c r="F140" s="92">
        <f>2230000</f>
        <v>2230000</v>
      </c>
      <c r="G140" s="93" t="s">
        <v>0</v>
      </c>
      <c r="H140" s="93" t="s">
        <v>0</v>
      </c>
    </row>
    <row r="141" spans="1:8" s="84" customFormat="1" ht="13.5" customHeight="1">
      <c r="A141" s="91" t="s">
        <v>98</v>
      </c>
      <c r="B141" s="91" t="s">
        <v>148</v>
      </c>
      <c r="C141" s="91" t="s">
        <v>155</v>
      </c>
      <c r="D141" s="91" t="s">
        <v>66</v>
      </c>
      <c r="E141" s="91" t="s">
        <v>0</v>
      </c>
      <c r="F141" s="92">
        <f>99100</f>
        <v>99100</v>
      </c>
      <c r="G141" s="93" t="s">
        <v>0</v>
      </c>
      <c r="H141" s="93" t="s">
        <v>0</v>
      </c>
    </row>
    <row r="142" spans="1:8" s="84" customFormat="1" ht="13.5" customHeight="1">
      <c r="A142" s="91" t="s">
        <v>98</v>
      </c>
      <c r="B142" s="91" t="s">
        <v>148</v>
      </c>
      <c r="C142" s="91" t="s">
        <v>158</v>
      </c>
      <c r="D142" s="91" t="s">
        <v>63</v>
      </c>
      <c r="E142" s="91" t="s">
        <v>0</v>
      </c>
      <c r="F142" s="92">
        <f>3280589.45</f>
        <v>3280589.45</v>
      </c>
      <c r="G142" s="92">
        <f>4226221</f>
        <v>4226221</v>
      </c>
      <c r="H142" s="92">
        <f>4226221</f>
        <v>4226221</v>
      </c>
    </row>
    <row r="143" spans="1:8" s="84" customFormat="1" ht="13.5" customHeight="1">
      <c r="A143" s="91" t="s">
        <v>98</v>
      </c>
      <c r="B143" s="91" t="s">
        <v>148</v>
      </c>
      <c r="C143" s="91" t="s">
        <v>158</v>
      </c>
      <c r="D143" s="91" t="s">
        <v>159</v>
      </c>
      <c r="E143" s="91" t="s">
        <v>0</v>
      </c>
      <c r="F143" s="92">
        <f>44240</f>
        <v>44240</v>
      </c>
      <c r="G143" s="93" t="s">
        <v>0</v>
      </c>
      <c r="H143" s="93" t="s">
        <v>0</v>
      </c>
    </row>
    <row r="144" spans="1:8" s="84" customFormat="1" ht="13.5" customHeight="1">
      <c r="A144" s="91" t="s">
        <v>98</v>
      </c>
      <c r="B144" s="91" t="s">
        <v>148</v>
      </c>
      <c r="C144" s="91" t="s">
        <v>158</v>
      </c>
      <c r="D144" s="91" t="s">
        <v>64</v>
      </c>
      <c r="E144" s="91" t="s">
        <v>0</v>
      </c>
      <c r="F144" s="92">
        <f>990738.02</f>
        <v>990738.02</v>
      </c>
      <c r="G144" s="92">
        <f>1276319</f>
        <v>1276319</v>
      </c>
      <c r="H144" s="92">
        <f>1276319</f>
        <v>1276319</v>
      </c>
    </row>
    <row r="145" spans="1:8" s="84" customFormat="1" ht="13.5" customHeight="1">
      <c r="A145" s="91" t="s">
        <v>98</v>
      </c>
      <c r="B145" s="91" t="s">
        <v>148</v>
      </c>
      <c r="C145" s="91" t="s">
        <v>158</v>
      </c>
      <c r="D145" s="91" t="s">
        <v>65</v>
      </c>
      <c r="E145" s="91" t="s">
        <v>0</v>
      </c>
      <c r="F145" s="92">
        <f>3661500</f>
        <v>3661500</v>
      </c>
      <c r="G145" s="93" t="s">
        <v>0</v>
      </c>
      <c r="H145" s="93" t="s">
        <v>0</v>
      </c>
    </row>
    <row r="146" spans="1:8" s="84" customFormat="1" ht="13.5" customHeight="1">
      <c r="A146" s="91" t="s">
        <v>98</v>
      </c>
      <c r="B146" s="91" t="s">
        <v>148</v>
      </c>
      <c r="C146" s="91" t="s">
        <v>158</v>
      </c>
      <c r="D146" s="91" t="s">
        <v>157</v>
      </c>
      <c r="E146" s="91" t="s">
        <v>0</v>
      </c>
      <c r="F146" s="92">
        <f>115700</f>
        <v>115700</v>
      </c>
      <c r="G146" s="93" t="s">
        <v>0</v>
      </c>
      <c r="H146" s="93" t="s">
        <v>0</v>
      </c>
    </row>
    <row r="147" spans="1:8" s="84" customFormat="1" ht="13.5" customHeight="1">
      <c r="A147" s="91" t="s">
        <v>98</v>
      </c>
      <c r="B147" s="91" t="s">
        <v>148</v>
      </c>
      <c r="C147" s="91" t="s">
        <v>158</v>
      </c>
      <c r="D147" s="91" t="s">
        <v>66</v>
      </c>
      <c r="E147" s="91" t="s">
        <v>0</v>
      </c>
      <c r="F147" s="92">
        <f>900</f>
        <v>900</v>
      </c>
      <c r="G147" s="93" t="s">
        <v>0</v>
      </c>
      <c r="H147" s="93" t="s">
        <v>0</v>
      </c>
    </row>
    <row r="148" spans="1:8" s="84" customFormat="1" ht="13.5" customHeight="1">
      <c r="A148" s="91" t="s">
        <v>98</v>
      </c>
      <c r="B148" s="91" t="s">
        <v>148</v>
      </c>
      <c r="C148" s="91" t="s">
        <v>160</v>
      </c>
      <c r="D148" s="91" t="s">
        <v>63</v>
      </c>
      <c r="E148" s="91" t="s">
        <v>35</v>
      </c>
      <c r="F148" s="92">
        <f>911653.25</f>
        <v>911653.25</v>
      </c>
      <c r="G148" s="93" t="s">
        <v>0</v>
      </c>
      <c r="H148" s="93" t="s">
        <v>0</v>
      </c>
    </row>
    <row r="149" spans="1:8" s="84" customFormat="1" ht="13.5" customHeight="1">
      <c r="A149" s="91" t="s">
        <v>98</v>
      </c>
      <c r="B149" s="91" t="s">
        <v>148</v>
      </c>
      <c r="C149" s="91" t="s">
        <v>160</v>
      </c>
      <c r="D149" s="91" t="s">
        <v>64</v>
      </c>
      <c r="E149" s="91" t="s">
        <v>35</v>
      </c>
      <c r="F149" s="92">
        <f>275319.28</f>
        <v>275319.28</v>
      </c>
      <c r="G149" s="93" t="s">
        <v>0</v>
      </c>
      <c r="H149" s="93" t="s">
        <v>0</v>
      </c>
    </row>
    <row r="150" spans="1:8" s="84" customFormat="1" ht="13.5" customHeight="1">
      <c r="A150" s="91" t="s">
        <v>98</v>
      </c>
      <c r="B150" s="91" t="s">
        <v>148</v>
      </c>
      <c r="C150" s="91" t="s">
        <v>161</v>
      </c>
      <c r="D150" s="91" t="s">
        <v>65</v>
      </c>
      <c r="E150" s="91" t="s">
        <v>70</v>
      </c>
      <c r="F150" s="92">
        <f>36630</f>
        <v>36630</v>
      </c>
      <c r="G150" s="93" t="s">
        <v>0</v>
      </c>
      <c r="H150" s="93" t="s">
        <v>0</v>
      </c>
    </row>
    <row r="151" spans="1:8" s="84" customFormat="1" ht="13.5" customHeight="1">
      <c r="A151" s="91" t="s">
        <v>98</v>
      </c>
      <c r="B151" s="91" t="s">
        <v>148</v>
      </c>
      <c r="C151" s="91" t="s">
        <v>162</v>
      </c>
      <c r="D151" s="91" t="s">
        <v>163</v>
      </c>
      <c r="E151" s="91" t="s">
        <v>70</v>
      </c>
      <c r="F151" s="92">
        <f>200000</f>
        <v>200000</v>
      </c>
      <c r="G151" s="93" t="s">
        <v>0</v>
      </c>
      <c r="H151" s="93" t="s">
        <v>0</v>
      </c>
    </row>
    <row r="152" spans="1:8" s="84" customFormat="1" ht="13.5" customHeight="1">
      <c r="A152" s="91" t="s">
        <v>98</v>
      </c>
      <c r="B152" s="91" t="s">
        <v>148</v>
      </c>
      <c r="C152" s="91" t="s">
        <v>164</v>
      </c>
      <c r="D152" s="91" t="s">
        <v>65</v>
      </c>
      <c r="E152" s="91" t="s">
        <v>0</v>
      </c>
      <c r="F152" s="92">
        <f>58690</f>
        <v>58690</v>
      </c>
      <c r="G152" s="93" t="s">
        <v>0</v>
      </c>
      <c r="H152" s="93" t="s">
        <v>0</v>
      </c>
    </row>
    <row r="153" spans="1:8" s="84" customFormat="1" ht="13.5" customHeight="1">
      <c r="A153" s="91" t="s">
        <v>98</v>
      </c>
      <c r="B153" s="91" t="s">
        <v>165</v>
      </c>
      <c r="C153" s="91" t="s">
        <v>166</v>
      </c>
      <c r="D153" s="91" t="s">
        <v>153</v>
      </c>
      <c r="E153" s="91" t="s">
        <v>0</v>
      </c>
      <c r="F153" s="92">
        <f>500000</f>
        <v>500000</v>
      </c>
      <c r="G153" s="93" t="s">
        <v>0</v>
      </c>
      <c r="H153" s="93" t="s">
        <v>0</v>
      </c>
    </row>
    <row r="154" spans="1:8" s="84" customFormat="1" ht="13.5" customHeight="1">
      <c r="A154" s="91" t="s">
        <v>98</v>
      </c>
      <c r="B154" s="91" t="s">
        <v>165</v>
      </c>
      <c r="C154" s="91" t="s">
        <v>167</v>
      </c>
      <c r="D154" s="91" t="s">
        <v>153</v>
      </c>
      <c r="E154" s="91" t="s">
        <v>168</v>
      </c>
      <c r="F154" s="92">
        <f>406100</f>
        <v>406100</v>
      </c>
      <c r="G154" s="92">
        <f>466900</f>
        <v>466900</v>
      </c>
      <c r="H154" s="92">
        <f>484900</f>
        <v>484900</v>
      </c>
    </row>
    <row r="155" spans="1:8" s="84" customFormat="1" ht="13.5" customHeight="1">
      <c r="A155" s="91" t="s">
        <v>98</v>
      </c>
      <c r="B155" s="91" t="s">
        <v>165</v>
      </c>
      <c r="C155" s="91" t="s">
        <v>169</v>
      </c>
      <c r="D155" s="91" t="s">
        <v>153</v>
      </c>
      <c r="E155" s="91" t="s">
        <v>0</v>
      </c>
      <c r="F155" s="92">
        <f>19308.16</f>
        <v>19308.16</v>
      </c>
      <c r="G155" s="92">
        <f>12330.61</f>
        <v>12330.61</v>
      </c>
      <c r="H155" s="93" t="s">
        <v>0</v>
      </c>
    </row>
    <row r="156" spans="1:8" s="84" customFormat="1" ht="13.5" customHeight="1">
      <c r="A156" s="91" t="s">
        <v>98</v>
      </c>
      <c r="B156" s="91" t="s">
        <v>165</v>
      </c>
      <c r="C156" s="91" t="s">
        <v>169</v>
      </c>
      <c r="D156" s="91" t="s">
        <v>153</v>
      </c>
      <c r="E156" s="91" t="s">
        <v>170</v>
      </c>
      <c r="F156" s="92">
        <f>946100</f>
        <v>946100</v>
      </c>
      <c r="G156" s="92">
        <f>604200</f>
        <v>604200</v>
      </c>
      <c r="H156" s="93" t="s">
        <v>0</v>
      </c>
    </row>
    <row r="157" spans="1:8" s="84" customFormat="1" ht="13.5" customHeight="1">
      <c r="A157" s="91" t="s">
        <v>98</v>
      </c>
      <c r="B157" s="91" t="s">
        <v>165</v>
      </c>
      <c r="C157" s="91" t="s">
        <v>171</v>
      </c>
      <c r="D157" s="91" t="s">
        <v>65</v>
      </c>
      <c r="E157" s="91" t="s">
        <v>0</v>
      </c>
      <c r="F157" s="92">
        <f>800000</f>
        <v>800000</v>
      </c>
      <c r="G157" s="92">
        <f>800000</f>
        <v>800000</v>
      </c>
      <c r="H157" s="92">
        <f>800000</f>
        <v>800000</v>
      </c>
    </row>
    <row r="158" spans="1:8" s="84" customFormat="1" ht="13.5" customHeight="1">
      <c r="A158" s="91" t="s">
        <v>98</v>
      </c>
      <c r="B158" s="91" t="s">
        <v>165</v>
      </c>
      <c r="C158" s="91" t="s">
        <v>172</v>
      </c>
      <c r="D158" s="91" t="s">
        <v>153</v>
      </c>
      <c r="E158" s="91" t="s">
        <v>168</v>
      </c>
      <c r="F158" s="92">
        <f>900000</f>
        <v>900000</v>
      </c>
      <c r="G158" s="93" t="s">
        <v>0</v>
      </c>
      <c r="H158" s="93" t="s">
        <v>0</v>
      </c>
    </row>
    <row r="159" spans="1:8" s="84" customFormat="1" ht="13.5" customHeight="1">
      <c r="A159" s="91" t="s">
        <v>98</v>
      </c>
      <c r="B159" s="91" t="s">
        <v>165</v>
      </c>
      <c r="C159" s="91" t="s">
        <v>173</v>
      </c>
      <c r="D159" s="91" t="s">
        <v>63</v>
      </c>
      <c r="E159" s="91" t="s">
        <v>0</v>
      </c>
      <c r="F159" s="92">
        <f>3834546.85</f>
        <v>3834546.85</v>
      </c>
      <c r="G159" s="92">
        <f>3834546.85</f>
        <v>3834546.85</v>
      </c>
      <c r="H159" s="92">
        <f>3834546.85</f>
        <v>3834546.85</v>
      </c>
    </row>
    <row r="160" spans="1:8" s="84" customFormat="1" ht="13.5" customHeight="1">
      <c r="A160" s="91" t="s">
        <v>98</v>
      </c>
      <c r="B160" s="91" t="s">
        <v>165</v>
      </c>
      <c r="C160" s="91" t="s">
        <v>173</v>
      </c>
      <c r="D160" s="91" t="s">
        <v>64</v>
      </c>
      <c r="E160" s="91" t="s">
        <v>0</v>
      </c>
      <c r="F160" s="92">
        <f>1158033.15</f>
        <v>1158033.15</v>
      </c>
      <c r="G160" s="92">
        <f>1158033.15</f>
        <v>1158033.15</v>
      </c>
      <c r="H160" s="92">
        <f>1158033.15</f>
        <v>1158033.15</v>
      </c>
    </row>
    <row r="161" spans="1:8" s="84" customFormat="1" ht="13.5" customHeight="1">
      <c r="A161" s="91" t="s">
        <v>98</v>
      </c>
      <c r="B161" s="91" t="s">
        <v>165</v>
      </c>
      <c r="C161" s="91" t="s">
        <v>173</v>
      </c>
      <c r="D161" s="91" t="s">
        <v>65</v>
      </c>
      <c r="E161" s="91" t="s">
        <v>0</v>
      </c>
      <c r="F161" s="92">
        <f>1588010</f>
        <v>1588010</v>
      </c>
      <c r="G161" s="92">
        <f>1779260</f>
        <v>1779260</v>
      </c>
      <c r="H161" s="92">
        <f>2015510</f>
        <v>2015510</v>
      </c>
    </row>
    <row r="162" spans="1:8" s="84" customFormat="1" ht="13.5" customHeight="1">
      <c r="A162" s="91" t="s">
        <v>98</v>
      </c>
      <c r="B162" s="91" t="s">
        <v>165</v>
      </c>
      <c r="C162" s="91" t="s">
        <v>173</v>
      </c>
      <c r="D162" s="91" t="s">
        <v>157</v>
      </c>
      <c r="E162" s="91" t="s">
        <v>0</v>
      </c>
      <c r="F162" s="92">
        <f>235900</f>
        <v>235900</v>
      </c>
      <c r="G162" s="92">
        <f>235900</f>
        <v>235900</v>
      </c>
      <c r="H162" s="92">
        <f>235900</f>
        <v>235900</v>
      </c>
    </row>
    <row r="163" spans="1:8" s="84" customFormat="1" ht="13.5" customHeight="1">
      <c r="A163" s="91" t="s">
        <v>98</v>
      </c>
      <c r="B163" s="91" t="s">
        <v>165</v>
      </c>
      <c r="C163" s="91" t="s">
        <v>174</v>
      </c>
      <c r="D163" s="91" t="s">
        <v>156</v>
      </c>
      <c r="E163" s="91" t="s">
        <v>0</v>
      </c>
      <c r="F163" s="92">
        <f>7179260</f>
        <v>7179260</v>
      </c>
      <c r="G163" s="92">
        <f>7179260</f>
        <v>7179260</v>
      </c>
      <c r="H163" s="92">
        <f>7179260</f>
        <v>7179260</v>
      </c>
    </row>
    <row r="164" spans="1:8" s="84" customFormat="1" ht="13.5" customHeight="1">
      <c r="A164" s="91" t="s">
        <v>98</v>
      </c>
      <c r="B164" s="91" t="s">
        <v>165</v>
      </c>
      <c r="C164" s="91" t="s">
        <v>175</v>
      </c>
      <c r="D164" s="91" t="s">
        <v>65</v>
      </c>
      <c r="E164" s="91" t="s">
        <v>70</v>
      </c>
      <c r="F164" s="92">
        <f>55000</f>
        <v>55000</v>
      </c>
      <c r="G164" s="93" t="s">
        <v>0</v>
      </c>
      <c r="H164" s="93" t="s">
        <v>0</v>
      </c>
    </row>
    <row r="165" spans="1:8" s="84" customFormat="1" ht="13.5" customHeight="1">
      <c r="A165" s="91" t="s">
        <v>98</v>
      </c>
      <c r="B165" s="91" t="s">
        <v>176</v>
      </c>
      <c r="C165" s="91" t="s">
        <v>177</v>
      </c>
      <c r="D165" s="91" t="s">
        <v>65</v>
      </c>
      <c r="E165" s="91" t="s">
        <v>0</v>
      </c>
      <c r="F165" s="92">
        <f>1177040</f>
        <v>1177040</v>
      </c>
      <c r="G165" s="93" t="s">
        <v>0</v>
      </c>
      <c r="H165" s="93" t="s">
        <v>0</v>
      </c>
    </row>
    <row r="166" spans="1:8" s="84" customFormat="1" ht="13.5" customHeight="1">
      <c r="A166" s="91" t="s">
        <v>98</v>
      </c>
      <c r="B166" s="91" t="s">
        <v>178</v>
      </c>
      <c r="C166" s="91" t="s">
        <v>179</v>
      </c>
      <c r="D166" s="91" t="s">
        <v>180</v>
      </c>
      <c r="E166" s="91" t="s">
        <v>0</v>
      </c>
      <c r="F166" s="92">
        <f>1050000</f>
        <v>1050000</v>
      </c>
      <c r="G166" s="92">
        <f>1050000</f>
        <v>1050000</v>
      </c>
      <c r="H166" s="92">
        <f>1050000</f>
        <v>1050000</v>
      </c>
    </row>
    <row r="167" spans="1:8" s="84" customFormat="1" ht="33.75" customHeight="1">
      <c r="A167" s="91" t="s">
        <v>98</v>
      </c>
      <c r="B167" s="91" t="s">
        <v>181</v>
      </c>
      <c r="C167" s="91" t="s">
        <v>182</v>
      </c>
      <c r="D167" s="91" t="s">
        <v>183</v>
      </c>
      <c r="E167" s="91" t="s">
        <v>0</v>
      </c>
      <c r="F167" s="92">
        <f>6434.69</f>
        <v>6434.69</v>
      </c>
      <c r="G167" s="92">
        <f>17814.29</f>
        <v>17814.29</v>
      </c>
      <c r="H167" s="92">
        <f>19710.2</f>
        <v>19710.2</v>
      </c>
    </row>
    <row r="168" spans="1:8" s="84" customFormat="1" ht="13.5" customHeight="1">
      <c r="A168" s="91" t="s">
        <v>98</v>
      </c>
      <c r="B168" s="91" t="s">
        <v>181</v>
      </c>
      <c r="C168" s="91" t="s">
        <v>182</v>
      </c>
      <c r="D168" s="91" t="s">
        <v>183</v>
      </c>
      <c r="E168" s="91" t="s">
        <v>184</v>
      </c>
      <c r="F168" s="92">
        <f>315300</f>
        <v>315300</v>
      </c>
      <c r="G168" s="92">
        <f>872900</f>
        <v>872900</v>
      </c>
      <c r="H168" s="92">
        <f>965800</f>
        <v>965800</v>
      </c>
    </row>
    <row r="169" spans="1:8" s="84" customFormat="1" ht="33.75" customHeight="1">
      <c r="A169" s="91" t="s">
        <v>98</v>
      </c>
      <c r="B169" s="91" t="s">
        <v>181</v>
      </c>
      <c r="C169" s="91" t="s">
        <v>185</v>
      </c>
      <c r="D169" s="91" t="s">
        <v>183</v>
      </c>
      <c r="E169" s="91" t="s">
        <v>0</v>
      </c>
      <c r="F169" s="92">
        <f>100000</f>
        <v>100000</v>
      </c>
      <c r="G169" s="92">
        <f>11928.57</f>
        <v>11928.57</v>
      </c>
      <c r="H169" s="92">
        <f>12000</f>
        <v>12000</v>
      </c>
    </row>
    <row r="170" spans="1:8" s="84" customFormat="1" ht="13.5" customHeight="1">
      <c r="A170" s="91" t="s">
        <v>98</v>
      </c>
      <c r="B170" s="91" t="s">
        <v>181</v>
      </c>
      <c r="C170" s="91" t="s">
        <v>185</v>
      </c>
      <c r="D170" s="91" t="s">
        <v>183</v>
      </c>
      <c r="E170" s="91" t="s">
        <v>186</v>
      </c>
      <c r="F170" s="92">
        <f>528700</f>
        <v>528700</v>
      </c>
      <c r="G170" s="92">
        <f>584500</f>
        <v>584500</v>
      </c>
      <c r="H170" s="92">
        <f>588000</f>
        <v>588000</v>
      </c>
    </row>
    <row r="171" spans="1:8" s="84" customFormat="1" ht="13.5" customHeight="1">
      <c r="A171" s="91" t="s">
        <v>98</v>
      </c>
      <c r="B171" s="91" t="s">
        <v>187</v>
      </c>
      <c r="C171" s="91" t="s">
        <v>188</v>
      </c>
      <c r="D171" s="91" t="s">
        <v>24</v>
      </c>
      <c r="E171" s="91" t="s">
        <v>0</v>
      </c>
      <c r="F171" s="92">
        <f>195000</f>
        <v>195000</v>
      </c>
      <c r="G171" s="93" t="s">
        <v>0</v>
      </c>
      <c r="H171" s="93" t="s">
        <v>0</v>
      </c>
    </row>
    <row r="172" spans="1:8" s="84" customFormat="1" ht="13.5" customHeight="1">
      <c r="A172" s="91" t="s">
        <v>98</v>
      </c>
      <c r="B172" s="91" t="s">
        <v>187</v>
      </c>
      <c r="C172" s="91" t="s">
        <v>189</v>
      </c>
      <c r="D172" s="91" t="s">
        <v>24</v>
      </c>
      <c r="E172" s="91" t="s">
        <v>0</v>
      </c>
      <c r="F172" s="92">
        <f>1694953.97</f>
        <v>1694953.97</v>
      </c>
      <c r="G172" s="92">
        <f>1901990</f>
        <v>1901990</v>
      </c>
      <c r="H172" s="92">
        <f>1901990</f>
        <v>1901990</v>
      </c>
    </row>
    <row r="173" spans="1:8" s="84" customFormat="1" ht="13.5" customHeight="1">
      <c r="A173" s="91" t="s">
        <v>98</v>
      </c>
      <c r="B173" s="91" t="s">
        <v>187</v>
      </c>
      <c r="C173" s="91" t="s">
        <v>190</v>
      </c>
      <c r="D173" s="91" t="s">
        <v>24</v>
      </c>
      <c r="E173" s="91" t="s">
        <v>35</v>
      </c>
      <c r="F173" s="92">
        <f>207036.03</f>
        <v>207036.03</v>
      </c>
      <c r="G173" s="93" t="s">
        <v>0</v>
      </c>
      <c r="H173" s="93" t="s">
        <v>0</v>
      </c>
    </row>
    <row r="174" spans="1:8" s="84" customFormat="1" ht="13.5" customHeight="1">
      <c r="A174" s="91" t="s">
        <v>98</v>
      </c>
      <c r="B174" s="91" t="s">
        <v>88</v>
      </c>
      <c r="C174" s="91" t="s">
        <v>89</v>
      </c>
      <c r="D174" s="91" t="s">
        <v>90</v>
      </c>
      <c r="E174" s="91" t="s">
        <v>0</v>
      </c>
      <c r="F174" s="92">
        <f>2000</f>
        <v>2000</v>
      </c>
      <c r="G174" s="92">
        <f>2000</f>
        <v>2000</v>
      </c>
      <c r="H174" s="92">
        <f>2000</f>
        <v>2000</v>
      </c>
    </row>
    <row r="175" spans="1:8" s="84" customFormat="1" ht="13.5" customHeight="1">
      <c r="A175" s="91" t="s">
        <v>191</v>
      </c>
      <c r="B175" s="91" t="s">
        <v>45</v>
      </c>
      <c r="C175" s="91" t="s">
        <v>46</v>
      </c>
      <c r="D175" s="91" t="s">
        <v>24</v>
      </c>
      <c r="E175" s="91" t="s">
        <v>0</v>
      </c>
      <c r="F175" s="92">
        <f>543090</f>
        <v>543090</v>
      </c>
      <c r="G175" s="93" t="s">
        <v>0</v>
      </c>
      <c r="H175" s="93" t="s">
        <v>0</v>
      </c>
    </row>
    <row r="176" spans="1:8" s="84" customFormat="1" ht="13.5" customHeight="1">
      <c r="A176" s="91" t="s">
        <v>191</v>
      </c>
      <c r="B176" s="91" t="s">
        <v>45</v>
      </c>
      <c r="C176" s="91" t="s">
        <v>47</v>
      </c>
      <c r="D176" s="91" t="s">
        <v>24</v>
      </c>
      <c r="E176" s="91" t="s">
        <v>0</v>
      </c>
      <c r="F176" s="92">
        <f>64020</f>
        <v>64020</v>
      </c>
      <c r="G176" s="93" t="s">
        <v>0</v>
      </c>
      <c r="H176" s="93" t="s">
        <v>0</v>
      </c>
    </row>
    <row r="177" spans="1:8" s="84" customFormat="1" ht="13.5" customHeight="1">
      <c r="A177" s="91" t="s">
        <v>191</v>
      </c>
      <c r="B177" s="91" t="s">
        <v>45</v>
      </c>
      <c r="C177" s="91" t="s">
        <v>48</v>
      </c>
      <c r="D177" s="91" t="s">
        <v>24</v>
      </c>
      <c r="E177" s="91" t="s">
        <v>0</v>
      </c>
      <c r="F177" s="92">
        <f>1234700</f>
        <v>1234700</v>
      </c>
      <c r="G177" s="93" t="s">
        <v>0</v>
      </c>
      <c r="H177" s="93" t="s">
        <v>0</v>
      </c>
    </row>
    <row r="178" spans="1:8" s="84" customFormat="1" ht="13.5" customHeight="1">
      <c r="A178" s="91" t="s">
        <v>191</v>
      </c>
      <c r="B178" s="91" t="s">
        <v>45</v>
      </c>
      <c r="C178" s="91" t="s">
        <v>49</v>
      </c>
      <c r="D178" s="91" t="s">
        <v>24</v>
      </c>
      <c r="E178" s="91" t="s">
        <v>0</v>
      </c>
      <c r="F178" s="92">
        <f>9716890</f>
        <v>9716890</v>
      </c>
      <c r="G178" s="92">
        <f>9882090</f>
        <v>9882090</v>
      </c>
      <c r="H178" s="92">
        <f>9882090</f>
        <v>9882090</v>
      </c>
    </row>
    <row r="179" spans="1:8" s="84" customFormat="1" ht="13.5" customHeight="1">
      <c r="A179" s="91" t="s">
        <v>191</v>
      </c>
      <c r="B179" s="91" t="s">
        <v>53</v>
      </c>
      <c r="C179" s="91" t="s">
        <v>192</v>
      </c>
      <c r="D179" s="91" t="s">
        <v>103</v>
      </c>
      <c r="E179" s="91" t="s">
        <v>0</v>
      </c>
      <c r="F179" s="92">
        <f>5000</f>
        <v>5000</v>
      </c>
      <c r="G179" s="93" t="s">
        <v>0</v>
      </c>
      <c r="H179" s="93" t="s">
        <v>0</v>
      </c>
    </row>
    <row r="180" spans="1:8" s="84" customFormat="1" ht="13.5" customHeight="1">
      <c r="A180" s="91" t="s">
        <v>191</v>
      </c>
      <c r="B180" s="91" t="s">
        <v>53</v>
      </c>
      <c r="C180" s="91" t="s">
        <v>192</v>
      </c>
      <c r="D180" s="91" t="s">
        <v>65</v>
      </c>
      <c r="E180" s="91" t="s">
        <v>0</v>
      </c>
      <c r="F180" s="92">
        <f>84200</f>
        <v>84200</v>
      </c>
      <c r="G180" s="93" t="s">
        <v>0</v>
      </c>
      <c r="H180" s="93" t="s">
        <v>0</v>
      </c>
    </row>
    <row r="181" spans="1:8" s="84" customFormat="1" ht="13.5" customHeight="1">
      <c r="A181" s="91" t="s">
        <v>191</v>
      </c>
      <c r="B181" s="91" t="s">
        <v>85</v>
      </c>
      <c r="C181" s="91" t="s">
        <v>193</v>
      </c>
      <c r="D181" s="91" t="s">
        <v>22</v>
      </c>
      <c r="E181" s="91" t="s">
        <v>0</v>
      </c>
      <c r="F181" s="92">
        <f>653220</f>
        <v>653220</v>
      </c>
      <c r="G181" s="93" t="s">
        <v>0</v>
      </c>
      <c r="H181" s="93" t="s">
        <v>0</v>
      </c>
    </row>
    <row r="182" spans="1:8" s="84" customFormat="1" ht="13.5" customHeight="1">
      <c r="A182" s="91" t="s">
        <v>191</v>
      </c>
      <c r="B182" s="91" t="s">
        <v>85</v>
      </c>
      <c r="C182" s="91" t="s">
        <v>194</v>
      </c>
      <c r="D182" s="91" t="s">
        <v>22</v>
      </c>
      <c r="E182" s="91" t="s">
        <v>0</v>
      </c>
      <c r="F182" s="92">
        <f>653320</f>
        <v>653320</v>
      </c>
      <c r="G182" s="93" t="s">
        <v>0</v>
      </c>
      <c r="H182" s="93" t="s">
        <v>0</v>
      </c>
    </row>
    <row r="183" spans="1:8" s="84" customFormat="1" ht="13.5" customHeight="1">
      <c r="A183" s="91" t="s">
        <v>191</v>
      </c>
      <c r="B183" s="91" t="s">
        <v>85</v>
      </c>
      <c r="C183" s="91" t="s">
        <v>195</v>
      </c>
      <c r="D183" s="91" t="s">
        <v>22</v>
      </c>
      <c r="E183" s="91" t="s">
        <v>0</v>
      </c>
      <c r="F183" s="92">
        <f>26867211.87</f>
        <v>26867211.87</v>
      </c>
      <c r="G183" s="92">
        <f>27034860</f>
        <v>27034860</v>
      </c>
      <c r="H183" s="92">
        <f>27034860</f>
        <v>27034860</v>
      </c>
    </row>
    <row r="184" spans="1:8" s="84" customFormat="1" ht="33.75" customHeight="1">
      <c r="A184" s="91" t="s">
        <v>191</v>
      </c>
      <c r="B184" s="91" t="s">
        <v>85</v>
      </c>
      <c r="C184" s="91" t="s">
        <v>196</v>
      </c>
      <c r="D184" s="91" t="s">
        <v>26</v>
      </c>
      <c r="E184" s="91" t="s">
        <v>0</v>
      </c>
      <c r="F184" s="92">
        <f>23281.63</f>
        <v>23281.63</v>
      </c>
      <c r="G184" s="92">
        <f>23281.63</f>
        <v>23281.63</v>
      </c>
      <c r="H184" s="92">
        <f>23281.63</f>
        <v>23281.63</v>
      </c>
    </row>
    <row r="185" spans="1:8" s="84" customFormat="1" ht="13.5" customHeight="1">
      <c r="A185" s="91" t="s">
        <v>191</v>
      </c>
      <c r="B185" s="91" t="s">
        <v>85</v>
      </c>
      <c r="C185" s="91" t="s">
        <v>196</v>
      </c>
      <c r="D185" s="91" t="s">
        <v>26</v>
      </c>
      <c r="E185" s="91" t="s">
        <v>197</v>
      </c>
      <c r="F185" s="92">
        <f>1140800</f>
        <v>1140800</v>
      </c>
      <c r="G185" s="92">
        <f>1140800</f>
        <v>1140800</v>
      </c>
      <c r="H185" s="92">
        <f>1140800</f>
        <v>1140800</v>
      </c>
    </row>
    <row r="186" spans="1:8" s="84" customFormat="1" ht="13.5" customHeight="1">
      <c r="A186" s="91" t="s">
        <v>191</v>
      </c>
      <c r="B186" s="91" t="s">
        <v>85</v>
      </c>
      <c r="C186" s="91" t="s">
        <v>198</v>
      </c>
      <c r="D186" s="91" t="s">
        <v>22</v>
      </c>
      <c r="E186" s="91" t="s">
        <v>35</v>
      </c>
      <c r="F186" s="92">
        <f>167648.13</f>
        <v>167648.13</v>
      </c>
      <c r="G186" s="93" t="s">
        <v>0</v>
      </c>
      <c r="H186" s="93" t="s">
        <v>0</v>
      </c>
    </row>
    <row r="187" spans="1:8" s="84" customFormat="1" ht="13.5" customHeight="1">
      <c r="A187" s="91" t="s">
        <v>191</v>
      </c>
      <c r="B187" s="91" t="s">
        <v>85</v>
      </c>
      <c r="C187" s="91" t="s">
        <v>199</v>
      </c>
      <c r="D187" s="91" t="s">
        <v>22</v>
      </c>
      <c r="E187" s="91" t="s">
        <v>0</v>
      </c>
      <c r="F187" s="92">
        <f>973230</f>
        <v>973230</v>
      </c>
      <c r="G187" s="93" t="s">
        <v>0</v>
      </c>
      <c r="H187" s="93" t="s">
        <v>0</v>
      </c>
    </row>
    <row r="188" spans="1:8" s="84" customFormat="1" ht="13.5" customHeight="1">
      <c r="A188" s="91" t="s">
        <v>191</v>
      </c>
      <c r="B188" s="91" t="s">
        <v>85</v>
      </c>
      <c r="C188" s="91" t="s">
        <v>199</v>
      </c>
      <c r="D188" s="91" t="s">
        <v>26</v>
      </c>
      <c r="E188" s="91" t="s">
        <v>0</v>
      </c>
      <c r="F188" s="92">
        <f>2107520</f>
        <v>2107520</v>
      </c>
      <c r="G188" s="93" t="s">
        <v>0</v>
      </c>
      <c r="H188" s="93" t="s">
        <v>0</v>
      </c>
    </row>
    <row r="189" spans="1:8" s="84" customFormat="1" ht="13.5" customHeight="1">
      <c r="A189" s="91" t="s">
        <v>191</v>
      </c>
      <c r="B189" s="91" t="s">
        <v>85</v>
      </c>
      <c r="C189" s="91" t="s">
        <v>200</v>
      </c>
      <c r="D189" s="91" t="s">
        <v>22</v>
      </c>
      <c r="E189" s="91" t="s">
        <v>0</v>
      </c>
      <c r="F189" s="92">
        <f>833100</f>
        <v>833100</v>
      </c>
      <c r="G189" s="93" t="s">
        <v>0</v>
      </c>
      <c r="H189" s="93" t="s">
        <v>0</v>
      </c>
    </row>
    <row r="190" spans="1:8" s="84" customFormat="1" ht="13.5" customHeight="1">
      <c r="A190" s="91" t="s">
        <v>191</v>
      </c>
      <c r="B190" s="91" t="s">
        <v>85</v>
      </c>
      <c r="C190" s="91" t="s">
        <v>201</v>
      </c>
      <c r="D190" s="91" t="s">
        <v>22</v>
      </c>
      <c r="E190" s="91" t="s">
        <v>0</v>
      </c>
      <c r="F190" s="92">
        <f>14483920</f>
        <v>14483920</v>
      </c>
      <c r="G190" s="92">
        <f>14483920</f>
        <v>14483920</v>
      </c>
      <c r="H190" s="92">
        <f>14483920</f>
        <v>14483920</v>
      </c>
    </row>
    <row r="191" spans="1:8" s="84" customFormat="1" ht="13.5" customHeight="1">
      <c r="A191" s="91" t="s">
        <v>191</v>
      </c>
      <c r="B191" s="91" t="s">
        <v>85</v>
      </c>
      <c r="C191" s="91" t="s">
        <v>202</v>
      </c>
      <c r="D191" s="91" t="s">
        <v>26</v>
      </c>
      <c r="E191" s="91" t="s">
        <v>0</v>
      </c>
      <c r="F191" s="92">
        <f>2210.2</f>
        <v>2210.2</v>
      </c>
      <c r="G191" s="92">
        <f>2210.2</f>
        <v>2210.2</v>
      </c>
      <c r="H191" s="92">
        <f>2210.2</f>
        <v>2210.2</v>
      </c>
    </row>
    <row r="192" spans="1:8" s="84" customFormat="1" ht="33.75" customHeight="1">
      <c r="A192" s="91" t="s">
        <v>191</v>
      </c>
      <c r="B192" s="91" t="s">
        <v>85</v>
      </c>
      <c r="C192" s="91" t="s">
        <v>202</v>
      </c>
      <c r="D192" s="91" t="s">
        <v>26</v>
      </c>
      <c r="E192" s="91" t="s">
        <v>203</v>
      </c>
      <c r="F192" s="92">
        <f>108300</f>
        <v>108300</v>
      </c>
      <c r="G192" s="92">
        <f>108300</f>
        <v>108300</v>
      </c>
      <c r="H192" s="92">
        <f>108300</f>
        <v>108300</v>
      </c>
    </row>
    <row r="193" spans="1:8" s="84" customFormat="1" ht="13.5" customHeight="1">
      <c r="A193" s="91" t="s">
        <v>191</v>
      </c>
      <c r="B193" s="91" t="s">
        <v>85</v>
      </c>
      <c r="C193" s="91" t="s">
        <v>204</v>
      </c>
      <c r="D193" s="91" t="s">
        <v>26</v>
      </c>
      <c r="E193" s="91" t="s">
        <v>205</v>
      </c>
      <c r="F193" s="92">
        <f>10000000</f>
        <v>10000000</v>
      </c>
      <c r="G193" s="93" t="s">
        <v>0</v>
      </c>
      <c r="H193" s="93" t="s">
        <v>0</v>
      </c>
    </row>
    <row r="194" spans="1:8" s="84" customFormat="1" ht="33.75" customHeight="1">
      <c r="A194" s="91" t="s">
        <v>191</v>
      </c>
      <c r="B194" s="91" t="s">
        <v>85</v>
      </c>
      <c r="C194" s="91" t="s">
        <v>206</v>
      </c>
      <c r="D194" s="91" t="s">
        <v>26</v>
      </c>
      <c r="E194" s="91" t="s">
        <v>0</v>
      </c>
      <c r="F194" s="92">
        <f>1030.61</f>
        <v>1030.61</v>
      </c>
      <c r="G194" s="93" t="s">
        <v>0</v>
      </c>
      <c r="H194" s="93" t="s">
        <v>0</v>
      </c>
    </row>
    <row r="195" spans="1:8" s="84" customFormat="1" ht="13.5" customHeight="1">
      <c r="A195" s="91" t="s">
        <v>191</v>
      </c>
      <c r="B195" s="91" t="s">
        <v>85</v>
      </c>
      <c r="C195" s="91" t="s">
        <v>206</v>
      </c>
      <c r="D195" s="91" t="s">
        <v>26</v>
      </c>
      <c r="E195" s="91" t="s">
        <v>205</v>
      </c>
      <c r="F195" s="92">
        <f>50500</f>
        <v>50500</v>
      </c>
      <c r="G195" s="93" t="s">
        <v>0</v>
      </c>
      <c r="H195" s="93" t="s">
        <v>0</v>
      </c>
    </row>
    <row r="196" spans="1:8" s="84" customFormat="1" ht="13.5" customHeight="1">
      <c r="A196" s="91" t="s">
        <v>191</v>
      </c>
      <c r="B196" s="91" t="s">
        <v>207</v>
      </c>
      <c r="C196" s="91" t="s">
        <v>208</v>
      </c>
      <c r="D196" s="91" t="s">
        <v>59</v>
      </c>
      <c r="E196" s="91" t="s">
        <v>0</v>
      </c>
      <c r="F196" s="92">
        <f>1261509.88</f>
        <v>1261509.88</v>
      </c>
      <c r="G196" s="92">
        <f>1332189</f>
        <v>1332189</v>
      </c>
      <c r="H196" s="92">
        <f>1332189</f>
        <v>1332189</v>
      </c>
    </row>
    <row r="197" spans="1:8" s="84" customFormat="1" ht="13.5" customHeight="1">
      <c r="A197" s="91" t="s">
        <v>191</v>
      </c>
      <c r="B197" s="91" t="s">
        <v>207</v>
      </c>
      <c r="C197" s="91" t="s">
        <v>208</v>
      </c>
      <c r="D197" s="91" t="s">
        <v>60</v>
      </c>
      <c r="E197" s="91" t="s">
        <v>0</v>
      </c>
      <c r="F197" s="92">
        <f>380976</f>
        <v>380976</v>
      </c>
      <c r="G197" s="92">
        <f>402321</f>
        <v>402321</v>
      </c>
      <c r="H197" s="92">
        <f>402321</f>
        <v>402321</v>
      </c>
    </row>
    <row r="198" spans="1:8" s="84" customFormat="1" ht="13.5" customHeight="1">
      <c r="A198" s="91" t="s">
        <v>191</v>
      </c>
      <c r="B198" s="91" t="s">
        <v>207</v>
      </c>
      <c r="C198" s="91" t="s">
        <v>209</v>
      </c>
      <c r="D198" s="91" t="s">
        <v>59</v>
      </c>
      <c r="E198" s="91" t="s">
        <v>35</v>
      </c>
      <c r="F198" s="92">
        <f>70679.05</f>
        <v>70679.05</v>
      </c>
      <c r="G198" s="93" t="s">
        <v>0</v>
      </c>
      <c r="H198" s="93" t="s">
        <v>0</v>
      </c>
    </row>
    <row r="199" spans="1:8" s="84" customFormat="1" ht="13.5" customHeight="1">
      <c r="A199" s="91" t="s">
        <v>191</v>
      </c>
      <c r="B199" s="91" t="s">
        <v>207</v>
      </c>
      <c r="C199" s="91" t="s">
        <v>209</v>
      </c>
      <c r="D199" s="91" t="s">
        <v>60</v>
      </c>
      <c r="E199" s="91" t="s">
        <v>35</v>
      </c>
      <c r="F199" s="92">
        <f>21345.07</f>
        <v>21345.07</v>
      </c>
      <c r="G199" s="93" t="s">
        <v>0</v>
      </c>
      <c r="H199" s="93" t="s">
        <v>0</v>
      </c>
    </row>
    <row r="200" spans="1:8" s="84" customFormat="1" ht="13.5" customHeight="1">
      <c r="A200" s="91" t="s">
        <v>191</v>
      </c>
      <c r="B200" s="91" t="s">
        <v>207</v>
      </c>
      <c r="C200" s="91" t="s">
        <v>210</v>
      </c>
      <c r="D200" s="91" t="s">
        <v>63</v>
      </c>
      <c r="E200" s="91" t="s">
        <v>0</v>
      </c>
      <c r="F200" s="92">
        <f>2849448.75</f>
        <v>2849448.75</v>
      </c>
      <c r="G200" s="92">
        <f>4022519.2</f>
        <v>4022519.2</v>
      </c>
      <c r="H200" s="92">
        <f>4022519.2</f>
        <v>4022519.2</v>
      </c>
    </row>
    <row r="201" spans="1:8" s="84" customFormat="1" ht="13.5" customHeight="1">
      <c r="A201" s="91" t="s">
        <v>191</v>
      </c>
      <c r="B201" s="91" t="s">
        <v>207</v>
      </c>
      <c r="C201" s="91" t="s">
        <v>210</v>
      </c>
      <c r="D201" s="91" t="s">
        <v>64</v>
      </c>
      <c r="E201" s="91" t="s">
        <v>0</v>
      </c>
      <c r="F201" s="92">
        <f>860533.52</f>
        <v>860533.52</v>
      </c>
      <c r="G201" s="92">
        <f>1214800.8</f>
        <v>1214800.8</v>
      </c>
      <c r="H201" s="92">
        <f>1214800.8</f>
        <v>1214800.8</v>
      </c>
    </row>
    <row r="202" spans="1:8" s="84" customFormat="1" ht="13.5" customHeight="1">
      <c r="A202" s="91" t="s">
        <v>191</v>
      </c>
      <c r="B202" s="91" t="s">
        <v>207</v>
      </c>
      <c r="C202" s="91" t="s">
        <v>210</v>
      </c>
      <c r="D202" s="91" t="s">
        <v>65</v>
      </c>
      <c r="E202" s="91" t="s">
        <v>0</v>
      </c>
      <c r="F202" s="92">
        <f>1644730</f>
        <v>1644730</v>
      </c>
      <c r="G202" s="92">
        <f>1644730</f>
        <v>1644730</v>
      </c>
      <c r="H202" s="92">
        <f>1644689.63</f>
        <v>1644689.63</v>
      </c>
    </row>
    <row r="203" spans="1:8" s="84" customFormat="1" ht="13.5" customHeight="1">
      <c r="A203" s="91" t="s">
        <v>191</v>
      </c>
      <c r="B203" s="91" t="s">
        <v>207</v>
      </c>
      <c r="C203" s="91" t="s">
        <v>210</v>
      </c>
      <c r="D203" s="91" t="s">
        <v>157</v>
      </c>
      <c r="E203" s="91" t="s">
        <v>0</v>
      </c>
      <c r="F203" s="92">
        <f>6650</f>
        <v>6650</v>
      </c>
      <c r="G203" s="92">
        <f>6650</f>
        <v>6650</v>
      </c>
      <c r="H203" s="92">
        <f>6650</f>
        <v>6650</v>
      </c>
    </row>
    <row r="204" spans="1:8" s="84" customFormat="1" ht="13.5" customHeight="1">
      <c r="A204" s="91" t="s">
        <v>191</v>
      </c>
      <c r="B204" s="91" t="s">
        <v>207</v>
      </c>
      <c r="C204" s="91" t="s">
        <v>210</v>
      </c>
      <c r="D204" s="91" t="s">
        <v>66</v>
      </c>
      <c r="E204" s="91" t="s">
        <v>0</v>
      </c>
      <c r="F204" s="92">
        <f>7860</f>
        <v>7860</v>
      </c>
      <c r="G204" s="92">
        <f>7860</f>
        <v>7860</v>
      </c>
      <c r="H204" s="92">
        <f>7860</f>
        <v>7860</v>
      </c>
    </row>
    <row r="205" spans="1:8" s="84" customFormat="1" ht="13.5" customHeight="1">
      <c r="A205" s="91" t="s">
        <v>191</v>
      </c>
      <c r="B205" s="91" t="s">
        <v>207</v>
      </c>
      <c r="C205" s="91" t="s">
        <v>211</v>
      </c>
      <c r="D205" s="91" t="s">
        <v>65</v>
      </c>
      <c r="E205" s="91" t="s">
        <v>0</v>
      </c>
      <c r="F205" s="92">
        <f>13100</f>
        <v>13100</v>
      </c>
      <c r="G205" s="92">
        <f>13100</f>
        <v>13100</v>
      </c>
      <c r="H205" s="92">
        <f>13100</f>
        <v>13100</v>
      </c>
    </row>
    <row r="206" spans="1:8" s="84" customFormat="1" ht="13.5" customHeight="1">
      <c r="A206" s="91" t="s">
        <v>191</v>
      </c>
      <c r="B206" s="91" t="s">
        <v>207</v>
      </c>
      <c r="C206" s="91" t="s">
        <v>211</v>
      </c>
      <c r="D206" s="91" t="s">
        <v>156</v>
      </c>
      <c r="E206" s="91" t="s">
        <v>0</v>
      </c>
      <c r="F206" s="92">
        <f>252300</f>
        <v>252300</v>
      </c>
      <c r="G206" s="92">
        <f>252300</f>
        <v>252300</v>
      </c>
      <c r="H206" s="92">
        <f>252300</f>
        <v>252300</v>
      </c>
    </row>
    <row r="207" spans="1:8" s="84" customFormat="1" ht="13.5" customHeight="1">
      <c r="A207" s="91" t="s">
        <v>191</v>
      </c>
      <c r="B207" s="91" t="s">
        <v>207</v>
      </c>
      <c r="C207" s="91" t="s">
        <v>212</v>
      </c>
      <c r="D207" s="91" t="s">
        <v>63</v>
      </c>
      <c r="E207" s="91" t="s">
        <v>35</v>
      </c>
      <c r="F207" s="92">
        <f>1173070.45</f>
        <v>1173070.45</v>
      </c>
      <c r="G207" s="93" t="s">
        <v>0</v>
      </c>
      <c r="H207" s="93" t="s">
        <v>0</v>
      </c>
    </row>
    <row r="208" spans="1:8" s="84" customFormat="1" ht="13.5" customHeight="1">
      <c r="A208" s="91" t="s">
        <v>191</v>
      </c>
      <c r="B208" s="91" t="s">
        <v>207</v>
      </c>
      <c r="C208" s="91" t="s">
        <v>212</v>
      </c>
      <c r="D208" s="91" t="s">
        <v>64</v>
      </c>
      <c r="E208" s="91" t="s">
        <v>35</v>
      </c>
      <c r="F208" s="92">
        <f>354267.28</f>
        <v>354267.28</v>
      </c>
      <c r="G208" s="93" t="s">
        <v>0</v>
      </c>
      <c r="H208" s="93" t="s">
        <v>0</v>
      </c>
    </row>
    <row r="209" spans="1:8" s="84" customFormat="1" ht="13.5" customHeight="1">
      <c r="A209" s="91" t="s">
        <v>191</v>
      </c>
      <c r="B209" s="91" t="s">
        <v>207</v>
      </c>
      <c r="C209" s="91" t="s">
        <v>213</v>
      </c>
      <c r="D209" s="91" t="s">
        <v>65</v>
      </c>
      <c r="E209" s="91" t="s">
        <v>70</v>
      </c>
      <c r="F209" s="92">
        <f>39100</f>
        <v>39100</v>
      </c>
      <c r="G209" s="93" t="s">
        <v>0</v>
      </c>
      <c r="H209" s="93" t="s">
        <v>0</v>
      </c>
    </row>
    <row r="210" spans="1:8" s="84" customFormat="1" ht="13.5" customHeight="1">
      <c r="A210" s="91" t="s">
        <v>191</v>
      </c>
      <c r="B210" s="91" t="s">
        <v>214</v>
      </c>
      <c r="C210" s="91" t="s">
        <v>215</v>
      </c>
      <c r="D210" s="91" t="s">
        <v>65</v>
      </c>
      <c r="E210" s="91" t="s">
        <v>0</v>
      </c>
      <c r="F210" s="92">
        <f>88000</f>
        <v>88000</v>
      </c>
      <c r="G210" s="92">
        <f>88000</f>
        <v>88000</v>
      </c>
      <c r="H210" s="92">
        <f>88000</f>
        <v>88000</v>
      </c>
    </row>
    <row r="211" spans="1:8" s="84" customFormat="1" ht="13.5" customHeight="1">
      <c r="A211" s="91" t="s">
        <v>191</v>
      </c>
      <c r="B211" s="91" t="s">
        <v>216</v>
      </c>
      <c r="C211" s="91" t="s">
        <v>217</v>
      </c>
      <c r="D211" s="91" t="s">
        <v>103</v>
      </c>
      <c r="E211" s="91" t="s">
        <v>0</v>
      </c>
      <c r="F211" s="92">
        <f>50000</f>
        <v>50000</v>
      </c>
      <c r="G211" s="92">
        <f>50000</f>
        <v>50000</v>
      </c>
      <c r="H211" s="92">
        <f>50000</f>
        <v>50000</v>
      </c>
    </row>
    <row r="212" spans="1:8" s="84" customFormat="1" ht="13.5" customHeight="1">
      <c r="A212" s="91" t="s">
        <v>191</v>
      </c>
      <c r="B212" s="91" t="s">
        <v>216</v>
      </c>
      <c r="C212" s="91" t="s">
        <v>217</v>
      </c>
      <c r="D212" s="91" t="s">
        <v>65</v>
      </c>
      <c r="E212" s="91" t="s">
        <v>0</v>
      </c>
      <c r="F212" s="92">
        <f>311900</f>
        <v>311900</v>
      </c>
      <c r="G212" s="92">
        <f>311900</f>
        <v>311900</v>
      </c>
      <c r="H212" s="92">
        <f>311900</f>
        <v>311900</v>
      </c>
    </row>
    <row r="213" spans="1:8" s="84" customFormat="1" ht="15" customHeight="1">
      <c r="A213" s="91" t="s">
        <v>218</v>
      </c>
      <c r="B213" s="91" t="s">
        <v>219</v>
      </c>
      <c r="C213" s="91" t="s">
        <v>220</v>
      </c>
      <c r="D213" s="91" t="s">
        <v>218</v>
      </c>
      <c r="E213" s="91" t="s">
        <v>0</v>
      </c>
      <c r="F213" s="93" t="s">
        <v>0</v>
      </c>
      <c r="G213" s="92">
        <f>7016054.5</f>
        <v>7016054.5</v>
      </c>
      <c r="H213" s="92">
        <f>14116494.5</f>
        <v>14116494.5</v>
      </c>
    </row>
    <row r="214" spans="1:8" ht="12.75">
      <c r="A214" s="94" t="s">
        <v>221</v>
      </c>
      <c r="B214" s="94"/>
      <c r="C214" s="94"/>
      <c r="D214" s="94"/>
      <c r="E214" s="94"/>
      <c r="F214" s="92">
        <f>657152994</f>
        <v>657152994</v>
      </c>
      <c r="G214" s="92">
        <f>428577370.62</f>
        <v>428577370.62</v>
      </c>
      <c r="H214" s="92">
        <f>566641320</f>
        <v>566641320</v>
      </c>
    </row>
  </sheetData>
  <sheetProtection/>
  <mergeCells count="8">
    <mergeCell ref="A214:E214"/>
    <mergeCell ref="F2:H2"/>
    <mergeCell ref="A4:H4"/>
    <mergeCell ref="A3:H3"/>
    <mergeCell ref="E6:E7"/>
    <mergeCell ref="F6:F7"/>
    <mergeCell ref="G6:H6"/>
    <mergeCell ref="A6:D6"/>
  </mergeCells>
  <printOptions/>
  <pageMargins left="0.7874015748031497" right="0" top="0" bottom="0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view="pageBreakPreview" zoomScale="60" zoomScalePageLayoutView="0" workbookViewId="0" topLeftCell="A1">
      <selection activeCell="A13" sqref="A13"/>
    </sheetView>
  </sheetViews>
  <sheetFormatPr defaultColWidth="9.140625" defaultRowHeight="12.75"/>
  <cols>
    <col min="1" max="1" width="53.28125" style="30" customWidth="1"/>
    <col min="2" max="2" width="35.7109375" style="30" customWidth="1"/>
    <col min="3" max="3" width="20.28125" style="45" customWidth="1"/>
    <col min="4" max="4" width="19.57421875" style="30" customWidth="1"/>
    <col min="5" max="5" width="16.7109375" style="30" customWidth="1"/>
    <col min="6" max="10" width="18.28125" style="30" customWidth="1"/>
    <col min="11" max="16384" width="9.140625" style="30" customWidth="1"/>
  </cols>
  <sheetData>
    <row r="1" spans="3:5" s="20" customFormat="1" ht="12.75" customHeight="1">
      <c r="C1" s="21" t="s">
        <v>247</v>
      </c>
      <c r="D1" s="22"/>
      <c r="E1" s="22"/>
    </row>
    <row r="2" spans="3:5" s="20" customFormat="1" ht="49.5" customHeight="1">
      <c r="C2" s="103" t="s">
        <v>286</v>
      </c>
      <c r="D2" s="104"/>
      <c r="E2" s="104"/>
    </row>
    <row r="3" spans="1:5" s="20" customFormat="1" ht="43.5" customHeight="1">
      <c r="A3" s="105" t="s">
        <v>289</v>
      </c>
      <c r="B3" s="106"/>
      <c r="C3" s="106"/>
      <c r="D3" s="107"/>
      <c r="E3" s="107"/>
    </row>
    <row r="4" spans="1:256" s="25" customFormat="1" ht="42" customHeight="1">
      <c r="A4" s="108" t="s">
        <v>288</v>
      </c>
      <c r="B4" s="109"/>
      <c r="C4" s="109"/>
      <c r="D4" s="109"/>
      <c r="E4" s="109"/>
      <c r="F4" s="23"/>
      <c r="G4" s="23"/>
      <c r="H4" s="23"/>
      <c r="I4" s="5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5" s="20" customFormat="1" ht="22.5" customHeight="1">
      <c r="A5" s="110" t="s">
        <v>248</v>
      </c>
      <c r="B5" s="113" t="s">
        <v>249</v>
      </c>
      <c r="C5" s="115" t="s">
        <v>250</v>
      </c>
      <c r="D5" s="116"/>
      <c r="E5" s="117"/>
    </row>
    <row r="6" spans="1:5" s="20" customFormat="1" ht="21" customHeight="1">
      <c r="A6" s="111"/>
      <c r="B6" s="114"/>
      <c r="C6" s="118" t="s">
        <v>251</v>
      </c>
      <c r="D6" s="120" t="s">
        <v>8</v>
      </c>
      <c r="E6" s="121"/>
    </row>
    <row r="7" spans="1:5" s="20" customFormat="1" ht="27" customHeight="1">
      <c r="A7" s="112"/>
      <c r="B7" s="112"/>
      <c r="C7" s="119"/>
      <c r="D7" s="26" t="s">
        <v>9</v>
      </c>
      <c r="E7" s="26" t="s">
        <v>10</v>
      </c>
    </row>
    <row r="8" spans="1:5" ht="15.75">
      <c r="A8" s="27" t="s">
        <v>252</v>
      </c>
      <c r="B8" s="28"/>
      <c r="C8" s="29">
        <f>-C9</f>
        <v>0</v>
      </c>
      <c r="D8" s="29">
        <f>-D9</f>
        <v>0</v>
      </c>
      <c r="E8" s="29">
        <f>-E9</f>
        <v>0</v>
      </c>
    </row>
    <row r="9" spans="1:5" ht="31.5">
      <c r="A9" s="27" t="s">
        <v>253</v>
      </c>
      <c r="B9" s="28" t="s">
        <v>254</v>
      </c>
      <c r="C9" s="29">
        <f>C10+C15</f>
        <v>0</v>
      </c>
      <c r="D9" s="29">
        <f>D10+D15</f>
        <v>0</v>
      </c>
      <c r="E9" s="29">
        <f>E10+E15</f>
        <v>0</v>
      </c>
    </row>
    <row r="10" spans="1:5" ht="31.5">
      <c r="A10" s="27" t="s">
        <v>255</v>
      </c>
      <c r="B10" s="28" t="s">
        <v>256</v>
      </c>
      <c r="C10" s="29">
        <f>C11+C13</f>
        <v>0</v>
      </c>
      <c r="D10" s="29">
        <f>D11+D14</f>
        <v>0</v>
      </c>
      <c r="E10" s="29">
        <f>E11+E13</f>
        <v>0</v>
      </c>
    </row>
    <row r="11" spans="1:5" s="34" customFormat="1" ht="31.5">
      <c r="A11" s="31" t="s">
        <v>291</v>
      </c>
      <c r="B11" s="32" t="s">
        <v>257</v>
      </c>
      <c r="C11" s="33">
        <f>C12</f>
        <v>0</v>
      </c>
      <c r="D11" s="33">
        <f>D12</f>
        <v>0</v>
      </c>
      <c r="E11" s="33">
        <f>E12</f>
        <v>0</v>
      </c>
    </row>
    <row r="12" spans="1:5" ht="47.25">
      <c r="A12" s="31" t="s">
        <v>292</v>
      </c>
      <c r="B12" s="32" t="s">
        <v>258</v>
      </c>
      <c r="C12" s="33">
        <v>0</v>
      </c>
      <c r="D12" s="35">
        <v>0</v>
      </c>
      <c r="E12" s="35">
        <v>0</v>
      </c>
    </row>
    <row r="13" spans="1:5" ht="47.25">
      <c r="A13" s="31" t="s">
        <v>259</v>
      </c>
      <c r="B13" s="32" t="s">
        <v>260</v>
      </c>
      <c r="C13" s="33">
        <f>C14</f>
        <v>0</v>
      </c>
      <c r="D13" s="35">
        <f>D14</f>
        <v>0</v>
      </c>
      <c r="E13" s="35">
        <f>E14</f>
        <v>0</v>
      </c>
    </row>
    <row r="14" spans="1:5" ht="47.25">
      <c r="A14" s="31" t="s">
        <v>293</v>
      </c>
      <c r="B14" s="32" t="s">
        <v>261</v>
      </c>
      <c r="C14" s="33">
        <v>0</v>
      </c>
      <c r="D14" s="35">
        <v>0</v>
      </c>
      <c r="E14" s="35">
        <v>0</v>
      </c>
    </row>
    <row r="15" spans="1:5" ht="31.5">
      <c r="A15" s="27" t="s">
        <v>294</v>
      </c>
      <c r="B15" s="28" t="s">
        <v>262</v>
      </c>
      <c r="C15" s="29">
        <f>C16-(-C19)</f>
        <v>0</v>
      </c>
      <c r="D15" s="36">
        <f>D16-(-D19)</f>
        <v>0</v>
      </c>
      <c r="E15" s="36">
        <f>E16-(-E19)</f>
        <v>0</v>
      </c>
    </row>
    <row r="16" spans="1:5" s="34" customFormat="1" ht="47.25">
      <c r="A16" s="31" t="s">
        <v>295</v>
      </c>
      <c r="B16" s="32" t="s">
        <v>263</v>
      </c>
      <c r="C16" s="33">
        <f>C17</f>
        <v>5000000</v>
      </c>
      <c r="D16" s="35">
        <f>D17</f>
        <v>5000000</v>
      </c>
      <c r="E16" s="35">
        <v>5000000</v>
      </c>
    </row>
    <row r="17" spans="1:5" ht="63">
      <c r="A17" s="31" t="s">
        <v>296</v>
      </c>
      <c r="B17" s="32" t="s">
        <v>264</v>
      </c>
      <c r="C17" s="33">
        <f>C18</f>
        <v>5000000</v>
      </c>
      <c r="D17" s="35">
        <f>D18</f>
        <v>5000000</v>
      </c>
      <c r="E17" s="35">
        <f>E18</f>
        <v>5000000</v>
      </c>
    </row>
    <row r="18" spans="1:5" ht="110.25">
      <c r="A18" s="31" t="s">
        <v>265</v>
      </c>
      <c r="B18" s="32" t="s">
        <v>266</v>
      </c>
      <c r="C18" s="33">
        <v>5000000</v>
      </c>
      <c r="D18" s="35">
        <v>5000000</v>
      </c>
      <c r="E18" s="35">
        <v>5000000</v>
      </c>
    </row>
    <row r="19" spans="1:5" ht="47.25">
      <c r="A19" s="31" t="s">
        <v>297</v>
      </c>
      <c r="B19" s="32" t="s">
        <v>267</v>
      </c>
      <c r="C19" s="33">
        <f>C20</f>
        <v>-5000000</v>
      </c>
      <c r="D19" s="35">
        <f>D20</f>
        <v>-5000000</v>
      </c>
      <c r="E19" s="35">
        <f>E20</f>
        <v>-5000000</v>
      </c>
    </row>
    <row r="20" spans="1:5" ht="63">
      <c r="A20" s="31" t="s">
        <v>268</v>
      </c>
      <c r="B20" s="32" t="s">
        <v>269</v>
      </c>
      <c r="C20" s="33">
        <v>-5000000</v>
      </c>
      <c r="D20" s="33">
        <v>-5000000</v>
      </c>
      <c r="E20" s="33">
        <v>-5000000</v>
      </c>
    </row>
    <row r="21" spans="1:5" ht="15.75" hidden="1">
      <c r="A21" s="31" t="s">
        <v>270</v>
      </c>
      <c r="B21" s="32" t="s">
        <v>254</v>
      </c>
      <c r="C21" s="37">
        <f>C22</f>
        <v>0</v>
      </c>
      <c r="D21" s="38"/>
      <c r="E21" s="38"/>
    </row>
    <row r="22" spans="1:5" ht="31.5" hidden="1">
      <c r="A22" s="31" t="s">
        <v>271</v>
      </c>
      <c r="B22" s="32" t="s">
        <v>272</v>
      </c>
      <c r="C22" s="37">
        <f>C23</f>
        <v>0</v>
      </c>
      <c r="D22" s="38"/>
      <c r="E22" s="38"/>
    </row>
    <row r="23" spans="1:5" ht="15.75" hidden="1">
      <c r="A23" s="31" t="s">
        <v>273</v>
      </c>
      <c r="B23" s="32" t="s">
        <v>274</v>
      </c>
      <c r="C23" s="39">
        <f>C24</f>
        <v>0</v>
      </c>
      <c r="D23" s="38"/>
      <c r="E23" s="38"/>
    </row>
    <row r="24" spans="1:5" ht="15.75" hidden="1">
      <c r="A24" s="31" t="s">
        <v>275</v>
      </c>
      <c r="B24" s="32" t="s">
        <v>276</v>
      </c>
      <c r="C24" s="37">
        <f>C25</f>
        <v>0</v>
      </c>
      <c r="D24" s="38"/>
      <c r="E24" s="38"/>
    </row>
    <row r="25" spans="1:5" ht="31.5" hidden="1">
      <c r="A25" s="31" t="s">
        <v>277</v>
      </c>
      <c r="B25" s="32" t="s">
        <v>276</v>
      </c>
      <c r="C25" s="37">
        <f>C26</f>
        <v>0</v>
      </c>
      <c r="D25" s="38"/>
      <c r="E25" s="38"/>
    </row>
    <row r="26" spans="1:5" ht="31.5" hidden="1">
      <c r="A26" s="31" t="s">
        <v>278</v>
      </c>
      <c r="B26" s="32" t="s">
        <v>279</v>
      </c>
      <c r="C26" s="37"/>
      <c r="D26" s="38"/>
      <c r="E26" s="38"/>
    </row>
    <row r="27" spans="2:3" ht="15.75">
      <c r="B27" s="40"/>
      <c r="C27" s="41"/>
    </row>
    <row r="28" spans="2:3" ht="15.75">
      <c r="B28" s="40"/>
      <c r="C28" s="41"/>
    </row>
    <row r="29" spans="2:3" ht="15.75">
      <c r="B29" s="40"/>
      <c r="C29" s="41"/>
    </row>
    <row r="30" spans="2:3" ht="15.75">
      <c r="B30" s="40"/>
      <c r="C30" s="41"/>
    </row>
    <row r="31" spans="2:3" ht="15.75">
      <c r="B31" s="42"/>
      <c r="C31" s="43"/>
    </row>
    <row r="32" spans="2:3" ht="15.75">
      <c r="B32" s="42"/>
      <c r="C32" s="43"/>
    </row>
    <row r="33" spans="2:3" ht="15.75">
      <c r="B33" s="42"/>
      <c r="C33" s="43"/>
    </row>
    <row r="34" ht="15.75">
      <c r="C34" s="44"/>
    </row>
    <row r="35" ht="15.75">
      <c r="C35" s="44"/>
    </row>
    <row r="36" ht="15.75">
      <c r="C36" s="44"/>
    </row>
    <row r="37" ht="15.75">
      <c r="C37" s="44"/>
    </row>
    <row r="38" ht="15.75">
      <c r="C38" s="44"/>
    </row>
    <row r="39" ht="15.75">
      <c r="C39" s="44"/>
    </row>
    <row r="40" ht="15.75">
      <c r="C40" s="44"/>
    </row>
    <row r="41" ht="15.75">
      <c r="C41" s="44"/>
    </row>
    <row r="42" ht="15.75">
      <c r="C42" s="44"/>
    </row>
    <row r="43" ht="15.75">
      <c r="C43" s="44"/>
    </row>
    <row r="44" ht="15.75">
      <c r="C44" s="44"/>
    </row>
    <row r="45" ht="15.75">
      <c r="C45" s="44"/>
    </row>
    <row r="46" ht="15.75">
      <c r="C46" s="44"/>
    </row>
    <row r="47" ht="15.75">
      <c r="C47" s="44"/>
    </row>
    <row r="48" ht="15.75">
      <c r="C48" s="44"/>
    </row>
    <row r="49" ht="15.75">
      <c r="C49" s="44"/>
    </row>
    <row r="50" ht="15.75">
      <c r="C50" s="44"/>
    </row>
    <row r="51" ht="15.75">
      <c r="C51" s="44"/>
    </row>
    <row r="52" ht="15.75">
      <c r="C52" s="44"/>
    </row>
    <row r="53" ht="15.75">
      <c r="C53" s="44"/>
    </row>
    <row r="54" ht="15.75">
      <c r="C54" s="44"/>
    </row>
    <row r="55" ht="15.75">
      <c r="C55" s="44"/>
    </row>
    <row r="56" ht="15.75">
      <c r="C56" s="44"/>
    </row>
    <row r="57" ht="15.75">
      <c r="C57" s="44"/>
    </row>
    <row r="58" ht="15.75">
      <c r="C58" s="44"/>
    </row>
    <row r="59" ht="15.75">
      <c r="C59" s="44"/>
    </row>
    <row r="60" ht="15.75">
      <c r="C60" s="44"/>
    </row>
    <row r="61" ht="15.75">
      <c r="C61" s="44"/>
    </row>
    <row r="62" ht="15.75">
      <c r="C62" s="44"/>
    </row>
    <row r="63" ht="15.75">
      <c r="C63" s="44"/>
    </row>
    <row r="64" ht="15.75">
      <c r="C64" s="44"/>
    </row>
    <row r="65" ht="15.75">
      <c r="C65" s="44"/>
    </row>
    <row r="66" ht="15.75">
      <c r="C66" s="44"/>
    </row>
    <row r="67" ht="15.75">
      <c r="C67" s="44"/>
    </row>
    <row r="68" ht="15.75">
      <c r="C68" s="44"/>
    </row>
    <row r="69" ht="15.75">
      <c r="C69" s="44"/>
    </row>
    <row r="70" ht="15.75">
      <c r="C70" s="44"/>
    </row>
    <row r="71" ht="15.75">
      <c r="C71" s="44"/>
    </row>
    <row r="72" ht="15.75">
      <c r="C72" s="44"/>
    </row>
    <row r="73" ht="15.75">
      <c r="C73" s="44"/>
    </row>
    <row r="74" ht="15.75">
      <c r="C74" s="44"/>
    </row>
    <row r="75" ht="15.75">
      <c r="C75" s="44"/>
    </row>
    <row r="76" ht="15.75">
      <c r="C76" s="44"/>
    </row>
    <row r="77" ht="15.75">
      <c r="C77" s="44"/>
    </row>
    <row r="78" ht="15.75">
      <c r="C78" s="44"/>
    </row>
    <row r="79" ht="15.75">
      <c r="C79" s="44"/>
    </row>
    <row r="80" ht="15.75">
      <c r="C80" s="44"/>
    </row>
    <row r="81" ht="15.75">
      <c r="C81" s="44"/>
    </row>
    <row r="82" ht="15.75">
      <c r="C82" s="44"/>
    </row>
    <row r="83" ht="15.75">
      <c r="C83" s="44"/>
    </row>
    <row r="84" ht="15.75">
      <c r="C84" s="44"/>
    </row>
    <row r="85" ht="15.75">
      <c r="C85" s="44"/>
    </row>
    <row r="86" ht="15.75">
      <c r="C86" s="44"/>
    </row>
    <row r="87" ht="15.75">
      <c r="C87" s="44"/>
    </row>
    <row r="88" ht="15.75">
      <c r="C88" s="44"/>
    </row>
    <row r="89" ht="15.75">
      <c r="C89" s="44"/>
    </row>
    <row r="90" ht="15.75">
      <c r="C90" s="44"/>
    </row>
    <row r="91" ht="15.75">
      <c r="C91" s="44"/>
    </row>
    <row r="92" ht="15.75">
      <c r="C92" s="44"/>
    </row>
    <row r="93" ht="15.75">
      <c r="C93" s="44"/>
    </row>
    <row r="94" ht="15.75">
      <c r="C94" s="44"/>
    </row>
    <row r="95" ht="15.75">
      <c r="C95" s="44"/>
    </row>
    <row r="96" ht="15.75">
      <c r="C96" s="44"/>
    </row>
    <row r="97" ht="15.75">
      <c r="C97" s="44"/>
    </row>
    <row r="98" ht="15.75">
      <c r="C98" s="44"/>
    </row>
    <row r="99" ht="15.75">
      <c r="C99" s="44"/>
    </row>
    <row r="100" ht="15.75">
      <c r="C100" s="44"/>
    </row>
    <row r="101" ht="15.75">
      <c r="C101" s="44"/>
    </row>
    <row r="102" ht="15.75">
      <c r="C102" s="44"/>
    </row>
    <row r="103" ht="15.75">
      <c r="C103" s="44"/>
    </row>
    <row r="104" ht="15.75">
      <c r="C104" s="44"/>
    </row>
    <row r="105" ht="15.75">
      <c r="C105" s="44"/>
    </row>
    <row r="106" ht="15.75">
      <c r="C106" s="44"/>
    </row>
    <row r="107" ht="15.75">
      <c r="C107" s="44"/>
    </row>
    <row r="108" ht="15.75">
      <c r="C108" s="44"/>
    </row>
    <row r="109" ht="15.75">
      <c r="C109" s="44"/>
    </row>
    <row r="110" ht="15.75">
      <c r="C110" s="44"/>
    </row>
    <row r="111" ht="15.75">
      <c r="C111" s="44"/>
    </row>
    <row r="112" ht="15.75">
      <c r="C112" s="44"/>
    </row>
    <row r="113" ht="15.75">
      <c r="C113" s="44"/>
    </row>
    <row r="114" ht="15.75">
      <c r="C114" s="44"/>
    </row>
    <row r="115" ht="15.75">
      <c r="C115" s="44"/>
    </row>
    <row r="116" ht="15.75">
      <c r="C116" s="44"/>
    </row>
    <row r="117" ht="15.75">
      <c r="C117" s="44"/>
    </row>
    <row r="118" ht="15.75">
      <c r="C118" s="44"/>
    </row>
    <row r="119" ht="15.75">
      <c r="C119" s="44"/>
    </row>
    <row r="120" ht="15.75">
      <c r="C120" s="44"/>
    </row>
    <row r="121" ht="15.75">
      <c r="C121" s="44"/>
    </row>
    <row r="122" ht="15.75">
      <c r="C122" s="44"/>
    </row>
    <row r="123" ht="15.75">
      <c r="C123" s="44"/>
    </row>
    <row r="124" ht="15.75">
      <c r="C124" s="44"/>
    </row>
    <row r="125" ht="15.75">
      <c r="C125" s="44"/>
    </row>
    <row r="126" ht="15.75">
      <c r="C126" s="44"/>
    </row>
    <row r="127" ht="15.75">
      <c r="C127" s="44"/>
    </row>
    <row r="128" ht="15.75">
      <c r="C128" s="44"/>
    </row>
    <row r="129" ht="15.75">
      <c r="C129" s="44"/>
    </row>
    <row r="130" ht="15.75">
      <c r="C130" s="44"/>
    </row>
    <row r="131" ht="15.75">
      <c r="C131" s="44"/>
    </row>
    <row r="132" ht="15.75">
      <c r="C132" s="44"/>
    </row>
    <row r="133" ht="15.75">
      <c r="C133" s="44"/>
    </row>
    <row r="134" ht="15.75">
      <c r="C134" s="44"/>
    </row>
    <row r="135" ht="15.75">
      <c r="C135" s="44"/>
    </row>
    <row r="136" ht="15.75">
      <c r="C136" s="44"/>
    </row>
    <row r="137" ht="15.75">
      <c r="C137" s="44"/>
    </row>
    <row r="138" ht="15.75">
      <c r="C138" s="44"/>
    </row>
    <row r="139" ht="15.75">
      <c r="C139" s="44"/>
    </row>
    <row r="140" ht="15.75">
      <c r="C140" s="44"/>
    </row>
    <row r="141" ht="15.75">
      <c r="C141" s="44"/>
    </row>
    <row r="142" ht="15.75">
      <c r="C142" s="44"/>
    </row>
    <row r="143" ht="15.75">
      <c r="C143" s="44"/>
    </row>
  </sheetData>
  <sheetProtection/>
  <mergeCells count="8">
    <mergeCell ref="C2:E2"/>
    <mergeCell ref="A3:E3"/>
    <mergeCell ref="A4:E4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32.00390625" style="58" customWidth="1"/>
    <col min="2" max="2" width="5.57421875" style="58" customWidth="1"/>
    <col min="3" max="3" width="6.8515625" style="58" customWidth="1"/>
    <col min="4" max="4" width="11.140625" style="58" customWidth="1"/>
    <col min="5" max="5" width="7.00390625" style="58" customWidth="1"/>
    <col min="6" max="6" width="7.421875" style="58" customWidth="1"/>
    <col min="7" max="7" width="13.28125" style="62" customWidth="1"/>
    <col min="8" max="8" width="11.7109375" style="62" customWidth="1"/>
    <col min="9" max="9" width="11.421875" style="62" customWidth="1"/>
    <col min="10" max="11" width="11.421875" style="58" hidden="1" customWidth="1"/>
    <col min="12" max="12" width="13.140625" style="58" hidden="1" customWidth="1"/>
    <col min="13" max="13" width="15.8515625" style="58" hidden="1" customWidth="1"/>
    <col min="14" max="14" width="12.421875" style="58" hidden="1" customWidth="1"/>
    <col min="15" max="15" width="14.28125" style="58" hidden="1" customWidth="1"/>
    <col min="16" max="16384" width="9.140625" style="58" customWidth="1"/>
  </cols>
  <sheetData>
    <row r="1" spans="5:9" ht="21.75" customHeight="1">
      <c r="E1" s="123" t="s">
        <v>222</v>
      </c>
      <c r="F1" s="124"/>
      <c r="G1" s="124"/>
      <c r="H1" s="125"/>
      <c r="I1" s="125"/>
    </row>
    <row r="2" spans="5:9" ht="61.5" customHeight="1">
      <c r="E2" s="126" t="s">
        <v>286</v>
      </c>
      <c r="F2" s="124"/>
      <c r="G2" s="124"/>
      <c r="H2" s="125"/>
      <c r="I2" s="125"/>
    </row>
    <row r="3" spans="1:9" ht="53.25" customHeight="1">
      <c r="A3" s="127" t="s">
        <v>285</v>
      </c>
      <c r="B3" s="127"/>
      <c r="C3" s="127"/>
      <c r="D3" s="127"/>
      <c r="E3" s="127"/>
      <c r="F3" s="127"/>
      <c r="G3" s="127"/>
      <c r="H3" s="128"/>
      <c r="I3" s="128"/>
    </row>
    <row r="4" spans="1:256" s="60" customFormat="1" ht="32.25" customHeight="1">
      <c r="A4" s="129" t="s">
        <v>288</v>
      </c>
      <c r="B4" s="129"/>
      <c r="C4" s="129"/>
      <c r="D4" s="129"/>
      <c r="E4" s="129"/>
      <c r="F4" s="130"/>
      <c r="G4" s="130"/>
      <c r="H4" s="130"/>
      <c r="I4" s="125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ht="10.5">
      <c r="A5" s="61"/>
    </row>
    <row r="6" spans="1:13" ht="10.5">
      <c r="A6" s="131" t="s">
        <v>223</v>
      </c>
      <c r="B6" s="132" t="s">
        <v>224</v>
      </c>
      <c r="C6" s="132"/>
      <c r="D6" s="132"/>
      <c r="E6" s="132"/>
      <c r="F6" s="132"/>
      <c r="G6" s="133" t="s">
        <v>7</v>
      </c>
      <c r="H6" s="135" t="s">
        <v>8</v>
      </c>
      <c r="I6" s="135"/>
      <c r="J6" s="122" t="s">
        <v>280</v>
      </c>
      <c r="K6" s="122"/>
      <c r="L6" s="122"/>
      <c r="M6" s="122"/>
    </row>
    <row r="7" spans="1:13" ht="31.5">
      <c r="A7" s="131"/>
      <c r="B7" s="76" t="s">
        <v>225</v>
      </c>
      <c r="C7" s="76" t="s">
        <v>226</v>
      </c>
      <c r="D7" s="76" t="s">
        <v>227</v>
      </c>
      <c r="E7" s="76" t="s">
        <v>228</v>
      </c>
      <c r="F7" s="76" t="s">
        <v>6</v>
      </c>
      <c r="G7" s="134"/>
      <c r="H7" s="54" t="s">
        <v>9</v>
      </c>
      <c r="I7" s="54" t="s">
        <v>10</v>
      </c>
      <c r="J7" s="52" t="s">
        <v>281</v>
      </c>
      <c r="K7" s="52" t="s">
        <v>282</v>
      </c>
      <c r="L7" s="63" t="s">
        <v>283</v>
      </c>
      <c r="M7" s="63" t="s">
        <v>284</v>
      </c>
    </row>
    <row r="8" spans="1:13" s="57" customFormat="1" ht="10.5">
      <c r="A8" s="53" t="s">
        <v>11</v>
      </c>
      <c r="B8" s="53" t="s">
        <v>12</v>
      </c>
      <c r="C8" s="53" t="s">
        <v>13</v>
      </c>
      <c r="D8" s="53">
        <v>4</v>
      </c>
      <c r="E8" s="53">
        <v>5</v>
      </c>
      <c r="F8" s="53">
        <v>6</v>
      </c>
      <c r="G8" s="54">
        <v>7</v>
      </c>
      <c r="H8" s="55">
        <v>8</v>
      </c>
      <c r="I8" s="55">
        <v>9</v>
      </c>
      <c r="J8" s="56">
        <f>G8+1</f>
        <v>8</v>
      </c>
      <c r="K8" s="56">
        <f>J8+1</f>
        <v>9</v>
      </c>
      <c r="L8" s="56">
        <f>K8+1</f>
        <v>10</v>
      </c>
      <c r="M8" s="56">
        <f>L8+1</f>
        <v>11</v>
      </c>
    </row>
    <row r="9" spans="1:14" s="5" customFormat="1" ht="12.75">
      <c r="A9" s="2" t="s">
        <v>229</v>
      </c>
      <c r="B9" s="2" t="s">
        <v>230</v>
      </c>
      <c r="C9" s="2" t="s">
        <v>231</v>
      </c>
      <c r="D9" s="2" t="s">
        <v>92</v>
      </c>
      <c r="E9" s="2" t="s">
        <v>93</v>
      </c>
      <c r="F9" s="3"/>
      <c r="G9" s="4">
        <f>SUM(G10:G19)</f>
        <v>26090400</v>
      </c>
      <c r="H9" s="4">
        <f aca="true" t="shared" si="0" ref="H9:M9">SUM(H10:H19)</f>
        <v>26090400</v>
      </c>
      <c r="I9" s="4">
        <f t="shared" si="0"/>
        <v>26090400</v>
      </c>
      <c r="J9" s="46">
        <f t="shared" si="0"/>
        <v>26090400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7">
        <f>SUM(N10:N19)</f>
        <v>26485060</v>
      </c>
    </row>
    <row r="10" spans="1:14" s="5" customFormat="1" ht="12.75">
      <c r="A10" s="6" t="s">
        <v>232</v>
      </c>
      <c r="B10" s="2"/>
      <c r="C10" s="2"/>
      <c r="D10" s="2"/>
      <c r="E10" s="2"/>
      <c r="F10" s="3"/>
      <c r="G10" s="50">
        <v>3032770</v>
      </c>
      <c r="H10" s="50">
        <v>3032770</v>
      </c>
      <c r="I10" s="50">
        <v>3032770</v>
      </c>
      <c r="J10" s="7">
        <f>G10</f>
        <v>3032770</v>
      </c>
      <c r="K10" s="7"/>
      <c r="L10" s="17"/>
      <c r="M10" s="17"/>
      <c r="N10" s="18">
        <f aca="true" t="shared" si="1" ref="N10:N17">G10+G21</f>
        <v>3032770</v>
      </c>
    </row>
    <row r="11" spans="1:14" s="5" customFormat="1" ht="12.75">
      <c r="A11" s="6" t="s">
        <v>233</v>
      </c>
      <c r="B11" s="2"/>
      <c r="C11" s="2"/>
      <c r="D11" s="2"/>
      <c r="E11" s="2"/>
      <c r="F11" s="3"/>
      <c r="G11" s="50">
        <v>2899460</v>
      </c>
      <c r="H11" s="50">
        <v>2899460</v>
      </c>
      <c r="I11" s="50">
        <v>2899460</v>
      </c>
      <c r="J11" s="7">
        <f aca="true" t="shared" si="2" ref="J11:J19">G11</f>
        <v>2899460</v>
      </c>
      <c r="K11" s="7"/>
      <c r="L11" s="17"/>
      <c r="M11" s="17"/>
      <c r="N11" s="18">
        <f t="shared" si="1"/>
        <v>2899460</v>
      </c>
    </row>
    <row r="12" spans="1:14" s="5" customFormat="1" ht="12.75">
      <c r="A12" s="6" t="s">
        <v>234</v>
      </c>
      <c r="B12" s="2"/>
      <c r="C12" s="2"/>
      <c r="D12" s="2"/>
      <c r="E12" s="2"/>
      <c r="F12" s="3"/>
      <c r="G12" s="50">
        <v>2271330</v>
      </c>
      <c r="H12" s="50">
        <v>2271330</v>
      </c>
      <c r="I12" s="50">
        <v>2271330</v>
      </c>
      <c r="J12" s="7">
        <f t="shared" si="2"/>
        <v>2271330</v>
      </c>
      <c r="K12" s="7"/>
      <c r="L12" s="17"/>
      <c r="M12" s="17"/>
      <c r="N12" s="18">
        <f t="shared" si="1"/>
        <v>2271330</v>
      </c>
    </row>
    <row r="13" spans="1:14" s="5" customFormat="1" ht="12.75">
      <c r="A13" s="6" t="s">
        <v>235</v>
      </c>
      <c r="B13" s="2"/>
      <c r="C13" s="2"/>
      <c r="D13" s="2"/>
      <c r="E13" s="2"/>
      <c r="F13" s="3"/>
      <c r="G13" s="50">
        <v>2999860</v>
      </c>
      <c r="H13" s="50">
        <v>2999860</v>
      </c>
      <c r="I13" s="50">
        <v>2999860</v>
      </c>
      <c r="J13" s="7">
        <f t="shared" si="2"/>
        <v>2999860</v>
      </c>
      <c r="K13" s="7"/>
      <c r="L13" s="17"/>
      <c r="M13" s="17"/>
      <c r="N13" s="18">
        <f t="shared" si="1"/>
        <v>2999860</v>
      </c>
    </row>
    <row r="14" spans="1:14" s="5" customFormat="1" ht="12.75">
      <c r="A14" s="6" t="s">
        <v>236</v>
      </c>
      <c r="B14" s="2"/>
      <c r="C14" s="2"/>
      <c r="D14" s="2"/>
      <c r="E14" s="2"/>
      <c r="F14" s="3"/>
      <c r="G14" s="50">
        <v>1870230</v>
      </c>
      <c r="H14" s="50">
        <v>1870230</v>
      </c>
      <c r="I14" s="50">
        <v>1870230</v>
      </c>
      <c r="J14" s="7">
        <f t="shared" si="2"/>
        <v>1870230</v>
      </c>
      <c r="K14" s="7"/>
      <c r="L14" s="17"/>
      <c r="M14" s="17"/>
      <c r="N14" s="18">
        <f t="shared" si="1"/>
        <v>1870230</v>
      </c>
    </row>
    <row r="15" spans="1:14" s="5" customFormat="1" ht="12.75">
      <c r="A15" s="6" t="s">
        <v>237</v>
      </c>
      <c r="B15" s="2"/>
      <c r="C15" s="2"/>
      <c r="D15" s="2"/>
      <c r="E15" s="2"/>
      <c r="F15" s="3"/>
      <c r="G15" s="50">
        <v>2421920</v>
      </c>
      <c r="H15" s="50">
        <v>2421920</v>
      </c>
      <c r="I15" s="50">
        <v>2421920</v>
      </c>
      <c r="J15" s="7">
        <f t="shared" si="2"/>
        <v>2421920</v>
      </c>
      <c r="K15" s="7"/>
      <c r="L15" s="17"/>
      <c r="M15" s="17"/>
      <c r="N15" s="18">
        <f t="shared" si="1"/>
        <v>2421920</v>
      </c>
    </row>
    <row r="16" spans="1:14" s="5" customFormat="1" ht="12.75">
      <c r="A16" s="6" t="s">
        <v>238</v>
      </c>
      <c r="B16" s="2"/>
      <c r="C16" s="2"/>
      <c r="D16" s="2"/>
      <c r="E16" s="2"/>
      <c r="F16" s="3"/>
      <c r="G16" s="50">
        <v>2381950</v>
      </c>
      <c r="H16" s="50">
        <v>2381950</v>
      </c>
      <c r="I16" s="50">
        <v>2381950</v>
      </c>
      <c r="J16" s="7">
        <f t="shared" si="2"/>
        <v>2381950</v>
      </c>
      <c r="K16" s="7"/>
      <c r="L16" s="17"/>
      <c r="M16" s="17"/>
      <c r="N16" s="18">
        <f t="shared" si="1"/>
        <v>2381950</v>
      </c>
    </row>
    <row r="17" spans="1:14" s="1" customFormat="1" ht="12.75">
      <c r="A17" s="6" t="s">
        <v>239</v>
      </c>
      <c r="B17" s="2"/>
      <c r="C17" s="2"/>
      <c r="D17" s="2"/>
      <c r="E17" s="2"/>
      <c r="F17" s="3"/>
      <c r="G17" s="50">
        <v>2907810</v>
      </c>
      <c r="H17" s="50">
        <v>2907810</v>
      </c>
      <c r="I17" s="50">
        <v>2907810</v>
      </c>
      <c r="J17" s="7">
        <f t="shared" si="2"/>
        <v>2907810</v>
      </c>
      <c r="K17" s="7"/>
      <c r="L17" s="13"/>
      <c r="M17" s="13"/>
      <c r="N17" s="18">
        <f t="shared" si="1"/>
        <v>2907810</v>
      </c>
    </row>
    <row r="18" spans="1:14" s="1" customFormat="1" ht="12.75">
      <c r="A18" s="6" t="s">
        <v>240</v>
      </c>
      <c r="B18" s="2"/>
      <c r="C18" s="2"/>
      <c r="D18" s="2"/>
      <c r="E18" s="2"/>
      <c r="F18" s="3"/>
      <c r="G18" s="50">
        <v>4416720</v>
      </c>
      <c r="H18" s="50">
        <v>4416720</v>
      </c>
      <c r="I18" s="50">
        <v>4416720</v>
      </c>
      <c r="J18" s="7">
        <f t="shared" si="2"/>
        <v>4416720</v>
      </c>
      <c r="K18" s="7"/>
      <c r="L18" s="13"/>
      <c r="M18" s="13"/>
      <c r="N18" s="18">
        <f>G18+G29</f>
        <v>4416720</v>
      </c>
    </row>
    <row r="19" spans="1:14" s="1" customFormat="1" ht="12.75">
      <c r="A19" s="6" t="s">
        <v>241</v>
      </c>
      <c r="B19" s="2"/>
      <c r="C19" s="2"/>
      <c r="D19" s="2"/>
      <c r="E19" s="2"/>
      <c r="F19" s="3"/>
      <c r="G19" s="50">
        <v>888350</v>
      </c>
      <c r="H19" s="50">
        <v>888350</v>
      </c>
      <c r="I19" s="50">
        <v>888350</v>
      </c>
      <c r="J19" s="7">
        <f t="shared" si="2"/>
        <v>888350</v>
      </c>
      <c r="K19" s="7"/>
      <c r="L19" s="13"/>
      <c r="M19" s="13"/>
      <c r="N19" s="18">
        <f>G19+G30</f>
        <v>1283010</v>
      </c>
    </row>
    <row r="20" spans="1:13" s="1" customFormat="1" ht="12.75">
      <c r="A20" s="2" t="s">
        <v>242</v>
      </c>
      <c r="B20" s="2" t="s">
        <v>230</v>
      </c>
      <c r="C20" s="2" t="s">
        <v>243</v>
      </c>
      <c r="D20" s="2" t="s">
        <v>86</v>
      </c>
      <c r="E20" s="2" t="s">
        <v>87</v>
      </c>
      <c r="F20" s="3"/>
      <c r="G20" s="4">
        <f>SUM(G21:G30)</f>
        <v>394660</v>
      </c>
      <c r="H20" s="4">
        <f aca="true" t="shared" si="3" ref="H20:M20">SUM(H21:H30)</f>
        <v>0</v>
      </c>
      <c r="I20" s="4">
        <f t="shared" si="3"/>
        <v>0</v>
      </c>
      <c r="J20" s="46">
        <f t="shared" si="3"/>
        <v>0</v>
      </c>
      <c r="K20" s="46">
        <f t="shared" si="3"/>
        <v>394660</v>
      </c>
      <c r="L20" s="46">
        <f t="shared" si="3"/>
        <v>0</v>
      </c>
      <c r="M20" s="46">
        <f t="shared" si="3"/>
        <v>0</v>
      </c>
    </row>
    <row r="21" spans="1:13" s="1" customFormat="1" ht="12.75" hidden="1">
      <c r="A21" s="6" t="s">
        <v>232</v>
      </c>
      <c r="B21" s="6"/>
      <c r="C21" s="6"/>
      <c r="D21" s="6"/>
      <c r="E21" s="6"/>
      <c r="F21" s="8"/>
      <c r="G21" s="9"/>
      <c r="H21" s="9"/>
      <c r="I21" s="9"/>
      <c r="J21" s="9"/>
      <c r="K21" s="9">
        <f>G21</f>
        <v>0</v>
      </c>
      <c r="L21" s="13"/>
      <c r="M21" s="13"/>
    </row>
    <row r="22" spans="1:13" s="1" customFormat="1" ht="12.75" hidden="1">
      <c r="A22" s="6" t="s">
        <v>233</v>
      </c>
      <c r="B22" s="6"/>
      <c r="C22" s="6"/>
      <c r="D22" s="6"/>
      <c r="E22" s="6"/>
      <c r="F22" s="8"/>
      <c r="G22" s="9"/>
      <c r="H22" s="9"/>
      <c r="I22" s="9"/>
      <c r="J22" s="9"/>
      <c r="K22" s="9">
        <f aca="true" t="shared" si="4" ref="K22:K30">G22</f>
        <v>0</v>
      </c>
      <c r="L22" s="13"/>
      <c r="M22" s="13"/>
    </row>
    <row r="23" spans="1:13" s="1" customFormat="1" ht="12.75" hidden="1">
      <c r="A23" s="6" t="s">
        <v>234</v>
      </c>
      <c r="B23" s="6"/>
      <c r="C23" s="6"/>
      <c r="D23" s="6"/>
      <c r="E23" s="6"/>
      <c r="F23" s="8"/>
      <c r="G23" s="9"/>
      <c r="H23" s="9"/>
      <c r="I23" s="9"/>
      <c r="J23" s="9"/>
      <c r="K23" s="9">
        <f t="shared" si="4"/>
        <v>0</v>
      </c>
      <c r="L23" s="13"/>
      <c r="M23" s="13"/>
    </row>
    <row r="24" spans="1:13" s="1" customFormat="1" ht="12.75" hidden="1">
      <c r="A24" s="6" t="s">
        <v>235</v>
      </c>
      <c r="B24" s="6"/>
      <c r="C24" s="6"/>
      <c r="D24" s="6"/>
      <c r="E24" s="6"/>
      <c r="F24" s="8"/>
      <c r="G24" s="9"/>
      <c r="H24" s="9"/>
      <c r="I24" s="9"/>
      <c r="J24" s="9"/>
      <c r="K24" s="9">
        <f t="shared" si="4"/>
        <v>0</v>
      </c>
      <c r="L24" s="13"/>
      <c r="M24" s="13"/>
    </row>
    <row r="25" spans="1:13" s="1" customFormat="1" ht="12.75" hidden="1">
      <c r="A25" s="6" t="s">
        <v>236</v>
      </c>
      <c r="B25" s="6"/>
      <c r="C25" s="6"/>
      <c r="D25" s="6"/>
      <c r="E25" s="6"/>
      <c r="F25" s="8"/>
      <c r="G25" s="9"/>
      <c r="H25" s="9"/>
      <c r="I25" s="9"/>
      <c r="J25" s="9"/>
      <c r="K25" s="9">
        <f t="shared" si="4"/>
        <v>0</v>
      </c>
      <c r="L25" s="13"/>
      <c r="M25" s="13"/>
    </row>
    <row r="26" spans="1:13" s="1" customFormat="1" ht="12.75" hidden="1">
      <c r="A26" s="6" t="s">
        <v>237</v>
      </c>
      <c r="B26" s="6"/>
      <c r="C26" s="6"/>
      <c r="D26" s="6"/>
      <c r="E26" s="6"/>
      <c r="F26" s="8"/>
      <c r="G26" s="9"/>
      <c r="H26" s="9"/>
      <c r="I26" s="9"/>
      <c r="J26" s="9"/>
      <c r="K26" s="9">
        <f t="shared" si="4"/>
        <v>0</v>
      </c>
      <c r="L26" s="13"/>
      <c r="M26" s="13"/>
    </row>
    <row r="27" spans="1:13" s="5" customFormat="1" ht="12.75" hidden="1">
      <c r="A27" s="6" t="s">
        <v>238</v>
      </c>
      <c r="B27" s="6"/>
      <c r="C27" s="6"/>
      <c r="D27" s="6"/>
      <c r="E27" s="6"/>
      <c r="F27" s="8"/>
      <c r="G27" s="9"/>
      <c r="H27" s="9"/>
      <c r="I27" s="9"/>
      <c r="J27" s="9"/>
      <c r="K27" s="9">
        <f t="shared" si="4"/>
        <v>0</v>
      </c>
      <c r="L27" s="17"/>
      <c r="M27" s="17"/>
    </row>
    <row r="28" spans="1:13" s="10" customFormat="1" ht="12.75" hidden="1">
      <c r="A28" s="6" t="s">
        <v>239</v>
      </c>
      <c r="B28" s="6"/>
      <c r="C28" s="6"/>
      <c r="D28" s="6"/>
      <c r="E28" s="6"/>
      <c r="F28" s="8"/>
      <c r="G28" s="9"/>
      <c r="H28" s="9"/>
      <c r="I28" s="9"/>
      <c r="J28" s="9"/>
      <c r="K28" s="9">
        <f t="shared" si="4"/>
        <v>0</v>
      </c>
      <c r="L28" s="48"/>
      <c r="M28" s="48"/>
    </row>
    <row r="29" spans="1:13" s="1" customFormat="1" ht="12.75" hidden="1">
      <c r="A29" s="6" t="s">
        <v>240</v>
      </c>
      <c r="B29" s="6"/>
      <c r="C29" s="6"/>
      <c r="D29" s="6"/>
      <c r="E29" s="6"/>
      <c r="F29" s="8"/>
      <c r="G29" s="9"/>
      <c r="H29" s="9"/>
      <c r="I29" s="9"/>
      <c r="J29" s="9"/>
      <c r="K29" s="9">
        <f t="shared" si="4"/>
        <v>0</v>
      </c>
      <c r="L29" s="13"/>
      <c r="M29" s="13"/>
    </row>
    <row r="30" spans="1:13" s="1" customFormat="1" ht="12.75">
      <c r="A30" s="6" t="s">
        <v>241</v>
      </c>
      <c r="B30" s="6"/>
      <c r="C30" s="6"/>
      <c r="D30" s="6"/>
      <c r="E30" s="6"/>
      <c r="F30" s="8"/>
      <c r="G30" s="9">
        <v>394660</v>
      </c>
      <c r="H30" s="11"/>
      <c r="I30" s="11"/>
      <c r="J30" s="11"/>
      <c r="K30" s="9">
        <f t="shared" si="4"/>
        <v>394660</v>
      </c>
      <c r="L30" s="13"/>
      <c r="M30" s="13"/>
    </row>
    <row r="31" spans="1:13" s="1" customFormat="1" ht="12.75" hidden="1">
      <c r="A31" s="2" t="s">
        <v>242</v>
      </c>
      <c r="B31" s="2" t="s">
        <v>230</v>
      </c>
      <c r="C31" s="2" t="s">
        <v>243</v>
      </c>
      <c r="D31" s="2" t="s">
        <v>86</v>
      </c>
      <c r="E31" s="2" t="s">
        <v>87</v>
      </c>
      <c r="F31" s="3">
        <v>2901</v>
      </c>
      <c r="G31" s="4">
        <f aca="true" t="shared" si="5" ref="G31:M31">SUM(G32:G41)</f>
        <v>0</v>
      </c>
      <c r="H31" s="4">
        <f t="shared" si="5"/>
        <v>0</v>
      </c>
      <c r="I31" s="4">
        <f t="shared" si="5"/>
        <v>0</v>
      </c>
      <c r="J31" s="46">
        <f t="shared" si="5"/>
        <v>0</v>
      </c>
      <c r="K31" s="46">
        <f t="shared" si="5"/>
        <v>0</v>
      </c>
      <c r="L31" s="46">
        <f t="shared" si="5"/>
        <v>0</v>
      </c>
      <c r="M31" s="46">
        <f t="shared" si="5"/>
        <v>0</v>
      </c>
    </row>
    <row r="32" spans="1:13" s="1" customFormat="1" ht="12.75" hidden="1">
      <c r="A32" s="6" t="s">
        <v>232</v>
      </c>
      <c r="B32" s="13"/>
      <c r="C32" s="13"/>
      <c r="D32" s="13"/>
      <c r="E32" s="13"/>
      <c r="F32" s="13"/>
      <c r="G32" s="11"/>
      <c r="H32" s="11"/>
      <c r="I32" s="11"/>
      <c r="J32" s="11"/>
      <c r="K32" s="11"/>
      <c r="L32" s="13"/>
      <c r="M32" s="49">
        <f>G32</f>
        <v>0</v>
      </c>
    </row>
    <row r="33" spans="1:13" s="1" customFormat="1" ht="12.75" hidden="1">
      <c r="A33" s="6" t="s">
        <v>233</v>
      </c>
      <c r="B33" s="13"/>
      <c r="C33" s="13"/>
      <c r="D33" s="13"/>
      <c r="E33" s="13"/>
      <c r="F33" s="13"/>
      <c r="G33" s="11"/>
      <c r="H33" s="11"/>
      <c r="I33" s="11"/>
      <c r="J33" s="11"/>
      <c r="K33" s="11"/>
      <c r="L33" s="13"/>
      <c r="M33" s="49">
        <f aca="true" t="shared" si="6" ref="M33:M40">G33</f>
        <v>0</v>
      </c>
    </row>
    <row r="34" spans="1:13" s="1" customFormat="1" ht="12.75" hidden="1">
      <c r="A34" s="6" t="s">
        <v>234</v>
      </c>
      <c r="B34" s="13"/>
      <c r="C34" s="13"/>
      <c r="D34" s="13"/>
      <c r="E34" s="13"/>
      <c r="F34" s="13"/>
      <c r="G34" s="9"/>
      <c r="H34" s="9"/>
      <c r="I34" s="9"/>
      <c r="J34" s="9"/>
      <c r="K34" s="9"/>
      <c r="L34" s="13"/>
      <c r="M34" s="49">
        <f t="shared" si="6"/>
        <v>0</v>
      </c>
    </row>
    <row r="35" spans="1:13" s="1" customFormat="1" ht="12.75" hidden="1">
      <c r="A35" s="6" t="s">
        <v>235</v>
      </c>
      <c r="B35" s="13"/>
      <c r="C35" s="13"/>
      <c r="D35" s="13"/>
      <c r="E35" s="13"/>
      <c r="F35" s="13"/>
      <c r="G35" s="9"/>
      <c r="H35" s="9"/>
      <c r="I35" s="9"/>
      <c r="J35" s="9"/>
      <c r="K35" s="9"/>
      <c r="L35" s="13"/>
      <c r="M35" s="49">
        <f t="shared" si="6"/>
        <v>0</v>
      </c>
    </row>
    <row r="36" spans="1:13" s="1" customFormat="1" ht="12.75" hidden="1">
      <c r="A36" s="6" t="s">
        <v>236</v>
      </c>
      <c r="B36" s="13"/>
      <c r="C36" s="13"/>
      <c r="D36" s="13"/>
      <c r="E36" s="13"/>
      <c r="F36" s="13"/>
      <c r="G36" s="11"/>
      <c r="H36" s="11"/>
      <c r="I36" s="11"/>
      <c r="J36" s="11"/>
      <c r="K36" s="11"/>
      <c r="L36" s="13"/>
      <c r="M36" s="49">
        <f t="shared" si="6"/>
        <v>0</v>
      </c>
    </row>
    <row r="37" spans="1:13" s="1" customFormat="1" ht="12.75" hidden="1">
      <c r="A37" s="6" t="s">
        <v>237</v>
      </c>
      <c r="B37" s="13"/>
      <c r="C37" s="13"/>
      <c r="D37" s="13"/>
      <c r="E37" s="13"/>
      <c r="F37" s="13"/>
      <c r="G37" s="9"/>
      <c r="H37" s="9"/>
      <c r="I37" s="9"/>
      <c r="J37" s="9"/>
      <c r="K37" s="9"/>
      <c r="L37" s="13"/>
      <c r="M37" s="49">
        <f t="shared" si="6"/>
        <v>0</v>
      </c>
    </row>
    <row r="38" spans="1:13" s="5" customFormat="1" ht="12.75" hidden="1">
      <c r="A38" s="6" t="s">
        <v>238</v>
      </c>
      <c r="B38" s="13"/>
      <c r="C38" s="13"/>
      <c r="D38" s="13"/>
      <c r="E38" s="13"/>
      <c r="F38" s="13"/>
      <c r="G38" s="11"/>
      <c r="H38" s="11"/>
      <c r="I38" s="11"/>
      <c r="J38" s="11"/>
      <c r="K38" s="11"/>
      <c r="L38" s="17"/>
      <c r="M38" s="49">
        <f t="shared" si="6"/>
        <v>0</v>
      </c>
    </row>
    <row r="39" spans="1:13" s="1" customFormat="1" ht="12.75" hidden="1">
      <c r="A39" s="6" t="s">
        <v>239</v>
      </c>
      <c r="B39" s="13"/>
      <c r="C39" s="13"/>
      <c r="D39" s="13"/>
      <c r="E39" s="13"/>
      <c r="F39" s="13"/>
      <c r="G39" s="11"/>
      <c r="H39" s="11"/>
      <c r="I39" s="11"/>
      <c r="J39" s="11"/>
      <c r="K39" s="11"/>
      <c r="L39" s="13"/>
      <c r="M39" s="49">
        <f t="shared" si="6"/>
        <v>0</v>
      </c>
    </row>
    <row r="40" spans="1:13" s="1" customFormat="1" ht="12.75" hidden="1">
      <c r="A40" s="6" t="s">
        <v>240</v>
      </c>
      <c r="B40" s="13"/>
      <c r="C40" s="13"/>
      <c r="D40" s="13"/>
      <c r="E40" s="13"/>
      <c r="F40" s="13"/>
      <c r="G40" s="9"/>
      <c r="H40" s="9"/>
      <c r="I40" s="9"/>
      <c r="J40" s="9"/>
      <c r="K40" s="9"/>
      <c r="L40" s="13"/>
      <c r="M40" s="49">
        <f t="shared" si="6"/>
        <v>0</v>
      </c>
    </row>
    <row r="41" spans="1:13" s="1" customFormat="1" ht="12.75" hidden="1">
      <c r="A41" s="6" t="s">
        <v>241</v>
      </c>
      <c r="B41" s="13"/>
      <c r="C41" s="13"/>
      <c r="D41" s="13"/>
      <c r="E41" s="13"/>
      <c r="F41" s="13"/>
      <c r="G41" s="11"/>
      <c r="H41" s="11"/>
      <c r="I41" s="11"/>
      <c r="J41" s="11"/>
      <c r="K41" s="11"/>
      <c r="L41" s="13"/>
      <c r="M41" s="13"/>
    </row>
    <row r="42" spans="1:13" s="1" customFormat="1" ht="12.75">
      <c r="A42" s="2" t="s">
        <v>242</v>
      </c>
      <c r="B42" s="2" t="s">
        <v>230</v>
      </c>
      <c r="C42" s="2" t="s">
        <v>243</v>
      </c>
      <c r="D42" s="2" t="s">
        <v>95</v>
      </c>
      <c r="E42" s="2" t="s">
        <v>96</v>
      </c>
      <c r="F42" s="3">
        <v>2938</v>
      </c>
      <c r="G42" s="4">
        <f>SUM(G43:G52)</f>
        <v>5105000</v>
      </c>
      <c r="H42" s="4">
        <f aca="true" t="shared" si="7" ref="H42:M42">SUM(H43:H52)</f>
        <v>0</v>
      </c>
      <c r="I42" s="4">
        <f t="shared" si="7"/>
        <v>0</v>
      </c>
      <c r="J42" s="46">
        <f t="shared" si="7"/>
        <v>0</v>
      </c>
      <c r="K42" s="46">
        <f t="shared" si="7"/>
        <v>0</v>
      </c>
      <c r="L42" s="46">
        <f t="shared" si="7"/>
        <v>5105000</v>
      </c>
      <c r="M42" s="46">
        <f t="shared" si="7"/>
        <v>0</v>
      </c>
    </row>
    <row r="43" spans="1:13" s="1" customFormat="1" ht="12.75">
      <c r="A43" s="6" t="s">
        <v>232</v>
      </c>
      <c r="B43" s="6"/>
      <c r="C43" s="6"/>
      <c r="D43" s="6"/>
      <c r="E43" s="6"/>
      <c r="F43" s="8"/>
      <c r="G43" s="12">
        <v>568786</v>
      </c>
      <c r="H43" s="11"/>
      <c r="I43" s="11"/>
      <c r="J43" s="11"/>
      <c r="K43" s="11"/>
      <c r="L43" s="49">
        <f>G43</f>
        <v>568786</v>
      </c>
      <c r="M43" s="13"/>
    </row>
    <row r="44" spans="1:13" s="1" customFormat="1" ht="12.75">
      <c r="A44" s="6" t="s">
        <v>233</v>
      </c>
      <c r="B44" s="13"/>
      <c r="C44" s="13"/>
      <c r="D44" s="13"/>
      <c r="E44" s="13"/>
      <c r="F44" s="13"/>
      <c r="G44" s="11">
        <v>825019</v>
      </c>
      <c r="H44" s="11"/>
      <c r="I44" s="11"/>
      <c r="J44" s="11"/>
      <c r="K44" s="11"/>
      <c r="L44" s="49">
        <f aca="true" t="shared" si="8" ref="L44:L52">G44</f>
        <v>825019</v>
      </c>
      <c r="M44" s="13"/>
    </row>
    <row r="45" spans="1:13" s="1" customFormat="1" ht="12.75">
      <c r="A45" s="6" t="s">
        <v>234</v>
      </c>
      <c r="B45" s="13"/>
      <c r="C45" s="13"/>
      <c r="D45" s="13"/>
      <c r="E45" s="13"/>
      <c r="F45" s="13"/>
      <c r="G45" s="11">
        <v>485629</v>
      </c>
      <c r="H45" s="11"/>
      <c r="I45" s="11"/>
      <c r="J45" s="11"/>
      <c r="K45" s="11"/>
      <c r="L45" s="49">
        <f t="shared" si="8"/>
        <v>485629</v>
      </c>
      <c r="M45" s="13"/>
    </row>
    <row r="46" spans="1:13" s="1" customFormat="1" ht="12.75">
      <c r="A46" s="6" t="s">
        <v>235</v>
      </c>
      <c r="B46" s="13"/>
      <c r="C46" s="13"/>
      <c r="D46" s="13"/>
      <c r="E46" s="13"/>
      <c r="F46" s="13"/>
      <c r="G46" s="11">
        <v>789332</v>
      </c>
      <c r="H46" s="11"/>
      <c r="I46" s="11"/>
      <c r="J46" s="11"/>
      <c r="K46" s="11"/>
      <c r="L46" s="49">
        <f t="shared" si="8"/>
        <v>789332</v>
      </c>
      <c r="M46" s="13"/>
    </row>
    <row r="47" spans="1:13" s="1" customFormat="1" ht="12.75">
      <c r="A47" s="6" t="s">
        <v>236</v>
      </c>
      <c r="B47" s="13"/>
      <c r="C47" s="13"/>
      <c r="D47" s="13"/>
      <c r="E47" s="13"/>
      <c r="F47" s="13"/>
      <c r="G47" s="11">
        <v>338545</v>
      </c>
      <c r="H47" s="11"/>
      <c r="I47" s="11"/>
      <c r="J47" s="11"/>
      <c r="K47" s="11"/>
      <c r="L47" s="49">
        <f t="shared" si="8"/>
        <v>338545</v>
      </c>
      <c r="M47" s="13"/>
    </row>
    <row r="48" spans="1:13" s="1" customFormat="1" ht="12.75">
      <c r="A48" s="6" t="s">
        <v>237</v>
      </c>
      <c r="B48" s="13"/>
      <c r="C48" s="13"/>
      <c r="D48" s="13"/>
      <c r="E48" s="13"/>
      <c r="F48" s="13"/>
      <c r="G48" s="11">
        <v>299889</v>
      </c>
      <c r="H48" s="11"/>
      <c r="I48" s="11"/>
      <c r="J48" s="11"/>
      <c r="K48" s="11"/>
      <c r="L48" s="49">
        <f t="shared" si="8"/>
        <v>299889</v>
      </c>
      <c r="M48" s="13"/>
    </row>
    <row r="49" spans="1:13" s="1" customFormat="1" ht="12.75">
      <c r="A49" s="6" t="s">
        <v>238</v>
      </c>
      <c r="B49" s="13"/>
      <c r="C49" s="13"/>
      <c r="D49" s="13"/>
      <c r="E49" s="13"/>
      <c r="F49" s="13"/>
      <c r="G49" s="11">
        <v>348679</v>
      </c>
      <c r="H49" s="11"/>
      <c r="I49" s="11"/>
      <c r="J49" s="11"/>
      <c r="K49" s="11"/>
      <c r="L49" s="49">
        <f t="shared" si="8"/>
        <v>348679</v>
      </c>
      <c r="M49" s="13"/>
    </row>
    <row r="50" spans="1:13" s="1" customFormat="1" ht="12.75">
      <c r="A50" s="6" t="s">
        <v>239</v>
      </c>
      <c r="B50" s="13"/>
      <c r="C50" s="13"/>
      <c r="D50" s="13"/>
      <c r="E50" s="13"/>
      <c r="F50" s="13"/>
      <c r="G50" s="11">
        <v>530273</v>
      </c>
      <c r="H50" s="11"/>
      <c r="I50" s="11"/>
      <c r="J50" s="11"/>
      <c r="K50" s="11"/>
      <c r="L50" s="49">
        <f t="shared" si="8"/>
        <v>530273</v>
      </c>
      <c r="M50" s="13"/>
    </row>
    <row r="51" spans="1:13" s="1" customFormat="1" ht="12.75">
      <c r="A51" s="6" t="s">
        <v>240</v>
      </c>
      <c r="B51" s="13"/>
      <c r="C51" s="13"/>
      <c r="D51" s="13"/>
      <c r="E51" s="13"/>
      <c r="F51" s="13"/>
      <c r="G51" s="11">
        <v>789650</v>
      </c>
      <c r="H51" s="11"/>
      <c r="I51" s="11"/>
      <c r="J51" s="11"/>
      <c r="K51" s="11"/>
      <c r="L51" s="49">
        <f t="shared" si="8"/>
        <v>789650</v>
      </c>
      <c r="M51" s="13"/>
    </row>
    <row r="52" spans="1:13" s="1" customFormat="1" ht="12.75">
      <c r="A52" s="6" t="s">
        <v>241</v>
      </c>
      <c r="B52" s="13"/>
      <c r="C52" s="13"/>
      <c r="D52" s="13"/>
      <c r="E52" s="13"/>
      <c r="F52" s="13"/>
      <c r="G52" s="11">
        <v>129198</v>
      </c>
      <c r="H52" s="11"/>
      <c r="I52" s="11"/>
      <c r="J52" s="11"/>
      <c r="K52" s="11"/>
      <c r="L52" s="49">
        <f t="shared" si="8"/>
        <v>129198</v>
      </c>
      <c r="M52" s="13"/>
    </row>
    <row r="53" spans="1:13" s="1" customFormat="1" ht="12.75">
      <c r="A53" s="2" t="s">
        <v>242</v>
      </c>
      <c r="B53" s="2" t="s">
        <v>230</v>
      </c>
      <c r="C53" s="2" t="s">
        <v>243</v>
      </c>
      <c r="D53" s="2" t="s">
        <v>97</v>
      </c>
      <c r="E53" s="2" t="s">
        <v>87</v>
      </c>
      <c r="F53" s="3">
        <v>2822</v>
      </c>
      <c r="G53" s="4">
        <f aca="true" t="shared" si="9" ref="G53:M53">SUM(G54:G63)</f>
        <v>268000</v>
      </c>
      <c r="H53" s="4">
        <f t="shared" si="9"/>
        <v>0</v>
      </c>
      <c r="I53" s="4">
        <f t="shared" si="9"/>
        <v>0</v>
      </c>
      <c r="J53" s="46">
        <f t="shared" si="9"/>
        <v>0</v>
      </c>
      <c r="K53" s="46">
        <f t="shared" si="9"/>
        <v>0</v>
      </c>
      <c r="L53" s="46">
        <f t="shared" si="9"/>
        <v>0</v>
      </c>
      <c r="M53" s="46">
        <f t="shared" si="9"/>
        <v>241200</v>
      </c>
    </row>
    <row r="54" spans="1:13" s="1" customFormat="1" ht="12.75">
      <c r="A54" s="6" t="s">
        <v>232</v>
      </c>
      <c r="B54" s="13"/>
      <c r="C54" s="13"/>
      <c r="D54" s="13"/>
      <c r="E54" s="13"/>
      <c r="F54" s="13"/>
      <c r="G54" s="11">
        <v>26800</v>
      </c>
      <c r="H54" s="11"/>
      <c r="I54" s="11"/>
      <c r="J54" s="11"/>
      <c r="K54" s="11"/>
      <c r="L54" s="13"/>
      <c r="M54" s="13"/>
    </row>
    <row r="55" spans="1:13" s="1" customFormat="1" ht="12.75">
      <c r="A55" s="6" t="s">
        <v>233</v>
      </c>
      <c r="B55" s="13"/>
      <c r="C55" s="13"/>
      <c r="D55" s="13"/>
      <c r="E55" s="13"/>
      <c r="F55" s="13"/>
      <c r="G55" s="11">
        <v>26800</v>
      </c>
      <c r="H55" s="11"/>
      <c r="I55" s="11"/>
      <c r="J55" s="11"/>
      <c r="K55" s="11"/>
      <c r="L55" s="13"/>
      <c r="M55" s="49">
        <f>G55</f>
        <v>26800</v>
      </c>
    </row>
    <row r="56" spans="1:13" s="1" customFormat="1" ht="12.75">
      <c r="A56" s="6" t="s">
        <v>234</v>
      </c>
      <c r="B56" s="13"/>
      <c r="C56" s="13"/>
      <c r="D56" s="13"/>
      <c r="E56" s="13"/>
      <c r="F56" s="13"/>
      <c r="G56" s="11">
        <v>26800</v>
      </c>
      <c r="H56" s="11"/>
      <c r="I56" s="11"/>
      <c r="J56" s="11"/>
      <c r="K56" s="11"/>
      <c r="L56" s="13"/>
      <c r="M56" s="49">
        <f aca="true" t="shared" si="10" ref="M56:M63">G56</f>
        <v>26800</v>
      </c>
    </row>
    <row r="57" spans="1:13" s="1" customFormat="1" ht="12.75">
      <c r="A57" s="6" t="s">
        <v>235</v>
      </c>
      <c r="B57" s="13"/>
      <c r="C57" s="13"/>
      <c r="D57" s="13"/>
      <c r="E57" s="13"/>
      <c r="F57" s="13"/>
      <c r="G57" s="11">
        <v>26800</v>
      </c>
      <c r="H57" s="11"/>
      <c r="I57" s="11"/>
      <c r="J57" s="11"/>
      <c r="K57" s="11"/>
      <c r="L57" s="13"/>
      <c r="M57" s="49">
        <f t="shared" si="10"/>
        <v>26800</v>
      </c>
    </row>
    <row r="58" spans="1:13" s="1" customFormat="1" ht="12.75">
      <c r="A58" s="6" t="s">
        <v>236</v>
      </c>
      <c r="B58" s="13"/>
      <c r="C58" s="13"/>
      <c r="D58" s="13"/>
      <c r="E58" s="13"/>
      <c r="F58" s="13"/>
      <c r="G58" s="11">
        <v>26800</v>
      </c>
      <c r="H58" s="11"/>
      <c r="I58" s="11"/>
      <c r="J58" s="11"/>
      <c r="K58" s="11"/>
      <c r="L58" s="13"/>
      <c r="M58" s="49">
        <f t="shared" si="10"/>
        <v>26800</v>
      </c>
    </row>
    <row r="59" spans="1:13" s="1" customFormat="1" ht="12.75">
      <c r="A59" s="6" t="s">
        <v>237</v>
      </c>
      <c r="B59" s="13"/>
      <c r="C59" s="13"/>
      <c r="D59" s="13"/>
      <c r="E59" s="13"/>
      <c r="F59" s="13"/>
      <c r="G59" s="11">
        <v>26800</v>
      </c>
      <c r="H59" s="11"/>
      <c r="I59" s="11"/>
      <c r="J59" s="11"/>
      <c r="K59" s="11"/>
      <c r="L59" s="13"/>
      <c r="M59" s="49">
        <f t="shared" si="10"/>
        <v>26800</v>
      </c>
    </row>
    <row r="60" spans="1:13" s="1" customFormat="1" ht="12.75">
      <c r="A60" s="6" t="s">
        <v>238</v>
      </c>
      <c r="B60" s="13"/>
      <c r="C60" s="13"/>
      <c r="D60" s="13"/>
      <c r="E60" s="13"/>
      <c r="F60" s="13"/>
      <c r="G60" s="11">
        <v>26800</v>
      </c>
      <c r="H60" s="11"/>
      <c r="I60" s="11"/>
      <c r="J60" s="11"/>
      <c r="K60" s="11"/>
      <c r="L60" s="13"/>
      <c r="M60" s="49">
        <f t="shared" si="10"/>
        <v>26800</v>
      </c>
    </row>
    <row r="61" spans="1:13" s="1" customFormat="1" ht="12.75">
      <c r="A61" s="6" t="s">
        <v>239</v>
      </c>
      <c r="B61" s="13"/>
      <c r="C61" s="13"/>
      <c r="D61" s="13"/>
      <c r="E61" s="13"/>
      <c r="F61" s="13"/>
      <c r="G61" s="11">
        <v>26800</v>
      </c>
      <c r="H61" s="11"/>
      <c r="I61" s="11"/>
      <c r="J61" s="11"/>
      <c r="K61" s="11"/>
      <c r="L61" s="13"/>
      <c r="M61" s="49">
        <f t="shared" si="10"/>
        <v>26800</v>
      </c>
    </row>
    <row r="62" spans="1:13" s="1" customFormat="1" ht="12.75">
      <c r="A62" s="6" t="s">
        <v>240</v>
      </c>
      <c r="B62" s="13"/>
      <c r="C62" s="13"/>
      <c r="D62" s="13"/>
      <c r="E62" s="13"/>
      <c r="F62" s="13"/>
      <c r="G62" s="11">
        <v>26800</v>
      </c>
      <c r="H62" s="11"/>
      <c r="I62" s="11"/>
      <c r="J62" s="11"/>
      <c r="K62" s="11"/>
      <c r="L62" s="13"/>
      <c r="M62" s="49">
        <f t="shared" si="10"/>
        <v>26800</v>
      </c>
    </row>
    <row r="63" spans="1:13" s="1" customFormat="1" ht="12.75">
      <c r="A63" s="6" t="s">
        <v>241</v>
      </c>
      <c r="B63" s="13"/>
      <c r="C63" s="13"/>
      <c r="D63" s="13"/>
      <c r="E63" s="13"/>
      <c r="F63" s="13"/>
      <c r="G63" s="11">
        <v>26800</v>
      </c>
      <c r="H63" s="11"/>
      <c r="I63" s="11"/>
      <c r="J63" s="11"/>
      <c r="K63" s="11"/>
      <c r="L63" s="13"/>
      <c r="M63" s="49">
        <f t="shared" si="10"/>
        <v>26800</v>
      </c>
    </row>
    <row r="64" spans="1:13" s="1" customFormat="1" ht="12.75">
      <c r="A64" s="2" t="s">
        <v>242</v>
      </c>
      <c r="B64" s="2" t="s">
        <v>244</v>
      </c>
      <c r="C64" s="2" t="s">
        <v>231</v>
      </c>
      <c r="D64" s="2" t="s">
        <v>86</v>
      </c>
      <c r="E64" s="2" t="s">
        <v>87</v>
      </c>
      <c r="F64" s="2"/>
      <c r="G64" s="4">
        <f aca="true" t="shared" si="11" ref="G64:M64">SUM(G65:G74)</f>
        <v>1493605</v>
      </c>
      <c r="H64" s="4">
        <f t="shared" si="11"/>
        <v>0</v>
      </c>
      <c r="I64" s="4">
        <f t="shared" si="11"/>
        <v>0</v>
      </c>
      <c r="J64" s="4">
        <f t="shared" si="11"/>
        <v>0</v>
      </c>
      <c r="K64" s="4">
        <f t="shared" si="11"/>
        <v>0</v>
      </c>
      <c r="L64" s="4">
        <f t="shared" si="11"/>
        <v>0</v>
      </c>
      <c r="M64" s="4">
        <f t="shared" si="11"/>
        <v>517000</v>
      </c>
    </row>
    <row r="65" spans="1:13" s="1" customFormat="1" ht="12.75" hidden="1">
      <c r="A65" s="6" t="s">
        <v>232</v>
      </c>
      <c r="B65" s="13"/>
      <c r="C65" s="13"/>
      <c r="D65" s="13"/>
      <c r="E65" s="13"/>
      <c r="F65" s="13"/>
      <c r="G65" s="11"/>
      <c r="H65" s="11"/>
      <c r="I65" s="11"/>
      <c r="J65" s="11"/>
      <c r="K65" s="11"/>
      <c r="L65" s="13"/>
      <c r="M65" s="13"/>
    </row>
    <row r="66" spans="1:13" s="1" customFormat="1" ht="12.75" hidden="1">
      <c r="A66" s="6" t="s">
        <v>233</v>
      </c>
      <c r="B66" s="13"/>
      <c r="C66" s="13"/>
      <c r="D66" s="13"/>
      <c r="E66" s="13"/>
      <c r="F66" s="13"/>
      <c r="G66" s="11"/>
      <c r="H66" s="11"/>
      <c r="I66" s="11"/>
      <c r="J66" s="11"/>
      <c r="K66" s="11"/>
      <c r="L66" s="13"/>
      <c r="M66" s="11">
        <v>30000</v>
      </c>
    </row>
    <row r="67" spans="1:13" s="1" customFormat="1" ht="12.75" hidden="1">
      <c r="A67" s="6" t="s">
        <v>234</v>
      </c>
      <c r="B67" s="13"/>
      <c r="C67" s="13"/>
      <c r="D67" s="13"/>
      <c r="E67" s="13"/>
      <c r="F67" s="13"/>
      <c r="G67" s="11"/>
      <c r="H67" s="11"/>
      <c r="I67" s="11"/>
      <c r="J67" s="11"/>
      <c r="K67" s="11"/>
      <c r="L67" s="13"/>
      <c r="M67" s="11"/>
    </row>
    <row r="68" spans="1:13" s="1" customFormat="1" ht="12.75" hidden="1">
      <c r="A68" s="6" t="s">
        <v>235</v>
      </c>
      <c r="B68" s="13"/>
      <c r="C68" s="13"/>
      <c r="D68" s="13"/>
      <c r="E68" s="13"/>
      <c r="F68" s="13"/>
      <c r="G68" s="11"/>
      <c r="H68" s="11"/>
      <c r="I68" s="11"/>
      <c r="J68" s="11"/>
      <c r="K68" s="11"/>
      <c r="L68" s="13"/>
      <c r="M68" s="11"/>
    </row>
    <row r="69" spans="1:13" s="1" customFormat="1" ht="12.75" hidden="1">
      <c r="A69" s="6" t="s">
        <v>236</v>
      </c>
      <c r="B69" s="13"/>
      <c r="C69" s="13"/>
      <c r="D69" s="13"/>
      <c r="E69" s="13"/>
      <c r="F69" s="13"/>
      <c r="G69" s="11"/>
      <c r="H69" s="11"/>
      <c r="I69" s="11"/>
      <c r="J69" s="11"/>
      <c r="K69" s="11"/>
      <c r="L69" s="13"/>
      <c r="M69" s="11"/>
    </row>
    <row r="70" spans="1:13" s="1" customFormat="1" ht="12.75" hidden="1">
      <c r="A70" s="6" t="s">
        <v>237</v>
      </c>
      <c r="B70" s="13"/>
      <c r="C70" s="13"/>
      <c r="D70" s="13"/>
      <c r="E70" s="13"/>
      <c r="F70" s="13"/>
      <c r="G70" s="11"/>
      <c r="H70" s="11"/>
      <c r="I70" s="11"/>
      <c r="J70" s="11"/>
      <c r="K70" s="11"/>
      <c r="L70" s="13"/>
      <c r="M70" s="11">
        <v>100000</v>
      </c>
    </row>
    <row r="71" spans="1:13" s="1" customFormat="1" ht="12.75" hidden="1">
      <c r="A71" s="6" t="s">
        <v>238</v>
      </c>
      <c r="B71" s="13"/>
      <c r="C71" s="13"/>
      <c r="D71" s="13"/>
      <c r="E71" s="13"/>
      <c r="F71" s="13"/>
      <c r="G71" s="11"/>
      <c r="H71" s="11"/>
      <c r="I71" s="11"/>
      <c r="J71" s="11"/>
      <c r="K71" s="11"/>
      <c r="L71" s="13"/>
      <c r="M71" s="11"/>
    </row>
    <row r="72" spans="1:13" s="1" customFormat="1" ht="12.75" hidden="1">
      <c r="A72" s="6" t="s">
        <v>239</v>
      </c>
      <c r="B72" s="13"/>
      <c r="C72" s="13"/>
      <c r="D72" s="13"/>
      <c r="E72" s="13"/>
      <c r="F72" s="13"/>
      <c r="G72" s="11"/>
      <c r="H72" s="11"/>
      <c r="I72" s="11"/>
      <c r="J72" s="11"/>
      <c r="K72" s="11"/>
      <c r="L72" s="13"/>
      <c r="M72" s="11">
        <v>387000</v>
      </c>
    </row>
    <row r="73" spans="1:13" s="1" customFormat="1" ht="12.75" hidden="1">
      <c r="A73" s="6" t="s">
        <v>240</v>
      </c>
      <c r="B73" s="13"/>
      <c r="C73" s="13"/>
      <c r="D73" s="13"/>
      <c r="E73" s="13"/>
      <c r="F73" s="13"/>
      <c r="G73" s="11"/>
      <c r="H73" s="11"/>
      <c r="I73" s="11"/>
      <c r="J73" s="11"/>
      <c r="K73" s="11"/>
      <c r="L73" s="13"/>
      <c r="M73" s="13"/>
    </row>
    <row r="74" spans="1:13" s="1" customFormat="1" ht="12.75">
      <c r="A74" s="6" t="s">
        <v>241</v>
      </c>
      <c r="B74" s="13"/>
      <c r="C74" s="13"/>
      <c r="D74" s="13"/>
      <c r="E74" s="13"/>
      <c r="F74" s="13"/>
      <c r="G74" s="11">
        <v>1493605</v>
      </c>
      <c r="H74" s="11"/>
      <c r="I74" s="11"/>
      <c r="J74" s="11"/>
      <c r="K74" s="11"/>
      <c r="L74" s="13"/>
      <c r="M74" s="13"/>
    </row>
    <row r="75" spans="1:13" s="1" customFormat="1" ht="12.75" hidden="1">
      <c r="A75" s="2" t="s">
        <v>242</v>
      </c>
      <c r="B75" s="2"/>
      <c r="C75" s="2"/>
      <c r="D75" s="2"/>
      <c r="E75" s="2"/>
      <c r="F75" s="3"/>
      <c r="G75" s="4">
        <f>SUM(G76:G85)</f>
        <v>0</v>
      </c>
      <c r="H75" s="4">
        <f aca="true" t="shared" si="12" ref="H75:M75">SUM(H76:H85)</f>
        <v>0</v>
      </c>
      <c r="I75" s="4">
        <f t="shared" si="12"/>
        <v>0</v>
      </c>
      <c r="J75" s="46">
        <f t="shared" si="12"/>
        <v>0</v>
      </c>
      <c r="K75" s="46">
        <f t="shared" si="12"/>
        <v>0</v>
      </c>
      <c r="L75" s="46">
        <f t="shared" si="12"/>
        <v>0</v>
      </c>
      <c r="M75" s="46">
        <f t="shared" si="12"/>
        <v>0</v>
      </c>
    </row>
    <row r="76" spans="1:13" s="1" customFormat="1" ht="12.75" hidden="1">
      <c r="A76" s="6" t="s">
        <v>232</v>
      </c>
      <c r="B76" s="13"/>
      <c r="C76" s="13"/>
      <c r="D76" s="13"/>
      <c r="E76" s="13"/>
      <c r="F76" s="13"/>
      <c r="G76" s="11"/>
      <c r="H76" s="11"/>
      <c r="I76" s="11"/>
      <c r="J76" s="11"/>
      <c r="K76" s="11"/>
      <c r="L76" s="13"/>
      <c r="M76" s="13"/>
    </row>
    <row r="77" spans="1:13" s="1" customFormat="1" ht="12.75" hidden="1">
      <c r="A77" s="6" t="s">
        <v>233</v>
      </c>
      <c r="B77" s="13"/>
      <c r="C77" s="13"/>
      <c r="D77" s="13"/>
      <c r="E77" s="13"/>
      <c r="F77" s="13"/>
      <c r="G77" s="11"/>
      <c r="H77" s="11"/>
      <c r="I77" s="11"/>
      <c r="J77" s="11"/>
      <c r="K77" s="11"/>
      <c r="L77" s="49">
        <f>G77</f>
        <v>0</v>
      </c>
      <c r="M77" s="13"/>
    </row>
    <row r="78" spans="1:13" s="1" customFormat="1" ht="12.75" hidden="1">
      <c r="A78" s="6" t="s">
        <v>234</v>
      </c>
      <c r="B78" s="13"/>
      <c r="C78" s="13"/>
      <c r="D78" s="13"/>
      <c r="E78" s="13"/>
      <c r="F78" s="13"/>
      <c r="G78" s="11"/>
      <c r="H78" s="11"/>
      <c r="I78" s="11"/>
      <c r="J78" s="11"/>
      <c r="K78" s="11"/>
      <c r="L78" s="13"/>
      <c r="M78" s="13"/>
    </row>
    <row r="79" spans="1:13" s="1" customFormat="1" ht="12.75" hidden="1">
      <c r="A79" s="6" t="s">
        <v>235</v>
      </c>
      <c r="B79" s="13"/>
      <c r="C79" s="13"/>
      <c r="D79" s="13"/>
      <c r="E79" s="13"/>
      <c r="F79" s="13"/>
      <c r="G79" s="11"/>
      <c r="H79" s="11"/>
      <c r="I79" s="11"/>
      <c r="J79" s="11"/>
      <c r="K79" s="11"/>
      <c r="L79" s="13"/>
      <c r="M79" s="13"/>
    </row>
    <row r="80" spans="1:13" s="1" customFormat="1" ht="12.75" hidden="1">
      <c r="A80" s="6" t="s">
        <v>236</v>
      </c>
      <c r="B80" s="13"/>
      <c r="C80" s="13"/>
      <c r="D80" s="13"/>
      <c r="E80" s="13"/>
      <c r="F80" s="13"/>
      <c r="G80" s="11"/>
      <c r="H80" s="11"/>
      <c r="I80" s="11"/>
      <c r="J80" s="11"/>
      <c r="K80" s="11"/>
      <c r="L80" s="13"/>
      <c r="M80" s="13"/>
    </row>
    <row r="81" spans="1:13" s="1" customFormat="1" ht="12.75" hidden="1">
      <c r="A81" s="6" t="s">
        <v>237</v>
      </c>
      <c r="B81" s="13"/>
      <c r="C81" s="13"/>
      <c r="D81" s="13"/>
      <c r="E81" s="13"/>
      <c r="F81" s="13"/>
      <c r="G81" s="11"/>
      <c r="H81" s="11"/>
      <c r="I81" s="11"/>
      <c r="J81" s="11"/>
      <c r="K81" s="11"/>
      <c r="L81" s="13"/>
      <c r="M81" s="13"/>
    </row>
    <row r="82" spans="1:13" s="1" customFormat="1" ht="12.75" hidden="1">
      <c r="A82" s="6" t="s">
        <v>238</v>
      </c>
      <c r="B82" s="13"/>
      <c r="C82" s="13"/>
      <c r="D82" s="13"/>
      <c r="E82" s="13"/>
      <c r="F82" s="13"/>
      <c r="G82" s="11"/>
      <c r="H82" s="11"/>
      <c r="I82" s="11"/>
      <c r="J82" s="11"/>
      <c r="K82" s="11"/>
      <c r="L82" s="13"/>
      <c r="M82" s="13"/>
    </row>
    <row r="83" spans="1:13" s="1" customFormat="1" ht="12.75" hidden="1">
      <c r="A83" s="6" t="s">
        <v>239</v>
      </c>
      <c r="B83" s="13"/>
      <c r="C83" s="13"/>
      <c r="D83" s="13"/>
      <c r="E83" s="13"/>
      <c r="F83" s="13"/>
      <c r="G83" s="11"/>
      <c r="H83" s="11"/>
      <c r="I83" s="11"/>
      <c r="J83" s="11"/>
      <c r="K83" s="11"/>
      <c r="L83" s="13"/>
      <c r="M83" s="13"/>
    </row>
    <row r="84" spans="1:13" s="1" customFormat="1" ht="12.75" hidden="1">
      <c r="A84" s="6" t="s">
        <v>240</v>
      </c>
      <c r="B84" s="13"/>
      <c r="C84" s="13"/>
      <c r="D84" s="13"/>
      <c r="E84" s="13"/>
      <c r="F84" s="13"/>
      <c r="G84" s="11"/>
      <c r="H84" s="11"/>
      <c r="I84" s="11"/>
      <c r="J84" s="11"/>
      <c r="K84" s="11"/>
      <c r="L84" s="13"/>
      <c r="M84" s="13"/>
    </row>
    <row r="85" spans="1:13" s="1" customFormat="1" ht="12.75" hidden="1">
      <c r="A85" s="6" t="s">
        <v>241</v>
      </c>
      <c r="B85" s="13"/>
      <c r="C85" s="13"/>
      <c r="D85" s="13"/>
      <c r="E85" s="13"/>
      <c r="F85" s="13"/>
      <c r="G85" s="11"/>
      <c r="H85" s="11"/>
      <c r="I85" s="11"/>
      <c r="J85" s="11"/>
      <c r="K85" s="11"/>
      <c r="L85" s="13"/>
      <c r="M85" s="13"/>
    </row>
    <row r="86" spans="1:13" s="1" customFormat="1" ht="12.75" hidden="1">
      <c r="A86" s="2" t="s">
        <v>242</v>
      </c>
      <c r="B86" s="2"/>
      <c r="C86" s="2"/>
      <c r="D86" s="2"/>
      <c r="E86" s="2"/>
      <c r="F86" s="3"/>
      <c r="G86" s="4">
        <f>SUM(G87:G96)</f>
        <v>0</v>
      </c>
      <c r="H86" s="4">
        <f aca="true" t="shared" si="13" ref="H86:M86">SUM(H87:H96)</f>
        <v>0</v>
      </c>
      <c r="I86" s="4">
        <f t="shared" si="13"/>
        <v>0</v>
      </c>
      <c r="J86" s="46">
        <f t="shared" si="13"/>
        <v>0</v>
      </c>
      <c r="K86" s="46">
        <f t="shared" si="13"/>
        <v>0</v>
      </c>
      <c r="L86" s="46">
        <f t="shared" si="13"/>
        <v>208000</v>
      </c>
      <c r="M86" s="46">
        <f t="shared" si="13"/>
        <v>0</v>
      </c>
    </row>
    <row r="87" spans="1:13" s="1" customFormat="1" ht="12.75" hidden="1">
      <c r="A87" s="6" t="s">
        <v>232</v>
      </c>
      <c r="B87" s="13"/>
      <c r="C87" s="13"/>
      <c r="D87" s="13"/>
      <c r="E87" s="13"/>
      <c r="F87" s="13"/>
      <c r="G87" s="11"/>
      <c r="H87" s="11"/>
      <c r="I87" s="11"/>
      <c r="J87" s="11"/>
      <c r="K87" s="11"/>
      <c r="L87" s="13">
        <v>48000</v>
      </c>
      <c r="M87" s="13"/>
    </row>
    <row r="88" spans="1:13" s="1" customFormat="1" ht="12.75" hidden="1">
      <c r="A88" s="6" t="s">
        <v>233</v>
      </c>
      <c r="B88" s="13"/>
      <c r="C88" s="13"/>
      <c r="D88" s="13"/>
      <c r="E88" s="13"/>
      <c r="F88" s="13"/>
      <c r="G88" s="11"/>
      <c r="H88" s="11"/>
      <c r="I88" s="11"/>
      <c r="J88" s="11"/>
      <c r="K88" s="11"/>
      <c r="L88" s="49">
        <f>G88</f>
        <v>0</v>
      </c>
      <c r="M88" s="13"/>
    </row>
    <row r="89" spans="1:13" s="1" customFormat="1" ht="12.75" hidden="1">
      <c r="A89" s="6" t="s">
        <v>234</v>
      </c>
      <c r="B89" s="13"/>
      <c r="C89" s="13"/>
      <c r="D89" s="13"/>
      <c r="E89" s="13"/>
      <c r="F89" s="13"/>
      <c r="G89" s="11"/>
      <c r="H89" s="11"/>
      <c r="I89" s="11"/>
      <c r="J89" s="11"/>
      <c r="K89" s="11"/>
      <c r="L89" s="49">
        <f>G89</f>
        <v>0</v>
      </c>
      <c r="M89" s="13"/>
    </row>
    <row r="90" spans="1:13" s="1" customFormat="1" ht="12.75" hidden="1">
      <c r="A90" s="6" t="s">
        <v>235</v>
      </c>
      <c r="B90" s="13"/>
      <c r="C90" s="13"/>
      <c r="D90" s="13"/>
      <c r="E90" s="13"/>
      <c r="F90" s="13"/>
      <c r="G90" s="11"/>
      <c r="H90" s="11"/>
      <c r="I90" s="11"/>
      <c r="J90" s="11"/>
      <c r="K90" s="11"/>
      <c r="L90" s="49">
        <f>G90</f>
        <v>0</v>
      </c>
      <c r="M90" s="13"/>
    </row>
    <row r="91" spans="1:13" s="1" customFormat="1" ht="12.75" hidden="1">
      <c r="A91" s="6" t="s">
        <v>236</v>
      </c>
      <c r="B91" s="13"/>
      <c r="C91" s="13"/>
      <c r="D91" s="13"/>
      <c r="E91" s="13"/>
      <c r="F91" s="13"/>
      <c r="G91" s="11"/>
      <c r="H91" s="11"/>
      <c r="I91" s="11"/>
      <c r="J91" s="11"/>
      <c r="K91" s="11"/>
      <c r="L91" s="49">
        <f>G91</f>
        <v>0</v>
      </c>
      <c r="M91" s="13"/>
    </row>
    <row r="92" spans="1:13" s="1" customFormat="1" ht="12.75" hidden="1">
      <c r="A92" s="6" t="s">
        <v>237</v>
      </c>
      <c r="B92" s="13"/>
      <c r="C92" s="13"/>
      <c r="D92" s="13"/>
      <c r="E92" s="13"/>
      <c r="F92" s="13"/>
      <c r="G92" s="11"/>
      <c r="H92" s="11"/>
      <c r="I92" s="11"/>
      <c r="J92" s="11"/>
      <c r="K92" s="11"/>
      <c r="L92" s="49">
        <f>G92</f>
        <v>0</v>
      </c>
      <c r="M92" s="13"/>
    </row>
    <row r="93" spans="1:13" s="14" customFormat="1" ht="12.75" hidden="1">
      <c r="A93" s="6" t="s">
        <v>238</v>
      </c>
      <c r="B93" s="13"/>
      <c r="C93" s="13"/>
      <c r="D93" s="13"/>
      <c r="E93" s="13"/>
      <c r="F93" s="13"/>
      <c r="G93" s="11"/>
      <c r="H93" s="11"/>
      <c r="I93" s="11"/>
      <c r="J93" s="11"/>
      <c r="K93" s="11"/>
      <c r="L93" s="16"/>
      <c r="M93" s="16"/>
    </row>
    <row r="94" spans="1:13" s="14" customFormat="1" ht="12.75" hidden="1">
      <c r="A94" s="6" t="s">
        <v>239</v>
      </c>
      <c r="B94" s="13"/>
      <c r="C94" s="13"/>
      <c r="D94" s="13"/>
      <c r="E94" s="13"/>
      <c r="F94" s="13"/>
      <c r="G94" s="11"/>
      <c r="H94" s="11"/>
      <c r="I94" s="11"/>
      <c r="J94" s="11"/>
      <c r="K94" s="11"/>
      <c r="L94" s="16">
        <v>60000</v>
      </c>
      <c r="M94" s="16"/>
    </row>
    <row r="95" spans="1:13" s="14" customFormat="1" ht="12.75" hidden="1">
      <c r="A95" s="6" t="s">
        <v>240</v>
      </c>
      <c r="B95" s="13"/>
      <c r="C95" s="13"/>
      <c r="D95" s="13"/>
      <c r="E95" s="13"/>
      <c r="F95" s="13"/>
      <c r="G95" s="11"/>
      <c r="H95" s="11"/>
      <c r="I95" s="11"/>
      <c r="J95" s="11"/>
      <c r="K95" s="11"/>
      <c r="L95" s="16">
        <v>100000</v>
      </c>
      <c r="M95" s="16"/>
    </row>
    <row r="96" spans="1:13" s="14" customFormat="1" ht="12.75" hidden="1">
      <c r="A96" s="6" t="s">
        <v>241</v>
      </c>
      <c r="B96" s="13"/>
      <c r="C96" s="13"/>
      <c r="D96" s="13"/>
      <c r="E96" s="13"/>
      <c r="F96" s="13"/>
      <c r="G96" s="11"/>
      <c r="H96" s="11"/>
      <c r="I96" s="11"/>
      <c r="J96" s="11"/>
      <c r="K96" s="11"/>
      <c r="L96" s="16"/>
      <c r="M96" s="16"/>
    </row>
    <row r="97" spans="1:13" s="14" customFormat="1" ht="12.75" hidden="1">
      <c r="A97" s="2" t="s">
        <v>242</v>
      </c>
      <c r="B97" s="2"/>
      <c r="C97" s="2"/>
      <c r="D97" s="2"/>
      <c r="E97" s="2"/>
      <c r="F97" s="3"/>
      <c r="G97" s="4">
        <f>SUM(G98:G107)</f>
        <v>0</v>
      </c>
      <c r="H97" s="4">
        <f aca="true" t="shared" si="14" ref="H97:M97">SUM(H98:H107)</f>
        <v>0</v>
      </c>
      <c r="I97" s="4">
        <f t="shared" si="14"/>
        <v>0</v>
      </c>
      <c r="J97" s="46">
        <f t="shared" si="14"/>
        <v>0</v>
      </c>
      <c r="K97" s="46">
        <f t="shared" si="14"/>
        <v>0</v>
      </c>
      <c r="L97" s="46">
        <f t="shared" si="14"/>
        <v>0</v>
      </c>
      <c r="M97" s="46">
        <f t="shared" si="14"/>
        <v>0</v>
      </c>
    </row>
    <row r="98" spans="1:13" s="14" customFormat="1" ht="12.75" hidden="1">
      <c r="A98" s="6" t="s">
        <v>232</v>
      </c>
      <c r="B98" s="13"/>
      <c r="C98" s="13"/>
      <c r="D98" s="13"/>
      <c r="E98" s="13"/>
      <c r="F98" s="13"/>
      <c r="G98" s="11"/>
      <c r="H98" s="11"/>
      <c r="I98" s="11"/>
      <c r="J98" s="11"/>
      <c r="K98" s="11"/>
      <c r="L98" s="16"/>
      <c r="M98" s="19">
        <f>G98</f>
        <v>0</v>
      </c>
    </row>
    <row r="99" spans="1:13" s="14" customFormat="1" ht="12.75" hidden="1">
      <c r="A99" s="6" t="s">
        <v>233</v>
      </c>
      <c r="B99" s="13"/>
      <c r="C99" s="13"/>
      <c r="D99" s="13"/>
      <c r="E99" s="13"/>
      <c r="F99" s="13"/>
      <c r="G99" s="11"/>
      <c r="H99" s="11"/>
      <c r="I99" s="11"/>
      <c r="J99" s="11"/>
      <c r="K99" s="11"/>
      <c r="L99" s="16"/>
      <c r="M99" s="19">
        <f aca="true" t="shared" si="15" ref="M99:M107">G99</f>
        <v>0</v>
      </c>
    </row>
    <row r="100" spans="1:13" s="14" customFormat="1" ht="12.75" hidden="1">
      <c r="A100" s="6" t="s">
        <v>234</v>
      </c>
      <c r="B100" s="13"/>
      <c r="C100" s="13"/>
      <c r="D100" s="13"/>
      <c r="E100" s="13"/>
      <c r="F100" s="13"/>
      <c r="G100" s="11"/>
      <c r="H100" s="11"/>
      <c r="I100" s="11"/>
      <c r="J100" s="11"/>
      <c r="K100" s="11"/>
      <c r="L100" s="16"/>
      <c r="M100" s="19">
        <f t="shared" si="15"/>
        <v>0</v>
      </c>
    </row>
    <row r="101" spans="1:13" s="14" customFormat="1" ht="12.75" hidden="1">
      <c r="A101" s="6" t="s">
        <v>235</v>
      </c>
      <c r="B101" s="13"/>
      <c r="C101" s="13"/>
      <c r="D101" s="13"/>
      <c r="E101" s="13"/>
      <c r="F101" s="13"/>
      <c r="G101" s="11"/>
      <c r="H101" s="11"/>
      <c r="I101" s="11"/>
      <c r="J101" s="11"/>
      <c r="K101" s="11"/>
      <c r="L101" s="16"/>
      <c r="M101" s="19">
        <f t="shared" si="15"/>
        <v>0</v>
      </c>
    </row>
    <row r="102" spans="1:13" s="14" customFormat="1" ht="12.75" hidden="1">
      <c r="A102" s="6" t="s">
        <v>236</v>
      </c>
      <c r="B102" s="13"/>
      <c r="C102" s="13"/>
      <c r="D102" s="13"/>
      <c r="E102" s="13"/>
      <c r="F102" s="13"/>
      <c r="G102" s="11"/>
      <c r="H102" s="11"/>
      <c r="I102" s="11"/>
      <c r="J102" s="11"/>
      <c r="K102" s="11"/>
      <c r="L102" s="16"/>
      <c r="M102" s="19">
        <f t="shared" si="15"/>
        <v>0</v>
      </c>
    </row>
    <row r="103" spans="1:13" s="14" customFormat="1" ht="12.75" hidden="1">
      <c r="A103" s="6" t="s">
        <v>237</v>
      </c>
      <c r="B103" s="13"/>
      <c r="C103" s="13"/>
      <c r="D103" s="13"/>
      <c r="E103" s="13"/>
      <c r="F103" s="13"/>
      <c r="G103" s="11"/>
      <c r="H103" s="11"/>
      <c r="I103" s="11"/>
      <c r="J103" s="11"/>
      <c r="K103" s="11"/>
      <c r="L103" s="16"/>
      <c r="M103" s="19">
        <f t="shared" si="15"/>
        <v>0</v>
      </c>
    </row>
    <row r="104" spans="1:13" s="14" customFormat="1" ht="12.75" hidden="1">
      <c r="A104" s="6" t="s">
        <v>238</v>
      </c>
      <c r="B104" s="13"/>
      <c r="C104" s="13"/>
      <c r="D104" s="13"/>
      <c r="E104" s="13"/>
      <c r="F104" s="13"/>
      <c r="G104" s="11"/>
      <c r="H104" s="11"/>
      <c r="I104" s="11"/>
      <c r="J104" s="11"/>
      <c r="K104" s="11"/>
      <c r="L104" s="16"/>
      <c r="M104" s="19">
        <f t="shared" si="15"/>
        <v>0</v>
      </c>
    </row>
    <row r="105" spans="1:13" s="14" customFormat="1" ht="12.75" hidden="1">
      <c r="A105" s="6" t="s">
        <v>239</v>
      </c>
      <c r="B105" s="13"/>
      <c r="C105" s="13"/>
      <c r="D105" s="13"/>
      <c r="E105" s="13"/>
      <c r="F105" s="13"/>
      <c r="G105" s="11"/>
      <c r="H105" s="11"/>
      <c r="I105" s="11"/>
      <c r="J105" s="11"/>
      <c r="K105" s="11"/>
      <c r="L105" s="16"/>
      <c r="M105" s="19">
        <f t="shared" si="15"/>
        <v>0</v>
      </c>
    </row>
    <row r="106" spans="1:13" s="14" customFormat="1" ht="12.75" hidden="1">
      <c r="A106" s="6" t="s">
        <v>240</v>
      </c>
      <c r="B106" s="13"/>
      <c r="C106" s="13"/>
      <c r="D106" s="13"/>
      <c r="E106" s="13"/>
      <c r="F106" s="13"/>
      <c r="G106" s="11"/>
      <c r="H106" s="11"/>
      <c r="I106" s="11"/>
      <c r="J106" s="11"/>
      <c r="K106" s="11"/>
      <c r="L106" s="16"/>
      <c r="M106" s="19">
        <f t="shared" si="15"/>
        <v>0</v>
      </c>
    </row>
    <row r="107" spans="1:13" s="14" customFormat="1" ht="12.75" hidden="1">
      <c r="A107" s="6" t="s">
        <v>241</v>
      </c>
      <c r="B107" s="13"/>
      <c r="C107" s="13"/>
      <c r="D107" s="13"/>
      <c r="E107" s="13"/>
      <c r="F107" s="13"/>
      <c r="G107" s="11"/>
      <c r="H107" s="11"/>
      <c r="I107" s="11"/>
      <c r="J107" s="11"/>
      <c r="K107" s="11"/>
      <c r="L107" s="16"/>
      <c r="M107" s="19">
        <f t="shared" si="15"/>
        <v>0</v>
      </c>
    </row>
    <row r="108" spans="1:13" s="14" customFormat="1" ht="12.75" hidden="1">
      <c r="A108" s="2" t="s">
        <v>242</v>
      </c>
      <c r="B108" s="2"/>
      <c r="C108" s="2"/>
      <c r="D108" s="2"/>
      <c r="E108" s="2"/>
      <c r="F108" s="15"/>
      <c r="G108" s="4">
        <f>SUM(G109:G118)</f>
        <v>0</v>
      </c>
      <c r="H108" s="4">
        <f aca="true" t="shared" si="16" ref="H108:M108">SUM(H109:H118)</f>
        <v>0</v>
      </c>
      <c r="I108" s="4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</row>
    <row r="109" spans="1:13" s="14" customFormat="1" ht="12.75" hidden="1">
      <c r="A109" s="6" t="s">
        <v>232</v>
      </c>
      <c r="B109" s="16"/>
      <c r="C109" s="16"/>
      <c r="D109" s="16"/>
      <c r="E109" s="16"/>
      <c r="F109" s="16"/>
      <c r="G109" s="11"/>
      <c r="H109" s="11"/>
      <c r="I109" s="11"/>
      <c r="J109" s="11"/>
      <c r="K109" s="11"/>
      <c r="L109" s="16"/>
      <c r="M109" s="19">
        <f>G109</f>
        <v>0</v>
      </c>
    </row>
    <row r="110" spans="1:13" s="14" customFormat="1" ht="12.75" hidden="1">
      <c r="A110" s="6" t="s">
        <v>233</v>
      </c>
      <c r="B110" s="16"/>
      <c r="C110" s="16"/>
      <c r="D110" s="16"/>
      <c r="E110" s="16"/>
      <c r="F110" s="16"/>
      <c r="G110" s="11"/>
      <c r="H110" s="11"/>
      <c r="I110" s="11"/>
      <c r="J110" s="11"/>
      <c r="K110" s="11"/>
      <c r="L110" s="16"/>
      <c r="M110" s="19">
        <f aca="true" t="shared" si="17" ref="M110:M118">G110</f>
        <v>0</v>
      </c>
    </row>
    <row r="111" spans="1:13" s="14" customFormat="1" ht="12.75" hidden="1">
      <c r="A111" s="6" t="s">
        <v>234</v>
      </c>
      <c r="B111" s="16"/>
      <c r="C111" s="16"/>
      <c r="D111" s="16"/>
      <c r="E111" s="16"/>
      <c r="F111" s="16"/>
      <c r="G111" s="11"/>
      <c r="H111" s="11"/>
      <c r="I111" s="11"/>
      <c r="J111" s="11"/>
      <c r="K111" s="11"/>
      <c r="L111" s="16"/>
      <c r="M111" s="19">
        <f t="shared" si="17"/>
        <v>0</v>
      </c>
    </row>
    <row r="112" spans="1:13" s="14" customFormat="1" ht="12.75" hidden="1">
      <c r="A112" s="6" t="s">
        <v>235</v>
      </c>
      <c r="B112" s="16"/>
      <c r="C112" s="16"/>
      <c r="D112" s="16"/>
      <c r="E112" s="16"/>
      <c r="F112" s="16"/>
      <c r="G112" s="11"/>
      <c r="H112" s="11"/>
      <c r="I112" s="11"/>
      <c r="J112" s="11"/>
      <c r="K112" s="11"/>
      <c r="L112" s="16"/>
      <c r="M112" s="19">
        <f t="shared" si="17"/>
        <v>0</v>
      </c>
    </row>
    <row r="113" spans="1:13" s="14" customFormat="1" ht="12.75" hidden="1">
      <c r="A113" s="6" t="s">
        <v>236</v>
      </c>
      <c r="B113" s="16"/>
      <c r="C113" s="16"/>
      <c r="D113" s="16"/>
      <c r="E113" s="16"/>
      <c r="F113" s="16"/>
      <c r="G113" s="11"/>
      <c r="H113" s="11"/>
      <c r="I113" s="11"/>
      <c r="J113" s="11"/>
      <c r="K113" s="11"/>
      <c r="L113" s="16"/>
      <c r="M113" s="19">
        <f t="shared" si="17"/>
        <v>0</v>
      </c>
    </row>
    <row r="114" spans="1:13" s="14" customFormat="1" ht="12.75" hidden="1">
      <c r="A114" s="6" t="s">
        <v>237</v>
      </c>
      <c r="B114" s="16"/>
      <c r="C114" s="16"/>
      <c r="D114" s="16"/>
      <c r="E114" s="16"/>
      <c r="F114" s="16"/>
      <c r="G114" s="11"/>
      <c r="H114" s="11"/>
      <c r="I114" s="11"/>
      <c r="J114" s="11"/>
      <c r="K114" s="11"/>
      <c r="L114" s="16"/>
      <c r="M114" s="19">
        <f t="shared" si="17"/>
        <v>0</v>
      </c>
    </row>
    <row r="115" spans="1:13" s="14" customFormat="1" ht="12.75" hidden="1">
      <c r="A115" s="6" t="s">
        <v>238</v>
      </c>
      <c r="B115" s="16"/>
      <c r="C115" s="16"/>
      <c r="D115" s="16"/>
      <c r="E115" s="16"/>
      <c r="F115" s="16"/>
      <c r="G115" s="11"/>
      <c r="H115" s="11"/>
      <c r="I115" s="11"/>
      <c r="J115" s="11"/>
      <c r="K115" s="11"/>
      <c r="L115" s="16"/>
      <c r="M115" s="19">
        <f t="shared" si="17"/>
        <v>0</v>
      </c>
    </row>
    <row r="116" spans="1:13" s="14" customFormat="1" ht="12.75" hidden="1">
      <c r="A116" s="6" t="s">
        <v>239</v>
      </c>
      <c r="B116" s="16"/>
      <c r="C116" s="16"/>
      <c r="D116" s="16"/>
      <c r="E116" s="16"/>
      <c r="F116" s="16"/>
      <c r="G116" s="11"/>
      <c r="H116" s="11"/>
      <c r="I116" s="11"/>
      <c r="J116" s="11"/>
      <c r="K116" s="11"/>
      <c r="L116" s="16"/>
      <c r="M116" s="19">
        <f t="shared" si="17"/>
        <v>0</v>
      </c>
    </row>
    <row r="117" spans="1:13" s="14" customFormat="1" ht="12.75" hidden="1">
      <c r="A117" s="6" t="s">
        <v>240</v>
      </c>
      <c r="B117" s="16"/>
      <c r="C117" s="16"/>
      <c r="D117" s="16"/>
      <c r="E117" s="16"/>
      <c r="F117" s="16"/>
      <c r="G117" s="11"/>
      <c r="H117" s="11"/>
      <c r="I117" s="11"/>
      <c r="J117" s="11"/>
      <c r="K117" s="11"/>
      <c r="L117" s="16"/>
      <c r="M117" s="19">
        <f t="shared" si="17"/>
        <v>0</v>
      </c>
    </row>
    <row r="118" spans="1:13" s="14" customFormat="1" ht="12.75" hidden="1">
      <c r="A118" s="6" t="s">
        <v>241</v>
      </c>
      <c r="B118" s="16"/>
      <c r="C118" s="16"/>
      <c r="D118" s="16"/>
      <c r="E118" s="16"/>
      <c r="F118" s="16"/>
      <c r="G118" s="11"/>
      <c r="H118" s="11"/>
      <c r="I118" s="11"/>
      <c r="J118" s="11"/>
      <c r="K118" s="11"/>
      <c r="L118" s="16"/>
      <c r="M118" s="19">
        <f t="shared" si="17"/>
        <v>0</v>
      </c>
    </row>
    <row r="119" spans="1:13" s="14" customFormat="1" ht="12.75" hidden="1">
      <c r="A119" s="2" t="s">
        <v>242</v>
      </c>
      <c r="B119" s="2"/>
      <c r="C119" s="2"/>
      <c r="D119" s="2"/>
      <c r="E119" s="2"/>
      <c r="F119" s="15"/>
      <c r="G119" s="4">
        <f>SUM(G120:G129)</f>
        <v>0</v>
      </c>
      <c r="H119" s="4">
        <f aca="true" t="shared" si="18" ref="H119:M119">SUM(H120:H129)</f>
        <v>0</v>
      </c>
      <c r="I119" s="4">
        <f t="shared" si="18"/>
        <v>0</v>
      </c>
      <c r="J119" s="46">
        <f t="shared" si="18"/>
        <v>0</v>
      </c>
      <c r="K119" s="46">
        <f t="shared" si="18"/>
        <v>0</v>
      </c>
      <c r="L119" s="46">
        <f t="shared" si="18"/>
        <v>0</v>
      </c>
      <c r="M119" s="46">
        <f t="shared" si="18"/>
        <v>0</v>
      </c>
    </row>
    <row r="120" spans="1:13" s="14" customFormat="1" ht="12.75" hidden="1">
      <c r="A120" s="6" t="s">
        <v>232</v>
      </c>
      <c r="B120" s="16"/>
      <c r="C120" s="16"/>
      <c r="D120" s="16"/>
      <c r="E120" s="16"/>
      <c r="F120" s="16"/>
      <c r="G120" s="11"/>
      <c r="H120" s="11"/>
      <c r="I120" s="11"/>
      <c r="J120" s="11"/>
      <c r="K120" s="11">
        <f>G120</f>
        <v>0</v>
      </c>
      <c r="L120" s="16"/>
      <c r="M120" s="16"/>
    </row>
    <row r="121" spans="1:13" s="14" customFormat="1" ht="12.75" hidden="1">
      <c r="A121" s="6" t="s">
        <v>233</v>
      </c>
      <c r="B121" s="16"/>
      <c r="C121" s="16"/>
      <c r="D121" s="16"/>
      <c r="E121" s="16"/>
      <c r="F121" s="16"/>
      <c r="G121" s="11"/>
      <c r="H121" s="11"/>
      <c r="I121" s="11"/>
      <c r="J121" s="11"/>
      <c r="K121" s="11">
        <f aca="true" t="shared" si="19" ref="K121:K129">G121</f>
        <v>0</v>
      </c>
      <c r="L121" s="16"/>
      <c r="M121" s="16"/>
    </row>
    <row r="122" spans="1:13" s="14" customFormat="1" ht="12.75" hidden="1">
      <c r="A122" s="6" t="s">
        <v>234</v>
      </c>
      <c r="B122" s="16"/>
      <c r="C122" s="16"/>
      <c r="D122" s="16"/>
      <c r="E122" s="16"/>
      <c r="F122" s="16"/>
      <c r="G122" s="11"/>
      <c r="H122" s="11"/>
      <c r="I122" s="11"/>
      <c r="J122" s="11"/>
      <c r="K122" s="11">
        <f t="shared" si="19"/>
        <v>0</v>
      </c>
      <c r="L122" s="16"/>
      <c r="M122" s="16"/>
    </row>
    <row r="123" spans="1:13" s="14" customFormat="1" ht="12.75" hidden="1">
      <c r="A123" s="6" t="s">
        <v>235</v>
      </c>
      <c r="B123" s="16"/>
      <c r="C123" s="16"/>
      <c r="D123" s="16"/>
      <c r="E123" s="16"/>
      <c r="F123" s="16"/>
      <c r="G123" s="11"/>
      <c r="H123" s="11"/>
      <c r="I123" s="11"/>
      <c r="J123" s="11"/>
      <c r="K123" s="11">
        <f t="shared" si="19"/>
        <v>0</v>
      </c>
      <c r="L123" s="16"/>
      <c r="M123" s="16"/>
    </row>
    <row r="124" spans="1:13" s="14" customFormat="1" ht="12.75" hidden="1">
      <c r="A124" s="6" t="s">
        <v>236</v>
      </c>
      <c r="B124" s="16"/>
      <c r="C124" s="16"/>
      <c r="D124" s="16"/>
      <c r="E124" s="16"/>
      <c r="F124" s="16"/>
      <c r="G124" s="11"/>
      <c r="H124" s="11"/>
      <c r="I124" s="11"/>
      <c r="J124" s="11"/>
      <c r="K124" s="11">
        <f t="shared" si="19"/>
        <v>0</v>
      </c>
      <c r="L124" s="16"/>
      <c r="M124" s="16"/>
    </row>
    <row r="125" spans="1:13" s="14" customFormat="1" ht="12.75" hidden="1">
      <c r="A125" s="6" t="s">
        <v>237</v>
      </c>
      <c r="B125" s="16"/>
      <c r="C125" s="16"/>
      <c r="D125" s="16"/>
      <c r="E125" s="16"/>
      <c r="F125" s="16"/>
      <c r="G125" s="11"/>
      <c r="H125" s="11"/>
      <c r="I125" s="11"/>
      <c r="J125" s="11"/>
      <c r="K125" s="11">
        <f t="shared" si="19"/>
        <v>0</v>
      </c>
      <c r="L125" s="16"/>
      <c r="M125" s="16"/>
    </row>
    <row r="126" spans="1:13" s="14" customFormat="1" ht="12.75" hidden="1">
      <c r="A126" s="6" t="s">
        <v>238</v>
      </c>
      <c r="B126" s="16"/>
      <c r="C126" s="16"/>
      <c r="D126" s="16"/>
      <c r="E126" s="16"/>
      <c r="F126" s="16"/>
      <c r="G126" s="11"/>
      <c r="H126" s="11"/>
      <c r="I126" s="11"/>
      <c r="J126" s="11"/>
      <c r="K126" s="11">
        <f t="shared" si="19"/>
        <v>0</v>
      </c>
      <c r="L126" s="16"/>
      <c r="M126" s="16"/>
    </row>
    <row r="127" spans="1:13" s="14" customFormat="1" ht="12.75" hidden="1">
      <c r="A127" s="6" t="s">
        <v>239</v>
      </c>
      <c r="B127" s="16"/>
      <c r="C127" s="16"/>
      <c r="D127" s="16"/>
      <c r="E127" s="16"/>
      <c r="F127" s="16"/>
      <c r="G127" s="11"/>
      <c r="H127" s="11"/>
      <c r="I127" s="11"/>
      <c r="J127" s="11"/>
      <c r="K127" s="11">
        <f t="shared" si="19"/>
        <v>0</v>
      </c>
      <c r="L127" s="16"/>
      <c r="M127" s="16"/>
    </row>
    <row r="128" spans="1:13" s="14" customFormat="1" ht="12.75" hidden="1">
      <c r="A128" s="6" t="s">
        <v>240</v>
      </c>
      <c r="B128" s="16"/>
      <c r="C128" s="16"/>
      <c r="D128" s="16"/>
      <c r="E128" s="16"/>
      <c r="F128" s="16"/>
      <c r="G128" s="11"/>
      <c r="H128" s="11"/>
      <c r="I128" s="11"/>
      <c r="J128" s="11"/>
      <c r="K128" s="11">
        <f t="shared" si="19"/>
        <v>0</v>
      </c>
      <c r="L128" s="16"/>
      <c r="M128" s="16"/>
    </row>
    <row r="129" spans="1:13" s="14" customFormat="1" ht="12.75" hidden="1">
      <c r="A129" s="6" t="s">
        <v>241</v>
      </c>
      <c r="B129" s="16"/>
      <c r="C129" s="16"/>
      <c r="D129" s="16"/>
      <c r="E129" s="16"/>
      <c r="F129" s="16"/>
      <c r="G129" s="11"/>
      <c r="H129" s="11"/>
      <c r="I129" s="11"/>
      <c r="J129" s="11"/>
      <c r="K129" s="11">
        <f t="shared" si="19"/>
        <v>0</v>
      </c>
      <c r="L129" s="16"/>
      <c r="M129" s="16"/>
    </row>
    <row r="130" spans="1:13" s="14" customFormat="1" ht="12.75" hidden="1">
      <c r="A130" s="2"/>
      <c r="B130" s="2"/>
      <c r="C130" s="2"/>
      <c r="D130" s="2"/>
      <c r="E130" s="2"/>
      <c r="F130" s="15"/>
      <c r="G130" s="4">
        <f>SUM(G131:G140)</f>
        <v>0</v>
      </c>
      <c r="H130" s="4">
        <f aca="true" t="shared" si="20" ref="H130:M130">SUM(H131:H140)</f>
        <v>0</v>
      </c>
      <c r="I130" s="4">
        <f t="shared" si="20"/>
        <v>0</v>
      </c>
      <c r="J130" s="46">
        <f t="shared" si="20"/>
        <v>0</v>
      </c>
      <c r="K130" s="46">
        <f t="shared" si="20"/>
        <v>0</v>
      </c>
      <c r="L130" s="46">
        <f t="shared" si="20"/>
        <v>0</v>
      </c>
      <c r="M130" s="46">
        <f t="shared" si="20"/>
        <v>0</v>
      </c>
    </row>
    <row r="131" spans="1:13" s="14" customFormat="1" ht="12.75" hidden="1">
      <c r="A131" s="6" t="s">
        <v>232</v>
      </c>
      <c r="B131" s="16"/>
      <c r="C131" s="16"/>
      <c r="D131" s="16"/>
      <c r="E131" s="16"/>
      <c r="F131" s="16"/>
      <c r="G131" s="11"/>
      <c r="H131" s="11"/>
      <c r="I131" s="11"/>
      <c r="J131" s="11"/>
      <c r="K131" s="11"/>
      <c r="L131" s="16"/>
      <c r="M131" s="19">
        <f>G131</f>
        <v>0</v>
      </c>
    </row>
    <row r="132" spans="1:13" s="14" customFormat="1" ht="12.75" hidden="1">
      <c r="A132" s="6" t="s">
        <v>233</v>
      </c>
      <c r="B132" s="16"/>
      <c r="C132" s="16"/>
      <c r="D132" s="16"/>
      <c r="E132" s="16"/>
      <c r="F132" s="16"/>
      <c r="G132" s="11"/>
      <c r="H132" s="11"/>
      <c r="I132" s="11"/>
      <c r="J132" s="11"/>
      <c r="K132" s="11"/>
      <c r="L132" s="16"/>
      <c r="M132" s="16"/>
    </row>
    <row r="133" spans="1:13" s="14" customFormat="1" ht="12.75" hidden="1">
      <c r="A133" s="6" t="s">
        <v>234</v>
      </c>
      <c r="B133" s="16"/>
      <c r="C133" s="16"/>
      <c r="D133" s="16"/>
      <c r="E133" s="16"/>
      <c r="F133" s="16"/>
      <c r="G133" s="11"/>
      <c r="H133" s="11"/>
      <c r="I133" s="11"/>
      <c r="J133" s="11"/>
      <c r="K133" s="11"/>
      <c r="L133" s="16"/>
      <c r="M133" s="16"/>
    </row>
    <row r="134" spans="1:13" s="14" customFormat="1" ht="12.75" hidden="1">
      <c r="A134" s="6" t="s">
        <v>235</v>
      </c>
      <c r="B134" s="16"/>
      <c r="C134" s="16"/>
      <c r="D134" s="16"/>
      <c r="E134" s="16"/>
      <c r="F134" s="16"/>
      <c r="G134" s="11"/>
      <c r="H134" s="11"/>
      <c r="I134" s="11"/>
      <c r="J134" s="11"/>
      <c r="K134" s="11"/>
      <c r="L134" s="16"/>
      <c r="M134" s="16"/>
    </row>
    <row r="135" spans="1:13" s="14" customFormat="1" ht="12.75" hidden="1">
      <c r="A135" s="6" t="s">
        <v>236</v>
      </c>
      <c r="B135" s="16"/>
      <c r="C135" s="16"/>
      <c r="D135" s="16"/>
      <c r="E135" s="16"/>
      <c r="F135" s="16"/>
      <c r="G135" s="11"/>
      <c r="H135" s="11"/>
      <c r="I135" s="11"/>
      <c r="J135" s="11"/>
      <c r="K135" s="11"/>
      <c r="L135" s="16"/>
      <c r="M135" s="16"/>
    </row>
    <row r="136" spans="1:13" s="14" customFormat="1" ht="12.75" hidden="1">
      <c r="A136" s="6" t="s">
        <v>237</v>
      </c>
      <c r="B136" s="16"/>
      <c r="C136" s="16"/>
      <c r="D136" s="16"/>
      <c r="E136" s="16"/>
      <c r="F136" s="16"/>
      <c r="G136" s="11"/>
      <c r="H136" s="11"/>
      <c r="I136" s="11"/>
      <c r="J136" s="11"/>
      <c r="K136" s="11"/>
      <c r="L136" s="16"/>
      <c r="M136" s="16"/>
    </row>
    <row r="137" spans="1:13" s="1" customFormat="1" ht="12.75" hidden="1">
      <c r="A137" s="6" t="s">
        <v>238</v>
      </c>
      <c r="B137" s="16"/>
      <c r="C137" s="16"/>
      <c r="D137" s="16"/>
      <c r="E137" s="16"/>
      <c r="F137" s="16"/>
      <c r="G137" s="11"/>
      <c r="H137" s="11"/>
      <c r="I137" s="11"/>
      <c r="J137" s="11"/>
      <c r="K137" s="11"/>
      <c r="L137" s="13"/>
      <c r="M137" s="13"/>
    </row>
    <row r="138" spans="1:13" s="1" customFormat="1" ht="12.75" hidden="1">
      <c r="A138" s="6" t="s">
        <v>239</v>
      </c>
      <c r="B138" s="16"/>
      <c r="C138" s="16"/>
      <c r="D138" s="16"/>
      <c r="E138" s="16"/>
      <c r="F138" s="16"/>
      <c r="G138" s="11"/>
      <c r="H138" s="11"/>
      <c r="I138" s="11"/>
      <c r="J138" s="11"/>
      <c r="K138" s="11"/>
      <c r="L138" s="13"/>
      <c r="M138" s="13"/>
    </row>
    <row r="139" spans="1:13" s="1" customFormat="1" ht="12.75" hidden="1">
      <c r="A139" s="6" t="s">
        <v>240</v>
      </c>
      <c r="B139" s="16"/>
      <c r="C139" s="16"/>
      <c r="D139" s="16"/>
      <c r="E139" s="16"/>
      <c r="F139" s="16"/>
      <c r="G139" s="11"/>
      <c r="H139" s="11"/>
      <c r="I139" s="11"/>
      <c r="J139" s="11"/>
      <c r="K139" s="11"/>
      <c r="L139" s="13"/>
      <c r="M139" s="13"/>
    </row>
    <row r="140" spans="1:13" s="1" customFormat="1" ht="12.75" hidden="1">
      <c r="A140" s="6" t="s">
        <v>241</v>
      </c>
      <c r="B140" s="16"/>
      <c r="C140" s="16"/>
      <c r="D140" s="16"/>
      <c r="E140" s="16"/>
      <c r="F140" s="16"/>
      <c r="G140" s="11"/>
      <c r="H140" s="11"/>
      <c r="I140" s="11"/>
      <c r="J140" s="11"/>
      <c r="K140" s="11"/>
      <c r="L140" s="13"/>
      <c r="M140" s="13"/>
    </row>
    <row r="141" spans="1:13" s="1" customFormat="1" ht="12.75" hidden="1">
      <c r="A141" s="2" t="s">
        <v>242</v>
      </c>
      <c r="B141" s="2"/>
      <c r="C141" s="2"/>
      <c r="D141" s="2"/>
      <c r="E141" s="2"/>
      <c r="F141" s="3"/>
      <c r="G141" s="4">
        <f>SUM(G142:G151)</f>
        <v>0</v>
      </c>
      <c r="H141" s="4">
        <f>SUM(H142:H151)</f>
        <v>0</v>
      </c>
      <c r="I141" s="4">
        <f>SUM(I142:I151)</f>
        <v>0</v>
      </c>
      <c r="J141" s="4"/>
      <c r="K141" s="4"/>
      <c r="L141" s="13"/>
      <c r="M141" s="13"/>
    </row>
    <row r="142" spans="1:13" s="1" customFormat="1" ht="12.75" hidden="1">
      <c r="A142" s="6" t="s">
        <v>232</v>
      </c>
      <c r="B142" s="13"/>
      <c r="C142" s="13"/>
      <c r="D142" s="13"/>
      <c r="E142" s="13"/>
      <c r="F142" s="13"/>
      <c r="G142" s="11"/>
      <c r="H142" s="11"/>
      <c r="I142" s="11"/>
      <c r="J142" s="11"/>
      <c r="K142" s="11"/>
      <c r="L142" s="13"/>
      <c r="M142" s="13"/>
    </row>
    <row r="143" spans="1:13" s="1" customFormat="1" ht="12.75" hidden="1">
      <c r="A143" s="6" t="s">
        <v>233</v>
      </c>
      <c r="B143" s="13"/>
      <c r="C143" s="13"/>
      <c r="D143" s="13"/>
      <c r="E143" s="13"/>
      <c r="F143" s="13"/>
      <c r="G143" s="11"/>
      <c r="H143" s="11"/>
      <c r="I143" s="11"/>
      <c r="J143" s="11"/>
      <c r="K143" s="11"/>
      <c r="L143" s="13"/>
      <c r="M143" s="13"/>
    </row>
    <row r="144" spans="1:13" s="1" customFormat="1" ht="12.75" hidden="1">
      <c r="A144" s="6" t="s">
        <v>234</v>
      </c>
      <c r="B144" s="13"/>
      <c r="C144" s="13"/>
      <c r="D144" s="13"/>
      <c r="E144" s="13"/>
      <c r="F144" s="13"/>
      <c r="G144" s="11"/>
      <c r="H144" s="11"/>
      <c r="I144" s="11"/>
      <c r="J144" s="11"/>
      <c r="K144" s="11"/>
      <c r="L144" s="13"/>
      <c r="M144" s="13"/>
    </row>
    <row r="145" spans="1:13" s="1" customFormat="1" ht="12.75" hidden="1">
      <c r="A145" s="6" t="s">
        <v>235</v>
      </c>
      <c r="B145" s="13"/>
      <c r="C145" s="13"/>
      <c r="D145" s="13"/>
      <c r="E145" s="13"/>
      <c r="F145" s="13"/>
      <c r="G145" s="11"/>
      <c r="H145" s="11"/>
      <c r="I145" s="11"/>
      <c r="J145" s="11"/>
      <c r="K145" s="11"/>
      <c r="L145" s="13"/>
      <c r="M145" s="13"/>
    </row>
    <row r="146" spans="1:13" s="1" customFormat="1" ht="12.75" hidden="1">
      <c r="A146" s="6" t="s">
        <v>236</v>
      </c>
      <c r="B146" s="13"/>
      <c r="C146" s="13"/>
      <c r="D146" s="13"/>
      <c r="E146" s="13"/>
      <c r="F146" s="13"/>
      <c r="G146" s="11"/>
      <c r="H146" s="11"/>
      <c r="I146" s="11"/>
      <c r="J146" s="11"/>
      <c r="K146" s="11"/>
      <c r="L146" s="13"/>
      <c r="M146" s="13"/>
    </row>
    <row r="147" spans="1:13" s="1" customFormat="1" ht="12.75" hidden="1">
      <c r="A147" s="6" t="s">
        <v>237</v>
      </c>
      <c r="B147" s="13"/>
      <c r="C147" s="13"/>
      <c r="D147" s="13"/>
      <c r="E147" s="13"/>
      <c r="F147" s="13"/>
      <c r="G147" s="11"/>
      <c r="H147" s="11"/>
      <c r="I147" s="11"/>
      <c r="J147" s="11"/>
      <c r="K147" s="11"/>
      <c r="L147" s="13"/>
      <c r="M147" s="13"/>
    </row>
    <row r="148" spans="1:13" s="1" customFormat="1" ht="12.75" hidden="1">
      <c r="A148" s="6" t="s">
        <v>238</v>
      </c>
      <c r="B148" s="13"/>
      <c r="C148" s="13"/>
      <c r="D148" s="13"/>
      <c r="E148" s="13"/>
      <c r="F148" s="13"/>
      <c r="G148" s="11"/>
      <c r="H148" s="11"/>
      <c r="I148" s="11"/>
      <c r="J148" s="11"/>
      <c r="K148" s="11"/>
      <c r="L148" s="13"/>
      <c r="M148" s="13"/>
    </row>
    <row r="149" spans="1:13" s="1" customFormat="1" ht="12.75" hidden="1">
      <c r="A149" s="6" t="s">
        <v>239</v>
      </c>
      <c r="B149" s="13"/>
      <c r="C149" s="13"/>
      <c r="D149" s="13"/>
      <c r="E149" s="13"/>
      <c r="F149" s="13"/>
      <c r="G149" s="11"/>
      <c r="H149" s="11"/>
      <c r="I149" s="11"/>
      <c r="J149" s="11"/>
      <c r="K149" s="11"/>
      <c r="L149" s="13"/>
      <c r="M149" s="13"/>
    </row>
    <row r="150" spans="1:13" s="1" customFormat="1" ht="12.75" hidden="1">
      <c r="A150" s="6" t="s">
        <v>240</v>
      </c>
      <c r="B150" s="13"/>
      <c r="C150" s="13"/>
      <c r="D150" s="13"/>
      <c r="E150" s="13"/>
      <c r="F150" s="13"/>
      <c r="G150" s="11"/>
      <c r="H150" s="11"/>
      <c r="I150" s="11"/>
      <c r="J150" s="11"/>
      <c r="K150" s="11"/>
      <c r="L150" s="13"/>
      <c r="M150" s="13"/>
    </row>
    <row r="151" spans="1:13" s="1" customFormat="1" ht="12.75" hidden="1">
      <c r="A151" s="6" t="s">
        <v>241</v>
      </c>
      <c r="B151" s="13"/>
      <c r="C151" s="13"/>
      <c r="D151" s="13"/>
      <c r="E151" s="13"/>
      <c r="F151" s="13"/>
      <c r="G151" s="11"/>
      <c r="H151" s="11"/>
      <c r="I151" s="11"/>
      <c r="J151" s="11"/>
      <c r="K151" s="11"/>
      <c r="L151" s="13"/>
      <c r="M151" s="13"/>
    </row>
    <row r="152" spans="1:13" s="1" customFormat="1" ht="12.75" hidden="1">
      <c r="A152" s="2" t="s">
        <v>242</v>
      </c>
      <c r="B152" s="2"/>
      <c r="C152" s="2"/>
      <c r="D152" s="2"/>
      <c r="E152" s="2"/>
      <c r="F152" s="3"/>
      <c r="G152" s="4">
        <f>SUM(G153:G162)</f>
        <v>0</v>
      </c>
      <c r="H152" s="4">
        <f>SUM(H153:H162)</f>
        <v>0</v>
      </c>
      <c r="I152" s="4">
        <f>SUM(I153:I162)</f>
        <v>0</v>
      </c>
      <c r="J152" s="4"/>
      <c r="K152" s="4"/>
      <c r="L152" s="13"/>
      <c r="M152" s="13"/>
    </row>
    <row r="153" spans="1:13" s="1" customFormat="1" ht="12.75" hidden="1">
      <c r="A153" s="6" t="s">
        <v>232</v>
      </c>
      <c r="B153" s="13"/>
      <c r="C153" s="13"/>
      <c r="D153" s="13"/>
      <c r="E153" s="13"/>
      <c r="F153" s="13"/>
      <c r="G153" s="11"/>
      <c r="H153" s="11"/>
      <c r="I153" s="11"/>
      <c r="J153" s="11"/>
      <c r="K153" s="11"/>
      <c r="L153" s="13"/>
      <c r="M153" s="13"/>
    </row>
    <row r="154" spans="1:13" s="1" customFormat="1" ht="12.75" hidden="1">
      <c r="A154" s="6" t="s">
        <v>233</v>
      </c>
      <c r="B154" s="13"/>
      <c r="C154" s="13"/>
      <c r="D154" s="13"/>
      <c r="E154" s="13"/>
      <c r="F154" s="13"/>
      <c r="G154" s="11"/>
      <c r="H154" s="11"/>
      <c r="I154" s="11"/>
      <c r="J154" s="11"/>
      <c r="K154" s="11"/>
      <c r="L154" s="13"/>
      <c r="M154" s="13"/>
    </row>
    <row r="155" spans="1:13" s="1" customFormat="1" ht="12.75" hidden="1">
      <c r="A155" s="6" t="s">
        <v>234</v>
      </c>
      <c r="B155" s="13"/>
      <c r="C155" s="13"/>
      <c r="D155" s="13"/>
      <c r="E155" s="13"/>
      <c r="F155" s="13"/>
      <c r="G155" s="11"/>
      <c r="H155" s="11"/>
      <c r="I155" s="11"/>
      <c r="J155" s="11"/>
      <c r="K155" s="11"/>
      <c r="L155" s="13"/>
      <c r="M155" s="13"/>
    </row>
    <row r="156" spans="1:13" s="1" customFormat="1" ht="12.75" hidden="1">
      <c r="A156" s="6" t="s">
        <v>235</v>
      </c>
      <c r="B156" s="13"/>
      <c r="C156" s="13"/>
      <c r="D156" s="13"/>
      <c r="E156" s="13"/>
      <c r="F156" s="13"/>
      <c r="G156" s="11"/>
      <c r="H156" s="11"/>
      <c r="I156" s="11"/>
      <c r="J156" s="11"/>
      <c r="K156" s="11"/>
      <c r="L156" s="13"/>
      <c r="M156" s="13"/>
    </row>
    <row r="157" spans="1:13" s="1" customFormat="1" ht="12.75" hidden="1">
      <c r="A157" s="6" t="s">
        <v>236</v>
      </c>
      <c r="B157" s="13"/>
      <c r="C157" s="13"/>
      <c r="D157" s="13"/>
      <c r="E157" s="13"/>
      <c r="F157" s="13"/>
      <c r="G157" s="11"/>
      <c r="H157" s="11"/>
      <c r="I157" s="11"/>
      <c r="J157" s="11"/>
      <c r="K157" s="11"/>
      <c r="L157" s="13"/>
      <c r="M157" s="13"/>
    </row>
    <row r="158" spans="1:13" s="1" customFormat="1" ht="12.75" hidden="1">
      <c r="A158" s="6" t="s">
        <v>237</v>
      </c>
      <c r="B158" s="13"/>
      <c r="C158" s="13"/>
      <c r="D158" s="13"/>
      <c r="E158" s="13"/>
      <c r="F158" s="13"/>
      <c r="G158" s="11"/>
      <c r="H158" s="11"/>
      <c r="I158" s="11"/>
      <c r="J158" s="11"/>
      <c r="K158" s="11"/>
      <c r="L158" s="13"/>
      <c r="M158" s="13"/>
    </row>
    <row r="159" spans="1:13" s="1" customFormat="1" ht="12.75" hidden="1">
      <c r="A159" s="6" t="s">
        <v>238</v>
      </c>
      <c r="B159" s="13"/>
      <c r="C159" s="13"/>
      <c r="D159" s="13"/>
      <c r="E159" s="13"/>
      <c r="F159" s="13"/>
      <c r="G159" s="11"/>
      <c r="H159" s="11"/>
      <c r="I159" s="11"/>
      <c r="J159" s="11"/>
      <c r="K159" s="11"/>
      <c r="L159" s="13"/>
      <c r="M159" s="13"/>
    </row>
    <row r="160" spans="1:13" s="1" customFormat="1" ht="12.75" hidden="1">
      <c r="A160" s="6" t="s">
        <v>239</v>
      </c>
      <c r="B160" s="13"/>
      <c r="C160" s="13"/>
      <c r="D160" s="13"/>
      <c r="E160" s="13"/>
      <c r="F160" s="13"/>
      <c r="G160" s="11"/>
      <c r="H160" s="11"/>
      <c r="I160" s="11"/>
      <c r="J160" s="11"/>
      <c r="K160" s="11"/>
      <c r="L160" s="13"/>
      <c r="M160" s="13"/>
    </row>
    <row r="161" spans="1:13" s="1" customFormat="1" ht="12.75" hidden="1">
      <c r="A161" s="6" t="s">
        <v>240</v>
      </c>
      <c r="B161" s="13"/>
      <c r="C161" s="13"/>
      <c r="D161" s="13"/>
      <c r="E161" s="13"/>
      <c r="F161" s="13"/>
      <c r="G161" s="11"/>
      <c r="H161" s="11"/>
      <c r="I161" s="11"/>
      <c r="J161" s="11"/>
      <c r="K161" s="11"/>
      <c r="L161" s="13"/>
      <c r="M161" s="13"/>
    </row>
    <row r="162" spans="1:13" s="1" customFormat="1" ht="12.75" hidden="1">
      <c r="A162" s="6" t="s">
        <v>241</v>
      </c>
      <c r="B162" s="13"/>
      <c r="C162" s="13"/>
      <c r="D162" s="13"/>
      <c r="E162" s="13"/>
      <c r="F162" s="13"/>
      <c r="G162" s="11"/>
      <c r="H162" s="11"/>
      <c r="I162" s="11"/>
      <c r="J162" s="11"/>
      <c r="K162" s="11"/>
      <c r="L162" s="13"/>
      <c r="M162" s="13"/>
    </row>
    <row r="163" spans="1:13" s="1" customFormat="1" ht="12.75" hidden="1">
      <c r="A163" s="2" t="s">
        <v>242</v>
      </c>
      <c r="B163" s="2"/>
      <c r="C163" s="2"/>
      <c r="D163" s="2"/>
      <c r="E163" s="2"/>
      <c r="F163" s="77"/>
      <c r="G163" s="4">
        <f>SUM(G164:G173)</f>
        <v>0</v>
      </c>
      <c r="H163" s="4">
        <f>SUM(H164:H173)</f>
        <v>0</v>
      </c>
      <c r="I163" s="4">
        <f>SUM(I164:I173)</f>
        <v>0</v>
      </c>
      <c r="J163" s="4"/>
      <c r="K163" s="4"/>
      <c r="L163" s="13"/>
      <c r="M163" s="13"/>
    </row>
    <row r="164" spans="1:13" s="1" customFormat="1" ht="12.75" hidden="1">
      <c r="A164" s="6" t="s">
        <v>232</v>
      </c>
      <c r="B164" s="2"/>
      <c r="C164" s="2"/>
      <c r="D164" s="2"/>
      <c r="E164" s="2"/>
      <c r="F164" s="3"/>
      <c r="G164" s="11"/>
      <c r="H164" s="11"/>
      <c r="I164" s="11"/>
      <c r="J164" s="11"/>
      <c r="K164" s="11"/>
      <c r="L164" s="13"/>
      <c r="M164" s="13"/>
    </row>
    <row r="165" spans="1:13" s="1" customFormat="1" ht="12.75" hidden="1">
      <c r="A165" s="6" t="s">
        <v>233</v>
      </c>
      <c r="B165" s="13"/>
      <c r="C165" s="13"/>
      <c r="D165" s="13"/>
      <c r="E165" s="13"/>
      <c r="F165" s="13"/>
      <c r="G165" s="11"/>
      <c r="H165" s="11"/>
      <c r="I165" s="11"/>
      <c r="J165" s="11"/>
      <c r="K165" s="11"/>
      <c r="L165" s="13"/>
      <c r="M165" s="13"/>
    </row>
    <row r="166" spans="1:13" s="1" customFormat="1" ht="12.75" hidden="1">
      <c r="A166" s="6" t="s">
        <v>234</v>
      </c>
      <c r="B166" s="13"/>
      <c r="C166" s="13"/>
      <c r="D166" s="13"/>
      <c r="E166" s="13"/>
      <c r="F166" s="13"/>
      <c r="G166" s="11"/>
      <c r="H166" s="11"/>
      <c r="I166" s="11"/>
      <c r="J166" s="11"/>
      <c r="K166" s="11"/>
      <c r="L166" s="13"/>
      <c r="M166" s="13"/>
    </row>
    <row r="167" spans="1:13" s="1" customFormat="1" ht="12.75" hidden="1">
      <c r="A167" s="6" t="s">
        <v>235</v>
      </c>
      <c r="B167" s="13"/>
      <c r="C167" s="13"/>
      <c r="D167" s="13"/>
      <c r="E167" s="13"/>
      <c r="F167" s="13"/>
      <c r="G167" s="11"/>
      <c r="H167" s="11"/>
      <c r="I167" s="11"/>
      <c r="J167" s="11"/>
      <c r="K167" s="11"/>
      <c r="L167" s="13"/>
      <c r="M167" s="13"/>
    </row>
    <row r="168" spans="1:13" s="1" customFormat="1" ht="12.75" hidden="1">
      <c r="A168" s="6" t="s">
        <v>236</v>
      </c>
      <c r="B168" s="13"/>
      <c r="C168" s="13"/>
      <c r="D168" s="13"/>
      <c r="E168" s="13"/>
      <c r="F168" s="13"/>
      <c r="G168" s="11"/>
      <c r="H168" s="11"/>
      <c r="I168" s="11"/>
      <c r="J168" s="11"/>
      <c r="K168" s="11"/>
      <c r="L168" s="13"/>
      <c r="M168" s="13"/>
    </row>
    <row r="169" spans="1:13" s="1" customFormat="1" ht="12.75" hidden="1">
      <c r="A169" s="6" t="s">
        <v>237</v>
      </c>
      <c r="B169" s="13"/>
      <c r="C169" s="13"/>
      <c r="D169" s="13"/>
      <c r="E169" s="13"/>
      <c r="F169" s="13"/>
      <c r="G169" s="11"/>
      <c r="H169" s="11"/>
      <c r="I169" s="11"/>
      <c r="J169" s="11"/>
      <c r="K169" s="11"/>
      <c r="L169" s="13"/>
      <c r="M169" s="13"/>
    </row>
    <row r="170" spans="1:13" s="1" customFormat="1" ht="12.75" hidden="1">
      <c r="A170" s="6" t="s">
        <v>238</v>
      </c>
      <c r="B170" s="13"/>
      <c r="C170" s="13"/>
      <c r="D170" s="13"/>
      <c r="E170" s="13"/>
      <c r="F170" s="13"/>
      <c r="G170" s="11"/>
      <c r="H170" s="11"/>
      <c r="I170" s="11"/>
      <c r="J170" s="11"/>
      <c r="K170" s="11"/>
      <c r="L170" s="13"/>
      <c r="M170" s="13"/>
    </row>
    <row r="171" spans="1:13" s="1" customFormat="1" ht="12.75" hidden="1">
      <c r="A171" s="6" t="s">
        <v>239</v>
      </c>
      <c r="B171" s="13"/>
      <c r="C171" s="13"/>
      <c r="D171" s="13"/>
      <c r="E171" s="13"/>
      <c r="F171" s="13"/>
      <c r="G171" s="11"/>
      <c r="H171" s="11"/>
      <c r="I171" s="11"/>
      <c r="J171" s="11"/>
      <c r="K171" s="11"/>
      <c r="L171" s="13"/>
      <c r="M171" s="13"/>
    </row>
    <row r="172" spans="1:13" s="1" customFormat="1" ht="12.75" hidden="1">
      <c r="A172" s="6" t="s">
        <v>240</v>
      </c>
      <c r="B172" s="13"/>
      <c r="C172" s="13"/>
      <c r="D172" s="13"/>
      <c r="E172" s="13"/>
      <c r="F172" s="13"/>
      <c r="G172" s="11"/>
      <c r="H172" s="11"/>
      <c r="I172" s="11"/>
      <c r="J172" s="11"/>
      <c r="K172" s="11"/>
      <c r="L172" s="13"/>
      <c r="M172" s="13"/>
    </row>
    <row r="173" spans="1:13" s="1" customFormat="1" ht="12.75" hidden="1">
      <c r="A173" s="6" t="s">
        <v>241</v>
      </c>
      <c r="B173" s="13"/>
      <c r="C173" s="13"/>
      <c r="D173" s="13"/>
      <c r="E173" s="13"/>
      <c r="F173" s="13"/>
      <c r="G173" s="11"/>
      <c r="H173" s="11"/>
      <c r="I173" s="11"/>
      <c r="J173" s="11"/>
      <c r="K173" s="11"/>
      <c r="L173" s="13"/>
      <c r="M173" s="13"/>
    </row>
    <row r="174" spans="1:13" s="1" customFormat="1" ht="12.75" hidden="1">
      <c r="A174" s="2" t="s">
        <v>242</v>
      </c>
      <c r="B174" s="2"/>
      <c r="C174" s="2"/>
      <c r="D174" s="2"/>
      <c r="E174" s="2"/>
      <c r="F174" s="77"/>
      <c r="G174" s="4">
        <f>SUM(G175:G184)</f>
        <v>0</v>
      </c>
      <c r="H174" s="4">
        <f>SUM(H175:H184)</f>
        <v>0</v>
      </c>
      <c r="I174" s="4">
        <f>SUM(I175:I184)</f>
        <v>0</v>
      </c>
      <c r="J174" s="4"/>
      <c r="K174" s="4"/>
      <c r="L174" s="13"/>
      <c r="M174" s="13"/>
    </row>
    <row r="175" spans="1:13" s="1" customFormat="1" ht="12.75" hidden="1">
      <c r="A175" s="6" t="s">
        <v>232</v>
      </c>
      <c r="B175" s="13"/>
      <c r="C175" s="13"/>
      <c r="D175" s="13"/>
      <c r="E175" s="13"/>
      <c r="F175" s="13"/>
      <c r="G175" s="11"/>
      <c r="H175" s="11"/>
      <c r="I175" s="11"/>
      <c r="J175" s="11"/>
      <c r="K175" s="11"/>
      <c r="L175" s="13"/>
      <c r="M175" s="13"/>
    </row>
    <row r="176" spans="1:13" s="1" customFormat="1" ht="12.75" hidden="1">
      <c r="A176" s="6" t="s">
        <v>233</v>
      </c>
      <c r="B176" s="13"/>
      <c r="C176" s="13"/>
      <c r="D176" s="13"/>
      <c r="E176" s="13"/>
      <c r="F176" s="13"/>
      <c r="G176" s="11"/>
      <c r="H176" s="11"/>
      <c r="I176" s="11"/>
      <c r="J176" s="11"/>
      <c r="K176" s="11"/>
      <c r="L176" s="13"/>
      <c r="M176" s="13"/>
    </row>
    <row r="177" spans="1:13" s="1" customFormat="1" ht="12.75" hidden="1">
      <c r="A177" s="6" t="s">
        <v>234</v>
      </c>
      <c r="B177" s="13"/>
      <c r="C177" s="13"/>
      <c r="D177" s="13"/>
      <c r="E177" s="13"/>
      <c r="F177" s="13"/>
      <c r="G177" s="11"/>
      <c r="H177" s="11"/>
      <c r="I177" s="11"/>
      <c r="J177" s="11"/>
      <c r="K177" s="11"/>
      <c r="L177" s="13"/>
      <c r="M177" s="13"/>
    </row>
    <row r="178" spans="1:13" s="1" customFormat="1" ht="12.75" hidden="1">
      <c r="A178" s="6" t="s">
        <v>235</v>
      </c>
      <c r="B178" s="13"/>
      <c r="C178" s="13"/>
      <c r="D178" s="13"/>
      <c r="E178" s="13"/>
      <c r="F178" s="13"/>
      <c r="G178" s="11"/>
      <c r="H178" s="11"/>
      <c r="I178" s="11"/>
      <c r="J178" s="11"/>
      <c r="K178" s="11"/>
      <c r="L178" s="13"/>
      <c r="M178" s="13"/>
    </row>
    <row r="179" spans="1:13" s="1" customFormat="1" ht="12.75" hidden="1">
      <c r="A179" s="6" t="s">
        <v>236</v>
      </c>
      <c r="B179" s="13"/>
      <c r="C179" s="13"/>
      <c r="D179" s="13"/>
      <c r="E179" s="13"/>
      <c r="F179" s="13"/>
      <c r="G179" s="11"/>
      <c r="H179" s="11"/>
      <c r="I179" s="11"/>
      <c r="J179" s="11"/>
      <c r="K179" s="11"/>
      <c r="L179" s="13"/>
      <c r="M179" s="13"/>
    </row>
    <row r="180" spans="1:13" s="1" customFormat="1" ht="12.75" hidden="1">
      <c r="A180" s="6" t="s">
        <v>237</v>
      </c>
      <c r="B180" s="13"/>
      <c r="C180" s="13"/>
      <c r="D180" s="13"/>
      <c r="E180" s="13"/>
      <c r="F180" s="13"/>
      <c r="G180" s="11"/>
      <c r="H180" s="11"/>
      <c r="I180" s="11"/>
      <c r="J180" s="11"/>
      <c r="K180" s="11"/>
      <c r="L180" s="13"/>
      <c r="M180" s="13"/>
    </row>
    <row r="181" spans="1:13" s="1" customFormat="1" ht="12.75" hidden="1">
      <c r="A181" s="6" t="s">
        <v>238</v>
      </c>
      <c r="B181" s="13"/>
      <c r="C181" s="13"/>
      <c r="D181" s="13"/>
      <c r="E181" s="13"/>
      <c r="F181" s="13"/>
      <c r="G181" s="11"/>
      <c r="H181" s="11"/>
      <c r="I181" s="11"/>
      <c r="J181" s="11"/>
      <c r="K181" s="11"/>
      <c r="L181" s="13"/>
      <c r="M181" s="13"/>
    </row>
    <row r="182" spans="1:13" s="1" customFormat="1" ht="12.75" hidden="1">
      <c r="A182" s="6" t="s">
        <v>239</v>
      </c>
      <c r="B182" s="13"/>
      <c r="C182" s="13"/>
      <c r="D182" s="13"/>
      <c r="E182" s="13"/>
      <c r="F182" s="13"/>
      <c r="G182" s="11"/>
      <c r="H182" s="11"/>
      <c r="I182" s="11"/>
      <c r="J182" s="11"/>
      <c r="K182" s="11"/>
      <c r="L182" s="13"/>
      <c r="M182" s="13"/>
    </row>
    <row r="183" spans="1:13" s="1" customFormat="1" ht="12.75" hidden="1">
      <c r="A183" s="6" t="s">
        <v>240</v>
      </c>
      <c r="B183" s="13"/>
      <c r="C183" s="13"/>
      <c r="D183" s="13"/>
      <c r="E183" s="13"/>
      <c r="F183" s="13"/>
      <c r="G183" s="11"/>
      <c r="H183" s="11"/>
      <c r="I183" s="11"/>
      <c r="J183" s="11"/>
      <c r="K183" s="11"/>
      <c r="L183" s="13"/>
      <c r="M183" s="13"/>
    </row>
    <row r="184" spans="1:13" s="1" customFormat="1" ht="12.75" hidden="1">
      <c r="A184" s="6" t="s">
        <v>241</v>
      </c>
      <c r="B184" s="13"/>
      <c r="C184" s="13"/>
      <c r="D184" s="13"/>
      <c r="E184" s="13"/>
      <c r="F184" s="13"/>
      <c r="G184" s="11"/>
      <c r="H184" s="11"/>
      <c r="I184" s="11"/>
      <c r="J184" s="11"/>
      <c r="K184" s="11"/>
      <c r="L184" s="13"/>
      <c r="M184" s="13"/>
    </row>
    <row r="185" spans="1:13" s="1" customFormat="1" ht="12.75" hidden="1">
      <c r="A185" s="2" t="s">
        <v>242</v>
      </c>
      <c r="B185" s="2"/>
      <c r="C185" s="2"/>
      <c r="D185" s="2"/>
      <c r="E185" s="2"/>
      <c r="F185" s="77"/>
      <c r="G185" s="4">
        <f>SUM(G186:G195)</f>
        <v>0</v>
      </c>
      <c r="H185" s="4">
        <f>SUM(H186:H195)</f>
        <v>0</v>
      </c>
      <c r="I185" s="4">
        <f>SUM(I186:I195)</f>
        <v>0</v>
      </c>
      <c r="J185" s="4"/>
      <c r="K185" s="4"/>
      <c r="L185" s="13"/>
      <c r="M185" s="13"/>
    </row>
    <row r="186" spans="1:13" s="1" customFormat="1" ht="12.75" hidden="1">
      <c r="A186" s="6" t="s">
        <v>232</v>
      </c>
      <c r="B186" s="13"/>
      <c r="C186" s="13"/>
      <c r="D186" s="13"/>
      <c r="E186" s="13"/>
      <c r="F186" s="13"/>
      <c r="G186" s="11"/>
      <c r="H186" s="11"/>
      <c r="I186" s="11"/>
      <c r="J186" s="11"/>
      <c r="K186" s="11"/>
      <c r="L186" s="13"/>
      <c r="M186" s="13"/>
    </row>
    <row r="187" spans="1:13" s="1" customFormat="1" ht="12.75" hidden="1">
      <c r="A187" s="6" t="s">
        <v>233</v>
      </c>
      <c r="B187" s="13"/>
      <c r="C187" s="13"/>
      <c r="D187" s="13"/>
      <c r="E187" s="13"/>
      <c r="F187" s="13"/>
      <c r="G187" s="11"/>
      <c r="H187" s="11"/>
      <c r="I187" s="11"/>
      <c r="J187" s="11"/>
      <c r="K187" s="11"/>
      <c r="L187" s="13"/>
      <c r="M187" s="13"/>
    </row>
    <row r="188" spans="1:13" s="1" customFormat="1" ht="12.75" hidden="1">
      <c r="A188" s="6" t="s">
        <v>234</v>
      </c>
      <c r="B188" s="13"/>
      <c r="C188" s="13"/>
      <c r="D188" s="13"/>
      <c r="E188" s="13"/>
      <c r="F188" s="13"/>
      <c r="G188" s="11"/>
      <c r="H188" s="11"/>
      <c r="I188" s="11"/>
      <c r="J188" s="11"/>
      <c r="K188" s="11"/>
      <c r="L188" s="13"/>
      <c r="M188" s="13"/>
    </row>
    <row r="189" spans="1:13" s="1" customFormat="1" ht="12.75" hidden="1">
      <c r="A189" s="6" t="s">
        <v>235</v>
      </c>
      <c r="B189" s="13"/>
      <c r="C189" s="13"/>
      <c r="D189" s="13"/>
      <c r="E189" s="13"/>
      <c r="F189" s="13"/>
      <c r="G189" s="11"/>
      <c r="H189" s="11"/>
      <c r="I189" s="11"/>
      <c r="J189" s="11"/>
      <c r="K189" s="11"/>
      <c r="L189" s="13"/>
      <c r="M189" s="13"/>
    </row>
    <row r="190" spans="1:13" s="1" customFormat="1" ht="12.75" hidden="1">
      <c r="A190" s="6" t="s">
        <v>236</v>
      </c>
      <c r="B190" s="13"/>
      <c r="C190" s="13"/>
      <c r="D190" s="13"/>
      <c r="E190" s="13"/>
      <c r="F190" s="13"/>
      <c r="G190" s="11"/>
      <c r="H190" s="11"/>
      <c r="I190" s="11"/>
      <c r="J190" s="11"/>
      <c r="K190" s="11"/>
      <c r="L190" s="13"/>
      <c r="M190" s="13"/>
    </row>
    <row r="191" spans="1:13" s="1" customFormat="1" ht="12.75" hidden="1">
      <c r="A191" s="6" t="s">
        <v>237</v>
      </c>
      <c r="B191" s="13"/>
      <c r="C191" s="13"/>
      <c r="D191" s="13"/>
      <c r="E191" s="13"/>
      <c r="F191" s="13"/>
      <c r="G191" s="11"/>
      <c r="H191" s="11"/>
      <c r="I191" s="11"/>
      <c r="J191" s="11"/>
      <c r="K191" s="11"/>
      <c r="L191" s="13"/>
      <c r="M191" s="13"/>
    </row>
    <row r="192" spans="1:13" s="14" customFormat="1" ht="12.75" hidden="1">
      <c r="A192" s="6" t="s">
        <v>238</v>
      </c>
      <c r="B192" s="13"/>
      <c r="C192" s="13"/>
      <c r="D192" s="13"/>
      <c r="E192" s="13"/>
      <c r="F192" s="13"/>
      <c r="G192" s="11"/>
      <c r="H192" s="11"/>
      <c r="I192" s="11"/>
      <c r="J192" s="11"/>
      <c r="K192" s="11"/>
      <c r="L192" s="16"/>
      <c r="M192" s="16"/>
    </row>
    <row r="193" spans="1:13" s="14" customFormat="1" ht="12.75" hidden="1">
      <c r="A193" s="6" t="s">
        <v>239</v>
      </c>
      <c r="B193" s="13"/>
      <c r="C193" s="13"/>
      <c r="D193" s="13"/>
      <c r="E193" s="13"/>
      <c r="F193" s="13"/>
      <c r="G193" s="11"/>
      <c r="H193" s="11"/>
      <c r="I193" s="11"/>
      <c r="J193" s="11"/>
      <c r="K193" s="11"/>
      <c r="L193" s="16"/>
      <c r="M193" s="16"/>
    </row>
    <row r="194" spans="1:13" s="14" customFormat="1" ht="12.75" hidden="1">
      <c r="A194" s="6" t="s">
        <v>240</v>
      </c>
      <c r="B194" s="13"/>
      <c r="C194" s="13"/>
      <c r="D194" s="13"/>
      <c r="E194" s="13"/>
      <c r="F194" s="13"/>
      <c r="G194" s="11"/>
      <c r="H194" s="11"/>
      <c r="I194" s="11"/>
      <c r="J194" s="11"/>
      <c r="K194" s="11"/>
      <c r="L194" s="16"/>
      <c r="M194" s="16"/>
    </row>
    <row r="195" spans="1:13" s="14" customFormat="1" ht="12.75" hidden="1">
      <c r="A195" s="6" t="s">
        <v>241</v>
      </c>
      <c r="B195" s="13"/>
      <c r="C195" s="13"/>
      <c r="D195" s="13"/>
      <c r="E195" s="13"/>
      <c r="F195" s="13"/>
      <c r="G195" s="11"/>
      <c r="H195" s="11"/>
      <c r="I195" s="11"/>
      <c r="J195" s="11"/>
      <c r="K195" s="11"/>
      <c r="L195" s="16"/>
      <c r="M195" s="16"/>
    </row>
    <row r="196" spans="1:13" s="14" customFormat="1" ht="12.75" hidden="1">
      <c r="A196" s="2" t="s">
        <v>242</v>
      </c>
      <c r="B196" s="2"/>
      <c r="C196" s="2"/>
      <c r="D196" s="2"/>
      <c r="E196" s="2"/>
      <c r="F196" s="15"/>
      <c r="G196" s="4">
        <f>SUM(G197:G206)</f>
        <v>0</v>
      </c>
      <c r="H196" s="4">
        <f>SUM(H197:H206)</f>
        <v>0</v>
      </c>
      <c r="I196" s="4">
        <f>SUM(I197:I206)</f>
        <v>0</v>
      </c>
      <c r="J196" s="4"/>
      <c r="K196" s="4"/>
      <c r="L196" s="16"/>
      <c r="M196" s="16"/>
    </row>
    <row r="197" spans="1:13" s="14" customFormat="1" ht="12.75" hidden="1">
      <c r="A197" s="6" t="s">
        <v>232</v>
      </c>
      <c r="B197" s="16"/>
      <c r="C197" s="16"/>
      <c r="D197" s="16"/>
      <c r="E197" s="16"/>
      <c r="F197" s="16"/>
      <c r="G197" s="11"/>
      <c r="H197" s="11"/>
      <c r="I197" s="11"/>
      <c r="J197" s="11"/>
      <c r="K197" s="11"/>
      <c r="L197" s="16"/>
      <c r="M197" s="16"/>
    </row>
    <row r="198" spans="1:13" s="14" customFormat="1" ht="12.75" hidden="1">
      <c r="A198" s="6" t="s">
        <v>233</v>
      </c>
      <c r="B198" s="16"/>
      <c r="C198" s="16"/>
      <c r="D198" s="16"/>
      <c r="E198" s="16"/>
      <c r="F198" s="16"/>
      <c r="G198" s="11"/>
      <c r="H198" s="11"/>
      <c r="I198" s="11"/>
      <c r="J198" s="11"/>
      <c r="K198" s="11"/>
      <c r="L198" s="16"/>
      <c r="M198" s="16"/>
    </row>
    <row r="199" spans="1:13" s="14" customFormat="1" ht="12.75" hidden="1">
      <c r="A199" s="6" t="s">
        <v>234</v>
      </c>
      <c r="B199" s="16"/>
      <c r="C199" s="16"/>
      <c r="D199" s="16"/>
      <c r="E199" s="16"/>
      <c r="F199" s="16"/>
      <c r="G199" s="11"/>
      <c r="H199" s="11"/>
      <c r="I199" s="11"/>
      <c r="J199" s="11"/>
      <c r="K199" s="11"/>
      <c r="L199" s="16"/>
      <c r="M199" s="16"/>
    </row>
    <row r="200" spans="1:13" s="14" customFormat="1" ht="12.75" hidden="1">
      <c r="A200" s="6" t="s">
        <v>235</v>
      </c>
      <c r="B200" s="16"/>
      <c r="C200" s="16"/>
      <c r="D200" s="16"/>
      <c r="E200" s="16"/>
      <c r="F200" s="16"/>
      <c r="G200" s="11"/>
      <c r="H200" s="11"/>
      <c r="I200" s="11"/>
      <c r="J200" s="11"/>
      <c r="K200" s="11"/>
      <c r="L200" s="16"/>
      <c r="M200" s="16"/>
    </row>
    <row r="201" spans="1:13" s="14" customFormat="1" ht="12.75" hidden="1">
      <c r="A201" s="6" t="s">
        <v>236</v>
      </c>
      <c r="B201" s="16"/>
      <c r="C201" s="16"/>
      <c r="D201" s="16"/>
      <c r="E201" s="16"/>
      <c r="F201" s="16"/>
      <c r="G201" s="11"/>
      <c r="H201" s="11"/>
      <c r="I201" s="11"/>
      <c r="J201" s="11"/>
      <c r="K201" s="11"/>
      <c r="L201" s="16"/>
      <c r="M201" s="16"/>
    </row>
    <row r="202" spans="1:13" s="14" customFormat="1" ht="12.75" hidden="1">
      <c r="A202" s="6" t="s">
        <v>237</v>
      </c>
      <c r="B202" s="16"/>
      <c r="C202" s="16"/>
      <c r="D202" s="16"/>
      <c r="E202" s="16"/>
      <c r="F202" s="16"/>
      <c r="G202" s="11"/>
      <c r="H202" s="11"/>
      <c r="I202" s="11"/>
      <c r="J202" s="11"/>
      <c r="K202" s="11"/>
      <c r="L202" s="16"/>
      <c r="M202" s="16"/>
    </row>
    <row r="203" spans="1:13" s="1" customFormat="1" ht="12.75" hidden="1">
      <c r="A203" s="6" t="s">
        <v>238</v>
      </c>
      <c r="B203" s="16"/>
      <c r="C203" s="16"/>
      <c r="D203" s="16"/>
      <c r="E203" s="16"/>
      <c r="F203" s="16"/>
      <c r="G203" s="11"/>
      <c r="H203" s="11"/>
      <c r="I203" s="11"/>
      <c r="J203" s="11"/>
      <c r="K203" s="11"/>
      <c r="L203" s="13"/>
      <c r="M203" s="13"/>
    </row>
    <row r="204" spans="1:13" s="1" customFormat="1" ht="12.75" hidden="1">
      <c r="A204" s="6" t="s">
        <v>239</v>
      </c>
      <c r="B204" s="16"/>
      <c r="C204" s="16"/>
      <c r="D204" s="16"/>
      <c r="E204" s="16"/>
      <c r="F204" s="16"/>
      <c r="G204" s="11"/>
      <c r="H204" s="11"/>
      <c r="I204" s="11"/>
      <c r="J204" s="11"/>
      <c r="K204" s="11"/>
      <c r="L204" s="13"/>
      <c r="M204" s="13"/>
    </row>
    <row r="205" spans="1:13" s="1" customFormat="1" ht="12.75" hidden="1">
      <c r="A205" s="6" t="s">
        <v>240</v>
      </c>
      <c r="B205" s="16"/>
      <c r="C205" s="16"/>
      <c r="D205" s="16"/>
      <c r="E205" s="16"/>
      <c r="F205" s="16"/>
      <c r="G205" s="11"/>
      <c r="H205" s="11"/>
      <c r="I205" s="11"/>
      <c r="J205" s="11"/>
      <c r="K205" s="11"/>
      <c r="L205" s="13"/>
      <c r="M205" s="13"/>
    </row>
    <row r="206" spans="1:13" s="1" customFormat="1" ht="12.75" hidden="1">
      <c r="A206" s="6" t="s">
        <v>241</v>
      </c>
      <c r="B206" s="16"/>
      <c r="C206" s="16"/>
      <c r="D206" s="16"/>
      <c r="E206" s="16"/>
      <c r="F206" s="16"/>
      <c r="G206" s="11"/>
      <c r="H206" s="11"/>
      <c r="I206" s="11"/>
      <c r="J206" s="11"/>
      <c r="K206" s="11"/>
      <c r="L206" s="13"/>
      <c r="M206" s="13"/>
    </row>
    <row r="207" spans="1:13" s="1" customFormat="1" ht="12.75" hidden="1">
      <c r="A207" s="2" t="s">
        <v>242</v>
      </c>
      <c r="B207" s="2"/>
      <c r="C207" s="2"/>
      <c r="D207" s="2"/>
      <c r="E207" s="2"/>
      <c r="F207" s="3"/>
      <c r="G207" s="4">
        <f>SUM(G208:G217)</f>
        <v>0</v>
      </c>
      <c r="H207" s="4">
        <f>SUM(H208:H217)</f>
        <v>0</v>
      </c>
      <c r="I207" s="4">
        <f>SUM(I208:I217)</f>
        <v>0</v>
      </c>
      <c r="J207" s="4"/>
      <c r="K207" s="4"/>
      <c r="L207" s="13"/>
      <c r="M207" s="13"/>
    </row>
    <row r="208" spans="1:13" s="1" customFormat="1" ht="12.75" hidden="1">
      <c r="A208" s="6" t="s">
        <v>232</v>
      </c>
      <c r="B208" s="13"/>
      <c r="C208" s="13"/>
      <c r="D208" s="13"/>
      <c r="E208" s="13"/>
      <c r="F208" s="13"/>
      <c r="G208" s="11"/>
      <c r="H208" s="11"/>
      <c r="I208" s="11"/>
      <c r="J208" s="11"/>
      <c r="K208" s="11"/>
      <c r="L208" s="13"/>
      <c r="M208" s="13"/>
    </row>
    <row r="209" spans="1:13" s="1" customFormat="1" ht="12.75" hidden="1">
      <c r="A209" s="6" t="s">
        <v>233</v>
      </c>
      <c r="B209" s="13"/>
      <c r="C209" s="13"/>
      <c r="D209" s="13"/>
      <c r="E209" s="13"/>
      <c r="F209" s="13"/>
      <c r="G209" s="11"/>
      <c r="H209" s="11"/>
      <c r="I209" s="11"/>
      <c r="J209" s="11"/>
      <c r="K209" s="11"/>
      <c r="L209" s="13"/>
      <c r="M209" s="13"/>
    </row>
    <row r="210" spans="1:13" s="1" customFormat="1" ht="12.75" hidden="1">
      <c r="A210" s="6" t="s">
        <v>234</v>
      </c>
      <c r="B210" s="13"/>
      <c r="C210" s="13"/>
      <c r="D210" s="13"/>
      <c r="E210" s="13"/>
      <c r="F210" s="13"/>
      <c r="G210" s="11"/>
      <c r="H210" s="11"/>
      <c r="I210" s="11"/>
      <c r="J210" s="11"/>
      <c r="K210" s="11"/>
      <c r="L210" s="13"/>
      <c r="M210" s="13"/>
    </row>
    <row r="211" spans="1:13" s="1" customFormat="1" ht="12.75" hidden="1">
      <c r="A211" s="6" t="s">
        <v>235</v>
      </c>
      <c r="B211" s="13"/>
      <c r="C211" s="13"/>
      <c r="D211" s="13"/>
      <c r="E211" s="13"/>
      <c r="F211" s="13"/>
      <c r="G211" s="11"/>
      <c r="H211" s="11"/>
      <c r="I211" s="11"/>
      <c r="J211" s="11"/>
      <c r="K211" s="11"/>
      <c r="L211" s="13"/>
      <c r="M211" s="13"/>
    </row>
    <row r="212" spans="1:13" s="1" customFormat="1" ht="12.75" hidden="1">
      <c r="A212" s="6" t="s">
        <v>236</v>
      </c>
      <c r="B212" s="13"/>
      <c r="C212" s="13"/>
      <c r="D212" s="13"/>
      <c r="E212" s="13"/>
      <c r="F212" s="13"/>
      <c r="G212" s="11"/>
      <c r="H212" s="11"/>
      <c r="I212" s="11"/>
      <c r="J212" s="11"/>
      <c r="K212" s="11"/>
      <c r="L212" s="13"/>
      <c r="M212" s="13"/>
    </row>
    <row r="213" spans="1:13" s="1" customFormat="1" ht="12.75" hidden="1">
      <c r="A213" s="6" t="s">
        <v>237</v>
      </c>
      <c r="B213" s="13"/>
      <c r="C213" s="13"/>
      <c r="D213" s="13"/>
      <c r="E213" s="13"/>
      <c r="F213" s="13"/>
      <c r="G213" s="11"/>
      <c r="H213" s="11"/>
      <c r="I213" s="11"/>
      <c r="J213" s="11"/>
      <c r="K213" s="11"/>
      <c r="L213" s="13"/>
      <c r="M213" s="13"/>
    </row>
    <row r="214" spans="1:13" s="1" customFormat="1" ht="12.75" hidden="1">
      <c r="A214" s="6" t="s">
        <v>238</v>
      </c>
      <c r="B214" s="13"/>
      <c r="C214" s="13"/>
      <c r="D214" s="13"/>
      <c r="E214" s="13"/>
      <c r="F214" s="13"/>
      <c r="G214" s="11"/>
      <c r="H214" s="11"/>
      <c r="I214" s="11"/>
      <c r="J214" s="11"/>
      <c r="K214" s="11"/>
      <c r="L214" s="13"/>
      <c r="M214" s="13"/>
    </row>
    <row r="215" spans="1:13" s="1" customFormat="1" ht="12.75" hidden="1">
      <c r="A215" s="6" t="s">
        <v>239</v>
      </c>
      <c r="B215" s="13"/>
      <c r="C215" s="13"/>
      <c r="D215" s="13"/>
      <c r="E215" s="13"/>
      <c r="F215" s="13"/>
      <c r="G215" s="11"/>
      <c r="H215" s="11"/>
      <c r="I215" s="11"/>
      <c r="J215" s="11"/>
      <c r="K215" s="11"/>
      <c r="L215" s="13"/>
      <c r="M215" s="13"/>
    </row>
    <row r="216" spans="1:13" s="1" customFormat="1" ht="12.75" hidden="1">
      <c r="A216" s="6" t="s">
        <v>240</v>
      </c>
      <c r="B216" s="13"/>
      <c r="C216" s="13"/>
      <c r="D216" s="13"/>
      <c r="E216" s="13"/>
      <c r="F216" s="13"/>
      <c r="G216" s="11"/>
      <c r="H216" s="11"/>
      <c r="I216" s="11"/>
      <c r="J216" s="11"/>
      <c r="K216" s="11"/>
      <c r="L216" s="13"/>
      <c r="M216" s="13"/>
    </row>
    <row r="217" spans="1:13" s="1" customFormat="1" ht="12.75" hidden="1">
      <c r="A217" s="6" t="s">
        <v>241</v>
      </c>
      <c r="B217" s="13"/>
      <c r="C217" s="13"/>
      <c r="D217" s="13"/>
      <c r="E217" s="13"/>
      <c r="F217" s="13"/>
      <c r="G217" s="11"/>
      <c r="H217" s="11"/>
      <c r="I217" s="11"/>
      <c r="J217" s="11"/>
      <c r="K217" s="11"/>
      <c r="L217" s="13"/>
      <c r="M217" s="13"/>
    </row>
    <row r="218" spans="1:13" s="1" customFormat="1" ht="12.75" hidden="1">
      <c r="A218" s="2" t="s">
        <v>242</v>
      </c>
      <c r="B218" s="2"/>
      <c r="C218" s="2"/>
      <c r="D218" s="2"/>
      <c r="E218" s="2"/>
      <c r="F218" s="3"/>
      <c r="G218" s="4">
        <f>SUM(G219:G228)</f>
        <v>0</v>
      </c>
      <c r="H218" s="4">
        <f>SUM(H219:H228)</f>
        <v>0</v>
      </c>
      <c r="I218" s="4">
        <f>SUM(I219:I228)</f>
        <v>0</v>
      </c>
      <c r="J218" s="4"/>
      <c r="K218" s="4"/>
      <c r="L218" s="13"/>
      <c r="M218" s="13"/>
    </row>
    <row r="219" spans="1:13" s="1" customFormat="1" ht="12.75" hidden="1">
      <c r="A219" s="6" t="s">
        <v>232</v>
      </c>
      <c r="B219" s="13"/>
      <c r="C219" s="13"/>
      <c r="D219" s="13"/>
      <c r="E219" s="13"/>
      <c r="F219" s="13"/>
      <c r="G219" s="11"/>
      <c r="H219" s="11"/>
      <c r="I219" s="11"/>
      <c r="J219" s="11"/>
      <c r="K219" s="11"/>
      <c r="L219" s="13"/>
      <c r="M219" s="13"/>
    </row>
    <row r="220" spans="1:13" s="1" customFormat="1" ht="12.75" hidden="1">
      <c r="A220" s="6" t="s">
        <v>233</v>
      </c>
      <c r="B220" s="13"/>
      <c r="C220" s="13"/>
      <c r="D220" s="13"/>
      <c r="E220" s="13"/>
      <c r="F220" s="13"/>
      <c r="G220" s="11"/>
      <c r="H220" s="11"/>
      <c r="I220" s="11"/>
      <c r="J220" s="11"/>
      <c r="K220" s="11"/>
      <c r="L220" s="13"/>
      <c r="M220" s="13"/>
    </row>
    <row r="221" spans="1:13" s="1" customFormat="1" ht="12.75" hidden="1">
      <c r="A221" s="6" t="s">
        <v>234</v>
      </c>
      <c r="B221" s="13"/>
      <c r="C221" s="13"/>
      <c r="D221" s="13"/>
      <c r="E221" s="13"/>
      <c r="F221" s="13"/>
      <c r="G221" s="11"/>
      <c r="H221" s="11"/>
      <c r="I221" s="11"/>
      <c r="J221" s="11"/>
      <c r="K221" s="11"/>
      <c r="L221" s="13"/>
      <c r="M221" s="13"/>
    </row>
    <row r="222" spans="1:13" s="1" customFormat="1" ht="12.75" hidden="1">
      <c r="A222" s="6" t="s">
        <v>235</v>
      </c>
      <c r="B222" s="13"/>
      <c r="C222" s="13"/>
      <c r="D222" s="13"/>
      <c r="E222" s="13"/>
      <c r="F222" s="13"/>
      <c r="G222" s="11"/>
      <c r="H222" s="11"/>
      <c r="I222" s="11"/>
      <c r="J222" s="11"/>
      <c r="K222" s="11"/>
      <c r="L222" s="13"/>
      <c r="M222" s="13"/>
    </row>
    <row r="223" spans="1:13" s="1" customFormat="1" ht="12.75" hidden="1">
      <c r="A223" s="6" t="s">
        <v>236</v>
      </c>
      <c r="B223" s="13"/>
      <c r="C223" s="13"/>
      <c r="D223" s="13"/>
      <c r="E223" s="13"/>
      <c r="F223" s="13"/>
      <c r="G223" s="11"/>
      <c r="H223" s="11"/>
      <c r="I223" s="11"/>
      <c r="J223" s="11"/>
      <c r="K223" s="11"/>
      <c r="L223" s="13"/>
      <c r="M223" s="13"/>
    </row>
    <row r="224" spans="1:13" s="1" customFormat="1" ht="12.75" hidden="1">
      <c r="A224" s="6" t="s">
        <v>237</v>
      </c>
      <c r="B224" s="13"/>
      <c r="C224" s="13"/>
      <c r="D224" s="13"/>
      <c r="E224" s="13"/>
      <c r="F224" s="13"/>
      <c r="G224" s="11"/>
      <c r="H224" s="11"/>
      <c r="I224" s="11"/>
      <c r="J224" s="11"/>
      <c r="K224" s="11"/>
      <c r="L224" s="13"/>
      <c r="M224" s="13"/>
    </row>
    <row r="225" spans="1:13" s="14" customFormat="1" ht="12.75" hidden="1">
      <c r="A225" s="6" t="s">
        <v>238</v>
      </c>
      <c r="B225" s="13"/>
      <c r="C225" s="13"/>
      <c r="D225" s="13"/>
      <c r="E225" s="13"/>
      <c r="F225" s="13"/>
      <c r="G225" s="11"/>
      <c r="H225" s="11"/>
      <c r="I225" s="11"/>
      <c r="J225" s="11"/>
      <c r="K225" s="11"/>
      <c r="L225" s="16"/>
      <c r="M225" s="16"/>
    </row>
    <row r="226" spans="1:13" s="14" customFormat="1" ht="12.75" hidden="1">
      <c r="A226" s="6" t="s">
        <v>239</v>
      </c>
      <c r="B226" s="13"/>
      <c r="C226" s="13"/>
      <c r="D226" s="13"/>
      <c r="E226" s="13"/>
      <c r="F226" s="13"/>
      <c r="G226" s="11"/>
      <c r="H226" s="11"/>
      <c r="I226" s="11"/>
      <c r="J226" s="11"/>
      <c r="K226" s="11"/>
      <c r="L226" s="16"/>
      <c r="M226" s="16"/>
    </row>
    <row r="227" spans="1:13" s="14" customFormat="1" ht="12.75" hidden="1">
      <c r="A227" s="6" t="s">
        <v>240</v>
      </c>
      <c r="B227" s="13"/>
      <c r="C227" s="13"/>
      <c r="D227" s="13"/>
      <c r="E227" s="13"/>
      <c r="F227" s="13"/>
      <c r="G227" s="11"/>
      <c r="H227" s="11"/>
      <c r="I227" s="11"/>
      <c r="J227" s="11"/>
      <c r="K227" s="11"/>
      <c r="L227" s="16"/>
      <c r="M227" s="16"/>
    </row>
    <row r="228" spans="1:13" s="14" customFormat="1" ht="12.75" hidden="1">
      <c r="A228" s="6" t="s">
        <v>241</v>
      </c>
      <c r="B228" s="13"/>
      <c r="C228" s="13"/>
      <c r="D228" s="13"/>
      <c r="E228" s="13"/>
      <c r="F228" s="13"/>
      <c r="G228" s="11"/>
      <c r="H228" s="11"/>
      <c r="I228" s="11"/>
      <c r="J228" s="11"/>
      <c r="K228" s="11"/>
      <c r="L228" s="16"/>
      <c r="M228" s="16"/>
    </row>
    <row r="229" spans="1:13" s="1" customFormat="1" ht="12.75" hidden="1">
      <c r="A229" s="2" t="s">
        <v>242</v>
      </c>
      <c r="B229" s="2"/>
      <c r="C229" s="2"/>
      <c r="D229" s="2"/>
      <c r="E229" s="2"/>
      <c r="F229" s="3"/>
      <c r="G229" s="4">
        <f>SUM(G230:G239)</f>
        <v>0</v>
      </c>
      <c r="H229" s="4">
        <f>SUM(H230:H239)</f>
        <v>0</v>
      </c>
      <c r="I229" s="4">
        <f>SUM(I230:I239)</f>
        <v>0</v>
      </c>
      <c r="J229" s="4"/>
      <c r="K229" s="4"/>
      <c r="L229" s="13"/>
      <c r="M229" s="13"/>
    </row>
    <row r="230" spans="1:13" s="1" customFormat="1" ht="12.75" hidden="1">
      <c r="A230" s="6" t="s">
        <v>232</v>
      </c>
      <c r="B230" s="13"/>
      <c r="C230" s="13"/>
      <c r="D230" s="13"/>
      <c r="E230" s="13"/>
      <c r="F230" s="13"/>
      <c r="G230" s="11"/>
      <c r="H230" s="11"/>
      <c r="I230" s="11"/>
      <c r="J230" s="11"/>
      <c r="K230" s="11"/>
      <c r="L230" s="13"/>
      <c r="M230" s="13"/>
    </row>
    <row r="231" spans="1:13" s="1" customFormat="1" ht="12.75" hidden="1">
      <c r="A231" s="6" t="s">
        <v>233</v>
      </c>
      <c r="B231" s="13"/>
      <c r="C231" s="13"/>
      <c r="D231" s="13"/>
      <c r="E231" s="13"/>
      <c r="F231" s="13"/>
      <c r="G231" s="11"/>
      <c r="H231" s="11"/>
      <c r="I231" s="11"/>
      <c r="J231" s="11"/>
      <c r="K231" s="11"/>
      <c r="L231" s="13"/>
      <c r="M231" s="13"/>
    </row>
    <row r="232" spans="1:13" s="1" customFormat="1" ht="12.75" hidden="1">
      <c r="A232" s="6" t="s">
        <v>234</v>
      </c>
      <c r="B232" s="13"/>
      <c r="C232" s="13"/>
      <c r="D232" s="13"/>
      <c r="E232" s="13"/>
      <c r="F232" s="13"/>
      <c r="G232" s="11"/>
      <c r="H232" s="11"/>
      <c r="I232" s="11"/>
      <c r="J232" s="11"/>
      <c r="K232" s="11"/>
      <c r="L232" s="13"/>
      <c r="M232" s="13"/>
    </row>
    <row r="233" spans="1:13" s="1" customFormat="1" ht="12.75" hidden="1">
      <c r="A233" s="6" t="s">
        <v>235</v>
      </c>
      <c r="B233" s="13"/>
      <c r="C233" s="13"/>
      <c r="D233" s="13"/>
      <c r="E233" s="13"/>
      <c r="F233" s="13"/>
      <c r="G233" s="11"/>
      <c r="H233" s="11"/>
      <c r="I233" s="11"/>
      <c r="J233" s="11"/>
      <c r="K233" s="11"/>
      <c r="L233" s="13"/>
      <c r="M233" s="13"/>
    </row>
    <row r="234" spans="1:13" s="1" customFormat="1" ht="12.75" hidden="1">
      <c r="A234" s="6" t="s">
        <v>236</v>
      </c>
      <c r="B234" s="13"/>
      <c r="C234" s="13"/>
      <c r="D234" s="13"/>
      <c r="E234" s="13"/>
      <c r="F234" s="13"/>
      <c r="G234" s="11"/>
      <c r="H234" s="11"/>
      <c r="I234" s="11"/>
      <c r="J234" s="11"/>
      <c r="K234" s="11"/>
      <c r="L234" s="13"/>
      <c r="M234" s="13"/>
    </row>
    <row r="235" spans="1:13" s="1" customFormat="1" ht="12.75" hidden="1">
      <c r="A235" s="6" t="s">
        <v>237</v>
      </c>
      <c r="B235" s="13"/>
      <c r="C235" s="13"/>
      <c r="D235" s="13"/>
      <c r="E235" s="13"/>
      <c r="F235" s="13"/>
      <c r="G235" s="11"/>
      <c r="H235" s="11"/>
      <c r="I235" s="11"/>
      <c r="J235" s="11"/>
      <c r="K235" s="11"/>
      <c r="L235" s="13"/>
      <c r="M235" s="13"/>
    </row>
    <row r="236" spans="1:13" s="14" customFormat="1" ht="12.75" hidden="1">
      <c r="A236" s="6" t="s">
        <v>238</v>
      </c>
      <c r="B236" s="13"/>
      <c r="C236" s="13"/>
      <c r="D236" s="13"/>
      <c r="E236" s="13"/>
      <c r="F236" s="13"/>
      <c r="G236" s="11"/>
      <c r="H236" s="11"/>
      <c r="I236" s="11"/>
      <c r="J236" s="11"/>
      <c r="K236" s="11"/>
      <c r="L236" s="16"/>
      <c r="M236" s="16"/>
    </row>
    <row r="237" spans="1:13" s="14" customFormat="1" ht="12.75" hidden="1">
      <c r="A237" s="6" t="s">
        <v>239</v>
      </c>
      <c r="B237" s="13"/>
      <c r="C237" s="13"/>
      <c r="D237" s="13"/>
      <c r="E237" s="13"/>
      <c r="F237" s="13"/>
      <c r="G237" s="11"/>
      <c r="H237" s="11"/>
      <c r="I237" s="11"/>
      <c r="J237" s="11"/>
      <c r="K237" s="11"/>
      <c r="L237" s="16"/>
      <c r="M237" s="16"/>
    </row>
    <row r="238" spans="1:13" s="14" customFormat="1" ht="12.75" hidden="1">
      <c r="A238" s="6" t="s">
        <v>240</v>
      </c>
      <c r="B238" s="13"/>
      <c r="C238" s="13"/>
      <c r="D238" s="13"/>
      <c r="E238" s="13"/>
      <c r="F238" s="13"/>
      <c r="G238" s="11"/>
      <c r="H238" s="11"/>
      <c r="I238" s="11"/>
      <c r="J238" s="11"/>
      <c r="K238" s="11"/>
      <c r="L238" s="16"/>
      <c r="M238" s="16"/>
    </row>
    <row r="239" spans="1:13" s="14" customFormat="1" ht="12.75" hidden="1">
      <c r="A239" s="6" t="s">
        <v>241</v>
      </c>
      <c r="B239" s="13"/>
      <c r="C239" s="13"/>
      <c r="D239" s="13"/>
      <c r="E239" s="13"/>
      <c r="F239" s="13"/>
      <c r="G239" s="11"/>
      <c r="H239" s="11"/>
      <c r="I239" s="11"/>
      <c r="J239" s="11"/>
      <c r="K239" s="11"/>
      <c r="L239" s="16"/>
      <c r="M239" s="16"/>
    </row>
    <row r="240" spans="1:13" s="14" customFormat="1" ht="12.75" hidden="1">
      <c r="A240" s="2" t="s">
        <v>242</v>
      </c>
      <c r="B240" s="2"/>
      <c r="C240" s="2"/>
      <c r="D240" s="2"/>
      <c r="E240" s="2"/>
      <c r="F240" s="3"/>
      <c r="G240" s="4">
        <f>SUM(G241:G250)</f>
        <v>0</v>
      </c>
      <c r="H240" s="4">
        <f>SUM(H241:H250)</f>
        <v>0</v>
      </c>
      <c r="I240" s="4">
        <f>SUM(I241:I250)</f>
        <v>0</v>
      </c>
      <c r="J240" s="4"/>
      <c r="K240" s="4"/>
      <c r="L240" s="16"/>
      <c r="M240" s="16"/>
    </row>
    <row r="241" spans="1:13" s="14" customFormat="1" ht="12.75" hidden="1">
      <c r="A241" s="6" t="s">
        <v>232</v>
      </c>
      <c r="B241" s="13"/>
      <c r="C241" s="13"/>
      <c r="D241" s="13"/>
      <c r="E241" s="13"/>
      <c r="F241" s="13"/>
      <c r="G241" s="11"/>
      <c r="H241" s="11"/>
      <c r="I241" s="11"/>
      <c r="J241" s="11"/>
      <c r="K241" s="11"/>
      <c r="L241" s="16"/>
      <c r="M241" s="16"/>
    </row>
    <row r="242" spans="1:13" s="14" customFormat="1" ht="12.75" hidden="1">
      <c r="A242" s="6" t="s">
        <v>233</v>
      </c>
      <c r="B242" s="13"/>
      <c r="C242" s="13"/>
      <c r="D242" s="13"/>
      <c r="E242" s="13"/>
      <c r="F242" s="13"/>
      <c r="G242" s="11"/>
      <c r="H242" s="11"/>
      <c r="I242" s="11"/>
      <c r="J242" s="11"/>
      <c r="K242" s="11"/>
      <c r="L242" s="16"/>
      <c r="M242" s="16"/>
    </row>
    <row r="243" spans="1:13" s="14" customFormat="1" ht="12.75" hidden="1">
      <c r="A243" s="6" t="s">
        <v>234</v>
      </c>
      <c r="B243" s="13"/>
      <c r="C243" s="13"/>
      <c r="D243" s="13"/>
      <c r="E243" s="13"/>
      <c r="F243" s="13"/>
      <c r="G243" s="11"/>
      <c r="H243" s="11"/>
      <c r="I243" s="11"/>
      <c r="J243" s="11"/>
      <c r="K243" s="11"/>
      <c r="L243" s="16"/>
      <c r="M243" s="16"/>
    </row>
    <row r="244" spans="1:13" s="14" customFormat="1" ht="12.75" hidden="1">
      <c r="A244" s="6" t="s">
        <v>235</v>
      </c>
      <c r="B244" s="13"/>
      <c r="C244" s="13"/>
      <c r="D244" s="13"/>
      <c r="E244" s="13"/>
      <c r="F244" s="13"/>
      <c r="G244" s="11"/>
      <c r="H244" s="11"/>
      <c r="I244" s="11"/>
      <c r="J244" s="11"/>
      <c r="K244" s="11"/>
      <c r="L244" s="16"/>
      <c r="M244" s="16"/>
    </row>
    <row r="245" spans="1:13" s="14" customFormat="1" ht="12.75" hidden="1">
      <c r="A245" s="6" t="s">
        <v>236</v>
      </c>
      <c r="B245" s="13"/>
      <c r="C245" s="13"/>
      <c r="D245" s="13"/>
      <c r="E245" s="13"/>
      <c r="F245" s="13"/>
      <c r="G245" s="11"/>
      <c r="H245" s="11"/>
      <c r="I245" s="11"/>
      <c r="J245" s="11"/>
      <c r="K245" s="11"/>
      <c r="L245" s="16"/>
      <c r="M245" s="16"/>
    </row>
    <row r="246" spans="1:13" s="14" customFormat="1" ht="12.75" hidden="1">
      <c r="A246" s="6" t="s">
        <v>237</v>
      </c>
      <c r="B246" s="13"/>
      <c r="C246" s="13"/>
      <c r="D246" s="13"/>
      <c r="E246" s="13"/>
      <c r="F246" s="13"/>
      <c r="G246" s="11"/>
      <c r="H246" s="11"/>
      <c r="I246" s="11"/>
      <c r="J246" s="11"/>
      <c r="K246" s="11"/>
      <c r="L246" s="16"/>
      <c r="M246" s="16"/>
    </row>
    <row r="247" spans="1:13" s="1" customFormat="1" ht="12.75" hidden="1">
      <c r="A247" s="6" t="s">
        <v>238</v>
      </c>
      <c r="B247" s="13"/>
      <c r="C247" s="13"/>
      <c r="D247" s="13"/>
      <c r="E247" s="13"/>
      <c r="F247" s="13"/>
      <c r="G247" s="11"/>
      <c r="H247" s="11"/>
      <c r="I247" s="11"/>
      <c r="J247" s="11"/>
      <c r="K247" s="11"/>
      <c r="L247" s="13"/>
      <c r="M247" s="13"/>
    </row>
    <row r="248" spans="1:13" s="1" customFormat="1" ht="12.75" hidden="1">
      <c r="A248" s="6" t="s">
        <v>239</v>
      </c>
      <c r="B248" s="13"/>
      <c r="C248" s="13"/>
      <c r="D248" s="13"/>
      <c r="E248" s="13"/>
      <c r="F248" s="13"/>
      <c r="G248" s="11"/>
      <c r="H248" s="11"/>
      <c r="I248" s="11"/>
      <c r="J248" s="11"/>
      <c r="K248" s="11"/>
      <c r="L248" s="13"/>
      <c r="M248" s="13"/>
    </row>
    <row r="249" spans="1:13" s="1" customFormat="1" ht="12.75" hidden="1">
      <c r="A249" s="6" t="s">
        <v>240</v>
      </c>
      <c r="B249" s="13"/>
      <c r="C249" s="13"/>
      <c r="D249" s="13"/>
      <c r="E249" s="13"/>
      <c r="F249" s="13"/>
      <c r="G249" s="11"/>
      <c r="H249" s="11"/>
      <c r="I249" s="11"/>
      <c r="J249" s="11"/>
      <c r="K249" s="11"/>
      <c r="L249" s="13"/>
      <c r="M249" s="13"/>
    </row>
    <row r="250" spans="1:13" s="1" customFormat="1" ht="12.75" hidden="1">
      <c r="A250" s="6" t="s">
        <v>241</v>
      </c>
      <c r="B250" s="13"/>
      <c r="C250" s="13"/>
      <c r="D250" s="13"/>
      <c r="E250" s="13"/>
      <c r="F250" s="13"/>
      <c r="G250" s="11"/>
      <c r="H250" s="11"/>
      <c r="I250" s="11"/>
      <c r="J250" s="11"/>
      <c r="K250" s="11"/>
      <c r="L250" s="13"/>
      <c r="M250" s="13"/>
    </row>
    <row r="251" spans="1:13" s="1" customFormat="1" ht="12.75" hidden="1">
      <c r="A251" s="2" t="s">
        <v>242</v>
      </c>
      <c r="B251" s="2"/>
      <c r="C251" s="2"/>
      <c r="D251" s="2"/>
      <c r="E251" s="2"/>
      <c r="F251" s="15"/>
      <c r="G251" s="4">
        <f>SUM(G252:G261)</f>
        <v>0</v>
      </c>
      <c r="H251" s="4">
        <f>SUM(H252:H261)</f>
        <v>0</v>
      </c>
      <c r="I251" s="4">
        <f>SUM(I252:I261)</f>
        <v>0</v>
      </c>
      <c r="J251" s="4"/>
      <c r="K251" s="4"/>
      <c r="L251" s="13"/>
      <c r="M251" s="13"/>
    </row>
    <row r="252" spans="1:13" s="1" customFormat="1" ht="12.75" hidden="1">
      <c r="A252" s="6" t="s">
        <v>232</v>
      </c>
      <c r="B252" s="16"/>
      <c r="C252" s="16"/>
      <c r="D252" s="16"/>
      <c r="E252" s="16"/>
      <c r="F252" s="16"/>
      <c r="G252" s="11"/>
      <c r="H252" s="11"/>
      <c r="I252" s="11"/>
      <c r="J252" s="11"/>
      <c r="K252" s="11"/>
      <c r="L252" s="13"/>
      <c r="M252" s="13"/>
    </row>
    <row r="253" spans="1:13" s="1" customFormat="1" ht="12.75" hidden="1">
      <c r="A253" s="6" t="s">
        <v>233</v>
      </c>
      <c r="B253" s="16"/>
      <c r="C253" s="16"/>
      <c r="D253" s="16"/>
      <c r="E253" s="16"/>
      <c r="F253" s="16"/>
      <c r="G253" s="11"/>
      <c r="H253" s="11"/>
      <c r="I253" s="11"/>
      <c r="J253" s="11"/>
      <c r="K253" s="11"/>
      <c r="L253" s="13"/>
      <c r="M253" s="13"/>
    </row>
    <row r="254" spans="1:13" s="1" customFormat="1" ht="12.75" hidden="1">
      <c r="A254" s="6" t="s">
        <v>234</v>
      </c>
      <c r="B254" s="16"/>
      <c r="C254" s="16"/>
      <c r="D254" s="16"/>
      <c r="E254" s="16"/>
      <c r="F254" s="16"/>
      <c r="G254" s="11"/>
      <c r="H254" s="11"/>
      <c r="I254" s="11"/>
      <c r="J254" s="11"/>
      <c r="K254" s="11"/>
      <c r="L254" s="13"/>
      <c r="M254" s="13"/>
    </row>
    <row r="255" spans="1:13" s="1" customFormat="1" ht="12.75" hidden="1">
      <c r="A255" s="6" t="s">
        <v>235</v>
      </c>
      <c r="B255" s="16"/>
      <c r="C255" s="16"/>
      <c r="D255" s="16"/>
      <c r="E255" s="16"/>
      <c r="F255" s="16"/>
      <c r="G255" s="11"/>
      <c r="H255" s="11"/>
      <c r="I255" s="11"/>
      <c r="J255" s="11"/>
      <c r="K255" s="11"/>
      <c r="L255" s="13"/>
      <c r="M255" s="13"/>
    </row>
    <row r="256" spans="1:13" s="1" customFormat="1" ht="12.75" hidden="1">
      <c r="A256" s="6" t="s">
        <v>236</v>
      </c>
      <c r="B256" s="16"/>
      <c r="C256" s="16"/>
      <c r="D256" s="16"/>
      <c r="E256" s="16"/>
      <c r="F256" s="16"/>
      <c r="G256" s="11"/>
      <c r="H256" s="11"/>
      <c r="I256" s="11"/>
      <c r="J256" s="11"/>
      <c r="K256" s="11"/>
      <c r="L256" s="13"/>
      <c r="M256" s="13"/>
    </row>
    <row r="257" spans="1:13" s="1" customFormat="1" ht="12.75" hidden="1">
      <c r="A257" s="6" t="s">
        <v>237</v>
      </c>
      <c r="B257" s="16"/>
      <c r="C257" s="16"/>
      <c r="D257" s="16"/>
      <c r="E257" s="16"/>
      <c r="F257" s="16"/>
      <c r="G257" s="11"/>
      <c r="H257" s="11"/>
      <c r="I257" s="11"/>
      <c r="J257" s="11"/>
      <c r="K257" s="11"/>
      <c r="L257" s="13"/>
      <c r="M257" s="13"/>
    </row>
    <row r="258" spans="1:13" s="1" customFormat="1" ht="12.75" hidden="1">
      <c r="A258" s="6" t="s">
        <v>238</v>
      </c>
      <c r="B258" s="16"/>
      <c r="C258" s="16"/>
      <c r="D258" s="16"/>
      <c r="E258" s="16"/>
      <c r="F258" s="16"/>
      <c r="G258" s="11"/>
      <c r="H258" s="11"/>
      <c r="I258" s="11"/>
      <c r="J258" s="11"/>
      <c r="K258" s="11"/>
      <c r="L258" s="13"/>
      <c r="M258" s="13"/>
    </row>
    <row r="259" spans="1:13" s="1" customFormat="1" ht="12.75" hidden="1">
      <c r="A259" s="6" t="s">
        <v>239</v>
      </c>
      <c r="B259" s="16"/>
      <c r="C259" s="16"/>
      <c r="D259" s="16"/>
      <c r="E259" s="16"/>
      <c r="F259" s="16"/>
      <c r="G259" s="11"/>
      <c r="H259" s="11"/>
      <c r="I259" s="11"/>
      <c r="J259" s="11"/>
      <c r="K259" s="11"/>
      <c r="L259" s="13"/>
      <c r="M259" s="13"/>
    </row>
    <row r="260" spans="1:13" s="1" customFormat="1" ht="12.75" hidden="1">
      <c r="A260" s="6" t="s">
        <v>240</v>
      </c>
      <c r="B260" s="16"/>
      <c r="C260" s="16"/>
      <c r="D260" s="16"/>
      <c r="E260" s="16"/>
      <c r="F260" s="16"/>
      <c r="G260" s="11"/>
      <c r="H260" s="11"/>
      <c r="I260" s="11"/>
      <c r="J260" s="11"/>
      <c r="K260" s="11"/>
      <c r="L260" s="13"/>
      <c r="M260" s="13"/>
    </row>
    <row r="261" spans="1:13" s="1" customFormat="1" ht="12.75" hidden="1">
      <c r="A261" s="6" t="s">
        <v>241</v>
      </c>
      <c r="B261" s="16"/>
      <c r="C261" s="16"/>
      <c r="D261" s="16"/>
      <c r="E261" s="16"/>
      <c r="F261" s="16"/>
      <c r="G261" s="11"/>
      <c r="H261" s="11"/>
      <c r="I261" s="11"/>
      <c r="J261" s="11"/>
      <c r="K261" s="11"/>
      <c r="L261" s="13"/>
      <c r="M261" s="13"/>
    </row>
    <row r="262" spans="1:13" s="1" customFormat="1" ht="12.75" hidden="1">
      <c r="A262" s="2" t="s">
        <v>242</v>
      </c>
      <c r="B262" s="2"/>
      <c r="C262" s="2"/>
      <c r="D262" s="2"/>
      <c r="E262" s="2"/>
      <c r="F262" s="15"/>
      <c r="G262" s="4">
        <f>SUM(G263:G272)</f>
        <v>0</v>
      </c>
      <c r="H262" s="4">
        <f>SUM(H263:H272)</f>
        <v>0</v>
      </c>
      <c r="I262" s="4">
        <f>SUM(I263:I272)</f>
        <v>0</v>
      </c>
      <c r="J262" s="4"/>
      <c r="K262" s="4"/>
      <c r="L262" s="13"/>
      <c r="M262" s="13"/>
    </row>
    <row r="263" spans="1:13" s="1" customFormat="1" ht="12.75" hidden="1">
      <c r="A263" s="6" t="s">
        <v>232</v>
      </c>
      <c r="B263" s="16"/>
      <c r="C263" s="16"/>
      <c r="D263" s="16"/>
      <c r="E263" s="16"/>
      <c r="F263" s="16"/>
      <c r="G263" s="11"/>
      <c r="H263" s="11"/>
      <c r="I263" s="11"/>
      <c r="J263" s="11"/>
      <c r="K263" s="11"/>
      <c r="L263" s="13"/>
      <c r="M263" s="13"/>
    </row>
    <row r="264" spans="1:13" s="1" customFormat="1" ht="12.75" hidden="1">
      <c r="A264" s="6" t="s">
        <v>233</v>
      </c>
      <c r="B264" s="16"/>
      <c r="C264" s="16"/>
      <c r="D264" s="16"/>
      <c r="E264" s="16"/>
      <c r="F264" s="16"/>
      <c r="G264" s="11"/>
      <c r="H264" s="11"/>
      <c r="I264" s="11"/>
      <c r="J264" s="11"/>
      <c r="K264" s="11"/>
      <c r="L264" s="13"/>
      <c r="M264" s="13"/>
    </row>
    <row r="265" spans="1:13" s="1" customFormat="1" ht="12.75" hidden="1">
      <c r="A265" s="6" t="s">
        <v>234</v>
      </c>
      <c r="B265" s="16"/>
      <c r="C265" s="16"/>
      <c r="D265" s="16"/>
      <c r="E265" s="16"/>
      <c r="F265" s="16"/>
      <c r="G265" s="11"/>
      <c r="H265" s="11"/>
      <c r="I265" s="11"/>
      <c r="J265" s="11"/>
      <c r="K265" s="11"/>
      <c r="L265" s="13"/>
      <c r="M265" s="13"/>
    </row>
    <row r="266" spans="1:13" s="1" customFormat="1" ht="12.75" hidden="1">
      <c r="A266" s="6" t="s">
        <v>235</v>
      </c>
      <c r="B266" s="16"/>
      <c r="C266" s="16"/>
      <c r="D266" s="16"/>
      <c r="E266" s="16"/>
      <c r="F266" s="16"/>
      <c r="G266" s="11"/>
      <c r="H266" s="11"/>
      <c r="I266" s="11"/>
      <c r="J266" s="11"/>
      <c r="K266" s="11"/>
      <c r="L266" s="13"/>
      <c r="M266" s="13"/>
    </row>
    <row r="267" spans="1:13" s="1" customFormat="1" ht="12.75" hidden="1">
      <c r="A267" s="6" t="s">
        <v>236</v>
      </c>
      <c r="B267" s="16"/>
      <c r="C267" s="16"/>
      <c r="D267" s="16"/>
      <c r="E267" s="16"/>
      <c r="F267" s="16"/>
      <c r="G267" s="11"/>
      <c r="H267" s="11"/>
      <c r="I267" s="11"/>
      <c r="J267" s="11"/>
      <c r="K267" s="11"/>
      <c r="L267" s="13"/>
      <c r="M267" s="13"/>
    </row>
    <row r="268" spans="1:13" s="1" customFormat="1" ht="12.75" hidden="1">
      <c r="A268" s="6" t="s">
        <v>237</v>
      </c>
      <c r="B268" s="16"/>
      <c r="C268" s="16"/>
      <c r="D268" s="16"/>
      <c r="E268" s="16"/>
      <c r="F268" s="16"/>
      <c r="G268" s="11"/>
      <c r="H268" s="11"/>
      <c r="I268" s="11"/>
      <c r="J268" s="11"/>
      <c r="K268" s="11"/>
      <c r="L268" s="13"/>
      <c r="M268" s="13"/>
    </row>
    <row r="269" spans="1:13" s="1" customFormat="1" ht="12.75" hidden="1">
      <c r="A269" s="6" t="s">
        <v>238</v>
      </c>
      <c r="B269" s="16"/>
      <c r="C269" s="16"/>
      <c r="D269" s="16"/>
      <c r="E269" s="16"/>
      <c r="F269" s="16"/>
      <c r="G269" s="11"/>
      <c r="H269" s="11"/>
      <c r="I269" s="11"/>
      <c r="J269" s="11"/>
      <c r="K269" s="11"/>
      <c r="L269" s="13"/>
      <c r="M269" s="13"/>
    </row>
    <row r="270" spans="1:13" s="1" customFormat="1" ht="12.75" hidden="1">
      <c r="A270" s="6" t="s">
        <v>239</v>
      </c>
      <c r="B270" s="16"/>
      <c r="C270" s="16"/>
      <c r="D270" s="16"/>
      <c r="E270" s="16"/>
      <c r="F270" s="16"/>
      <c r="G270" s="11"/>
      <c r="H270" s="11"/>
      <c r="I270" s="11"/>
      <c r="J270" s="11"/>
      <c r="K270" s="11"/>
      <c r="L270" s="13"/>
      <c r="M270" s="13"/>
    </row>
    <row r="271" spans="1:13" s="1" customFormat="1" ht="12.75" hidden="1">
      <c r="A271" s="6" t="s">
        <v>240</v>
      </c>
      <c r="B271" s="16"/>
      <c r="C271" s="16"/>
      <c r="D271" s="16"/>
      <c r="E271" s="16"/>
      <c r="F271" s="16"/>
      <c r="G271" s="11"/>
      <c r="H271" s="11"/>
      <c r="I271" s="11"/>
      <c r="J271" s="11"/>
      <c r="K271" s="11"/>
      <c r="L271" s="13"/>
      <c r="M271" s="13"/>
    </row>
    <row r="272" spans="1:13" s="1" customFormat="1" ht="12.75" hidden="1">
      <c r="A272" s="6" t="s">
        <v>241</v>
      </c>
      <c r="B272" s="16"/>
      <c r="C272" s="16"/>
      <c r="D272" s="16"/>
      <c r="E272" s="16"/>
      <c r="F272" s="16"/>
      <c r="G272" s="11"/>
      <c r="H272" s="11"/>
      <c r="I272" s="11"/>
      <c r="J272" s="11"/>
      <c r="K272" s="11"/>
      <c r="L272" s="13"/>
      <c r="M272" s="13"/>
    </row>
    <row r="273" spans="1:13" s="14" customFormat="1" ht="12.75" hidden="1">
      <c r="A273" s="2" t="s">
        <v>242</v>
      </c>
      <c r="B273" s="2"/>
      <c r="C273" s="2"/>
      <c r="D273" s="2"/>
      <c r="E273" s="2"/>
      <c r="F273" s="3"/>
      <c r="G273" s="4">
        <f>SUM(G274:G283)</f>
        <v>0</v>
      </c>
      <c r="H273" s="4">
        <f>SUM(H274:H283)</f>
        <v>0</v>
      </c>
      <c r="I273" s="4">
        <f>SUM(I274:I283)</f>
        <v>0</v>
      </c>
      <c r="J273" s="4"/>
      <c r="K273" s="4"/>
      <c r="L273" s="16"/>
      <c r="M273" s="16"/>
    </row>
    <row r="274" spans="1:13" s="14" customFormat="1" ht="12.75" hidden="1">
      <c r="A274" s="6" t="s">
        <v>232</v>
      </c>
      <c r="B274" s="13"/>
      <c r="C274" s="13"/>
      <c r="D274" s="13"/>
      <c r="E274" s="13"/>
      <c r="F274" s="13"/>
      <c r="G274" s="11"/>
      <c r="H274" s="11"/>
      <c r="I274" s="11"/>
      <c r="J274" s="11"/>
      <c r="K274" s="11"/>
      <c r="L274" s="16"/>
      <c r="M274" s="16"/>
    </row>
    <row r="275" spans="1:13" s="14" customFormat="1" ht="12.75" hidden="1">
      <c r="A275" s="6" t="s">
        <v>233</v>
      </c>
      <c r="B275" s="13"/>
      <c r="C275" s="13"/>
      <c r="D275" s="13"/>
      <c r="E275" s="13"/>
      <c r="F275" s="13"/>
      <c r="G275" s="11"/>
      <c r="H275" s="11"/>
      <c r="I275" s="11"/>
      <c r="J275" s="11"/>
      <c r="K275" s="11"/>
      <c r="L275" s="16"/>
      <c r="M275" s="16"/>
    </row>
    <row r="276" spans="1:13" s="14" customFormat="1" ht="12.75" hidden="1">
      <c r="A276" s="6" t="s">
        <v>234</v>
      </c>
      <c r="B276" s="13"/>
      <c r="C276" s="13"/>
      <c r="D276" s="13"/>
      <c r="E276" s="13"/>
      <c r="F276" s="13"/>
      <c r="G276" s="11"/>
      <c r="H276" s="11"/>
      <c r="I276" s="11"/>
      <c r="J276" s="11"/>
      <c r="K276" s="11"/>
      <c r="L276" s="16"/>
      <c r="M276" s="16"/>
    </row>
    <row r="277" spans="1:13" s="14" customFormat="1" ht="12.75" hidden="1">
      <c r="A277" s="6" t="s">
        <v>235</v>
      </c>
      <c r="B277" s="13"/>
      <c r="C277" s="13"/>
      <c r="D277" s="13"/>
      <c r="E277" s="13"/>
      <c r="F277" s="13"/>
      <c r="G277" s="11"/>
      <c r="H277" s="11"/>
      <c r="I277" s="11"/>
      <c r="J277" s="11"/>
      <c r="K277" s="11"/>
      <c r="L277" s="16"/>
      <c r="M277" s="16"/>
    </row>
    <row r="278" spans="1:13" s="14" customFormat="1" ht="12.75" hidden="1">
      <c r="A278" s="6" t="s">
        <v>236</v>
      </c>
      <c r="B278" s="13"/>
      <c r="C278" s="13"/>
      <c r="D278" s="13"/>
      <c r="E278" s="13"/>
      <c r="F278" s="13"/>
      <c r="G278" s="11"/>
      <c r="H278" s="11"/>
      <c r="I278" s="11"/>
      <c r="J278" s="11"/>
      <c r="K278" s="11"/>
      <c r="L278" s="16"/>
      <c r="M278" s="16"/>
    </row>
    <row r="279" spans="1:13" s="14" customFormat="1" ht="12.75" hidden="1">
      <c r="A279" s="6" t="s">
        <v>237</v>
      </c>
      <c r="B279" s="13"/>
      <c r="C279" s="13"/>
      <c r="D279" s="13"/>
      <c r="E279" s="13"/>
      <c r="F279" s="13"/>
      <c r="G279" s="11"/>
      <c r="H279" s="11"/>
      <c r="I279" s="11"/>
      <c r="J279" s="11"/>
      <c r="K279" s="11"/>
      <c r="L279" s="16"/>
      <c r="M279" s="16"/>
    </row>
    <row r="280" spans="1:13" s="14" customFormat="1" ht="12.75" hidden="1">
      <c r="A280" s="6" t="s">
        <v>238</v>
      </c>
      <c r="B280" s="13"/>
      <c r="C280" s="13"/>
      <c r="D280" s="13"/>
      <c r="E280" s="13"/>
      <c r="F280" s="13"/>
      <c r="G280" s="11"/>
      <c r="H280" s="11"/>
      <c r="I280" s="11"/>
      <c r="J280" s="11"/>
      <c r="K280" s="11"/>
      <c r="L280" s="16"/>
      <c r="M280" s="16"/>
    </row>
    <row r="281" spans="1:13" s="1" customFormat="1" ht="12.75" hidden="1">
      <c r="A281" s="6" t="s">
        <v>239</v>
      </c>
      <c r="B281" s="13"/>
      <c r="C281" s="13"/>
      <c r="D281" s="13"/>
      <c r="E281" s="13"/>
      <c r="F281" s="13"/>
      <c r="G281" s="11"/>
      <c r="H281" s="11"/>
      <c r="I281" s="11"/>
      <c r="J281" s="11"/>
      <c r="K281" s="11"/>
      <c r="L281" s="13"/>
      <c r="M281" s="13"/>
    </row>
    <row r="282" spans="1:13" s="1" customFormat="1" ht="12.75" hidden="1">
      <c r="A282" s="6" t="s">
        <v>240</v>
      </c>
      <c r="B282" s="13"/>
      <c r="C282" s="13"/>
      <c r="D282" s="13"/>
      <c r="E282" s="13"/>
      <c r="F282" s="13"/>
      <c r="G282" s="11"/>
      <c r="H282" s="11"/>
      <c r="I282" s="11"/>
      <c r="J282" s="11"/>
      <c r="K282" s="11"/>
      <c r="L282" s="13"/>
      <c r="M282" s="13"/>
    </row>
    <row r="283" spans="1:13" s="1" customFormat="1" ht="12.75" hidden="1">
      <c r="A283" s="6" t="s">
        <v>241</v>
      </c>
      <c r="B283" s="13"/>
      <c r="C283" s="13"/>
      <c r="D283" s="13"/>
      <c r="E283" s="13"/>
      <c r="F283" s="13"/>
      <c r="G283" s="11"/>
      <c r="H283" s="11"/>
      <c r="I283" s="11"/>
      <c r="J283" s="11"/>
      <c r="K283" s="11"/>
      <c r="L283" s="13"/>
      <c r="M283" s="13"/>
    </row>
    <row r="284" spans="1:13" s="14" customFormat="1" ht="12.75" hidden="1">
      <c r="A284" s="2" t="s">
        <v>242</v>
      </c>
      <c r="B284" s="2"/>
      <c r="C284" s="2"/>
      <c r="D284" s="2"/>
      <c r="E284" s="2"/>
      <c r="F284" s="3"/>
      <c r="G284" s="4">
        <f>SUM(G285:G294)</f>
        <v>0</v>
      </c>
      <c r="H284" s="4">
        <f>SUM(H285:H294)</f>
        <v>0</v>
      </c>
      <c r="I284" s="4">
        <f>SUM(I285:I294)</f>
        <v>0</v>
      </c>
      <c r="J284" s="4"/>
      <c r="K284" s="4"/>
      <c r="L284" s="16"/>
      <c r="M284" s="16"/>
    </row>
    <row r="285" spans="1:13" s="14" customFormat="1" ht="12.75" hidden="1">
      <c r="A285" s="6" t="s">
        <v>232</v>
      </c>
      <c r="B285" s="13"/>
      <c r="C285" s="13"/>
      <c r="D285" s="13"/>
      <c r="E285" s="13"/>
      <c r="F285" s="13"/>
      <c r="G285" s="11"/>
      <c r="H285" s="11"/>
      <c r="I285" s="11"/>
      <c r="J285" s="11"/>
      <c r="K285" s="11"/>
      <c r="L285" s="16"/>
      <c r="M285" s="16"/>
    </row>
    <row r="286" spans="1:13" s="14" customFormat="1" ht="12.75" hidden="1">
      <c r="A286" s="6" t="s">
        <v>233</v>
      </c>
      <c r="B286" s="13"/>
      <c r="C286" s="13"/>
      <c r="D286" s="13"/>
      <c r="E286" s="13"/>
      <c r="F286" s="13"/>
      <c r="G286" s="11"/>
      <c r="H286" s="11"/>
      <c r="I286" s="11"/>
      <c r="J286" s="11"/>
      <c r="K286" s="11"/>
      <c r="L286" s="16"/>
      <c r="M286" s="16"/>
    </row>
    <row r="287" spans="1:13" s="14" customFormat="1" ht="12.75" hidden="1">
      <c r="A287" s="6" t="s">
        <v>234</v>
      </c>
      <c r="B287" s="13"/>
      <c r="C287" s="13"/>
      <c r="D287" s="13"/>
      <c r="E287" s="13"/>
      <c r="F287" s="13"/>
      <c r="G287" s="11"/>
      <c r="H287" s="11"/>
      <c r="I287" s="11"/>
      <c r="J287" s="11"/>
      <c r="K287" s="11"/>
      <c r="L287" s="16"/>
      <c r="M287" s="16"/>
    </row>
    <row r="288" spans="1:13" s="14" customFormat="1" ht="12.75" hidden="1">
      <c r="A288" s="6" t="s">
        <v>235</v>
      </c>
      <c r="B288" s="13"/>
      <c r="C288" s="13"/>
      <c r="D288" s="13"/>
      <c r="E288" s="13"/>
      <c r="F288" s="13"/>
      <c r="G288" s="11"/>
      <c r="H288" s="11"/>
      <c r="I288" s="11"/>
      <c r="J288" s="11"/>
      <c r="K288" s="11"/>
      <c r="L288" s="16"/>
      <c r="M288" s="16"/>
    </row>
    <row r="289" spans="1:13" s="14" customFormat="1" ht="12.75" hidden="1">
      <c r="A289" s="6" t="s">
        <v>236</v>
      </c>
      <c r="B289" s="13"/>
      <c r="C289" s="13"/>
      <c r="D289" s="13"/>
      <c r="E289" s="13"/>
      <c r="F289" s="13"/>
      <c r="G289" s="11"/>
      <c r="H289" s="11"/>
      <c r="I289" s="11"/>
      <c r="J289" s="11"/>
      <c r="K289" s="11"/>
      <c r="L289" s="16"/>
      <c r="M289" s="16"/>
    </row>
    <row r="290" spans="1:13" s="14" customFormat="1" ht="12.75" hidden="1">
      <c r="A290" s="6" t="s">
        <v>237</v>
      </c>
      <c r="B290" s="13"/>
      <c r="C290" s="13"/>
      <c r="D290" s="13"/>
      <c r="E290" s="13"/>
      <c r="F290" s="13"/>
      <c r="G290" s="11"/>
      <c r="H290" s="11"/>
      <c r="I290" s="11"/>
      <c r="J290" s="11"/>
      <c r="K290" s="11"/>
      <c r="L290" s="16"/>
      <c r="M290" s="16"/>
    </row>
    <row r="291" spans="1:13" s="14" customFormat="1" ht="12.75" hidden="1">
      <c r="A291" s="6" t="s">
        <v>238</v>
      </c>
      <c r="B291" s="13"/>
      <c r="C291" s="13"/>
      <c r="D291" s="13"/>
      <c r="E291" s="13"/>
      <c r="F291" s="13"/>
      <c r="G291" s="11"/>
      <c r="H291" s="11"/>
      <c r="I291" s="11"/>
      <c r="J291" s="11"/>
      <c r="K291" s="11"/>
      <c r="L291" s="16"/>
      <c r="M291" s="16"/>
    </row>
    <row r="292" spans="1:13" s="1" customFormat="1" ht="12.75" hidden="1">
      <c r="A292" s="6" t="s">
        <v>239</v>
      </c>
      <c r="B292" s="13"/>
      <c r="C292" s="13"/>
      <c r="D292" s="13"/>
      <c r="E292" s="13"/>
      <c r="F292" s="13"/>
      <c r="G292" s="11"/>
      <c r="H292" s="11"/>
      <c r="I292" s="11"/>
      <c r="J292" s="11"/>
      <c r="K292" s="11"/>
      <c r="L292" s="13"/>
      <c r="M292" s="13"/>
    </row>
    <row r="293" spans="1:13" s="1" customFormat="1" ht="12.75" hidden="1">
      <c r="A293" s="6" t="s">
        <v>240</v>
      </c>
      <c r="B293" s="13"/>
      <c r="C293" s="13"/>
      <c r="D293" s="13"/>
      <c r="E293" s="13"/>
      <c r="F293" s="13"/>
      <c r="G293" s="11"/>
      <c r="H293" s="11"/>
      <c r="I293" s="11"/>
      <c r="J293" s="11"/>
      <c r="K293" s="11"/>
      <c r="L293" s="13"/>
      <c r="M293" s="13"/>
    </row>
    <row r="294" spans="1:13" s="1" customFormat="1" ht="12.75" hidden="1">
      <c r="A294" s="6" t="s">
        <v>241</v>
      </c>
      <c r="B294" s="13"/>
      <c r="C294" s="13"/>
      <c r="D294" s="13"/>
      <c r="E294" s="13"/>
      <c r="F294" s="13"/>
      <c r="G294" s="11"/>
      <c r="H294" s="11"/>
      <c r="I294" s="11"/>
      <c r="J294" s="11"/>
      <c r="K294" s="11"/>
      <c r="L294" s="13"/>
      <c r="M294" s="13"/>
    </row>
    <row r="295" spans="1:13" s="14" customFormat="1" ht="12.75" hidden="1">
      <c r="A295" s="2" t="s">
        <v>242</v>
      </c>
      <c r="B295" s="2"/>
      <c r="C295" s="2"/>
      <c r="D295" s="2"/>
      <c r="E295" s="2"/>
      <c r="F295" s="77"/>
      <c r="G295" s="4">
        <f>SUM(G296:G305)</f>
        <v>0</v>
      </c>
      <c r="H295" s="4">
        <f>SUM(H296:H305)</f>
        <v>0</v>
      </c>
      <c r="I295" s="4">
        <f>SUM(I296:I305)</f>
        <v>0</v>
      </c>
      <c r="J295" s="4"/>
      <c r="K295" s="4"/>
      <c r="L295" s="16"/>
      <c r="M295" s="16"/>
    </row>
    <row r="296" spans="1:13" s="14" customFormat="1" ht="12.75" hidden="1">
      <c r="A296" s="6" t="s">
        <v>232</v>
      </c>
      <c r="B296" s="13"/>
      <c r="C296" s="13"/>
      <c r="D296" s="13"/>
      <c r="E296" s="13"/>
      <c r="F296" s="13"/>
      <c r="G296" s="11"/>
      <c r="H296" s="11"/>
      <c r="I296" s="11"/>
      <c r="J296" s="11"/>
      <c r="K296" s="11"/>
      <c r="L296" s="16"/>
      <c r="M296" s="16"/>
    </row>
    <row r="297" spans="1:13" s="14" customFormat="1" ht="12.75" hidden="1">
      <c r="A297" s="6" t="s">
        <v>233</v>
      </c>
      <c r="B297" s="13"/>
      <c r="C297" s="13"/>
      <c r="D297" s="13"/>
      <c r="E297" s="13"/>
      <c r="F297" s="13"/>
      <c r="G297" s="11"/>
      <c r="H297" s="11"/>
      <c r="I297" s="11"/>
      <c r="J297" s="11"/>
      <c r="K297" s="11"/>
      <c r="L297" s="16"/>
      <c r="M297" s="16"/>
    </row>
    <row r="298" spans="1:13" s="14" customFormat="1" ht="12.75" hidden="1">
      <c r="A298" s="6" t="s">
        <v>234</v>
      </c>
      <c r="B298" s="13"/>
      <c r="C298" s="13"/>
      <c r="D298" s="13"/>
      <c r="E298" s="13"/>
      <c r="F298" s="13"/>
      <c r="G298" s="11"/>
      <c r="H298" s="11"/>
      <c r="I298" s="11"/>
      <c r="J298" s="11"/>
      <c r="K298" s="11"/>
      <c r="L298" s="16"/>
      <c r="M298" s="16"/>
    </row>
    <row r="299" spans="1:13" s="14" customFormat="1" ht="12.75" hidden="1">
      <c r="A299" s="6" t="s">
        <v>235</v>
      </c>
      <c r="B299" s="13"/>
      <c r="C299" s="13"/>
      <c r="D299" s="13"/>
      <c r="E299" s="13"/>
      <c r="F299" s="13"/>
      <c r="G299" s="11"/>
      <c r="H299" s="11"/>
      <c r="I299" s="11"/>
      <c r="J299" s="11"/>
      <c r="K299" s="11"/>
      <c r="L299" s="16"/>
      <c r="M299" s="16"/>
    </row>
    <row r="300" spans="1:13" s="14" customFormat="1" ht="12.75" hidden="1">
      <c r="A300" s="6" t="s">
        <v>236</v>
      </c>
      <c r="B300" s="13"/>
      <c r="C300" s="13"/>
      <c r="D300" s="13"/>
      <c r="E300" s="13"/>
      <c r="F300" s="13"/>
      <c r="G300" s="11"/>
      <c r="H300" s="11"/>
      <c r="I300" s="11"/>
      <c r="J300" s="11"/>
      <c r="K300" s="11"/>
      <c r="L300" s="16"/>
      <c r="M300" s="16"/>
    </row>
    <row r="301" spans="1:13" s="14" customFormat="1" ht="12.75" hidden="1">
      <c r="A301" s="6" t="s">
        <v>237</v>
      </c>
      <c r="B301" s="13"/>
      <c r="C301" s="13"/>
      <c r="D301" s="13"/>
      <c r="E301" s="13"/>
      <c r="F301" s="13"/>
      <c r="G301" s="11"/>
      <c r="H301" s="11"/>
      <c r="I301" s="11"/>
      <c r="J301" s="11"/>
      <c r="K301" s="11"/>
      <c r="L301" s="16"/>
      <c r="M301" s="16"/>
    </row>
    <row r="302" spans="1:13" s="14" customFormat="1" ht="12.75" hidden="1">
      <c r="A302" s="6" t="s">
        <v>238</v>
      </c>
      <c r="B302" s="13"/>
      <c r="C302" s="13"/>
      <c r="D302" s="13"/>
      <c r="E302" s="13"/>
      <c r="F302" s="13"/>
      <c r="G302" s="11"/>
      <c r="H302" s="11"/>
      <c r="I302" s="11"/>
      <c r="J302" s="11"/>
      <c r="K302" s="11"/>
      <c r="L302" s="16"/>
      <c r="M302" s="16"/>
    </row>
    <row r="303" spans="1:13" s="1" customFormat="1" ht="12.75" hidden="1">
      <c r="A303" s="6" t="s">
        <v>239</v>
      </c>
      <c r="B303" s="13"/>
      <c r="C303" s="13"/>
      <c r="D303" s="13"/>
      <c r="E303" s="13"/>
      <c r="F303" s="13"/>
      <c r="G303" s="11"/>
      <c r="H303" s="11"/>
      <c r="I303" s="11"/>
      <c r="J303" s="11"/>
      <c r="K303" s="11"/>
      <c r="L303" s="13"/>
      <c r="M303" s="13"/>
    </row>
    <row r="304" spans="1:13" s="1" customFormat="1" ht="12.75" hidden="1">
      <c r="A304" s="6" t="s">
        <v>240</v>
      </c>
      <c r="B304" s="13"/>
      <c r="C304" s="13"/>
      <c r="D304" s="13"/>
      <c r="E304" s="13"/>
      <c r="F304" s="13"/>
      <c r="G304" s="11"/>
      <c r="H304" s="11"/>
      <c r="I304" s="11"/>
      <c r="J304" s="11"/>
      <c r="K304" s="11"/>
      <c r="L304" s="13"/>
      <c r="M304" s="13"/>
    </row>
    <row r="305" spans="1:13" s="1" customFormat="1" ht="12.75" hidden="1">
      <c r="A305" s="6" t="s">
        <v>241</v>
      </c>
      <c r="B305" s="13"/>
      <c r="C305" s="13"/>
      <c r="D305" s="13"/>
      <c r="E305" s="13"/>
      <c r="F305" s="13"/>
      <c r="G305" s="11"/>
      <c r="H305" s="11"/>
      <c r="I305" s="11"/>
      <c r="J305" s="11"/>
      <c r="K305" s="11"/>
      <c r="L305" s="13"/>
      <c r="M305" s="13"/>
    </row>
    <row r="306" spans="1:13" s="14" customFormat="1" ht="12.75" hidden="1">
      <c r="A306" s="2" t="s">
        <v>242</v>
      </c>
      <c r="B306" s="2"/>
      <c r="C306" s="2"/>
      <c r="D306" s="2"/>
      <c r="E306" s="2"/>
      <c r="F306" s="77"/>
      <c r="G306" s="4">
        <f>SUM(G307:G316)</f>
        <v>0</v>
      </c>
      <c r="H306" s="4">
        <f>SUM(H307:H316)</f>
        <v>0</v>
      </c>
      <c r="I306" s="4">
        <f>SUM(I307:I316)</f>
        <v>0</v>
      </c>
      <c r="J306" s="4"/>
      <c r="K306" s="4"/>
      <c r="L306" s="16"/>
      <c r="M306" s="16"/>
    </row>
    <row r="307" spans="1:13" s="14" customFormat="1" ht="12.75" hidden="1">
      <c r="A307" s="6" t="s">
        <v>232</v>
      </c>
      <c r="B307" s="13"/>
      <c r="C307" s="13"/>
      <c r="D307" s="13"/>
      <c r="E307" s="13"/>
      <c r="F307" s="13"/>
      <c r="G307" s="11"/>
      <c r="H307" s="11"/>
      <c r="I307" s="11"/>
      <c r="J307" s="11"/>
      <c r="K307" s="11"/>
      <c r="L307" s="16"/>
      <c r="M307" s="16"/>
    </row>
    <row r="308" spans="1:13" s="14" customFormat="1" ht="12.75" hidden="1">
      <c r="A308" s="6" t="s">
        <v>233</v>
      </c>
      <c r="B308" s="13"/>
      <c r="C308" s="13"/>
      <c r="D308" s="13"/>
      <c r="E308" s="13"/>
      <c r="F308" s="13"/>
      <c r="G308" s="11"/>
      <c r="H308" s="11"/>
      <c r="I308" s="11"/>
      <c r="J308" s="11"/>
      <c r="K308" s="11"/>
      <c r="L308" s="16"/>
      <c r="M308" s="16"/>
    </row>
    <row r="309" spans="1:13" s="14" customFormat="1" ht="12.75" hidden="1">
      <c r="A309" s="6" t="s">
        <v>234</v>
      </c>
      <c r="B309" s="13"/>
      <c r="C309" s="13"/>
      <c r="D309" s="13"/>
      <c r="E309" s="13"/>
      <c r="F309" s="13"/>
      <c r="G309" s="11"/>
      <c r="H309" s="11"/>
      <c r="I309" s="11"/>
      <c r="J309" s="11"/>
      <c r="K309" s="11"/>
      <c r="L309" s="16"/>
      <c r="M309" s="16"/>
    </row>
    <row r="310" spans="1:13" s="14" customFormat="1" ht="12.75" hidden="1">
      <c r="A310" s="6" t="s">
        <v>235</v>
      </c>
      <c r="B310" s="13"/>
      <c r="C310" s="13"/>
      <c r="D310" s="13"/>
      <c r="E310" s="13"/>
      <c r="F310" s="13"/>
      <c r="G310" s="11"/>
      <c r="H310" s="11"/>
      <c r="I310" s="11"/>
      <c r="J310" s="11"/>
      <c r="K310" s="11"/>
      <c r="L310" s="16"/>
      <c r="M310" s="16"/>
    </row>
    <row r="311" spans="1:13" s="14" customFormat="1" ht="12.75" hidden="1">
      <c r="A311" s="6" t="s">
        <v>236</v>
      </c>
      <c r="B311" s="13"/>
      <c r="C311" s="13"/>
      <c r="D311" s="13"/>
      <c r="E311" s="13"/>
      <c r="F311" s="13"/>
      <c r="G311" s="11"/>
      <c r="H311" s="11"/>
      <c r="I311" s="11"/>
      <c r="J311" s="11"/>
      <c r="K311" s="11"/>
      <c r="L311" s="16"/>
      <c r="M311" s="16"/>
    </row>
    <row r="312" spans="1:13" s="14" customFormat="1" ht="12.75" hidden="1">
      <c r="A312" s="6" t="s">
        <v>237</v>
      </c>
      <c r="B312" s="13"/>
      <c r="C312" s="13"/>
      <c r="D312" s="13"/>
      <c r="E312" s="13"/>
      <c r="F312" s="13"/>
      <c r="G312" s="11"/>
      <c r="H312" s="11"/>
      <c r="I312" s="11"/>
      <c r="J312" s="11"/>
      <c r="K312" s="11"/>
      <c r="L312" s="16"/>
      <c r="M312" s="16"/>
    </row>
    <row r="313" spans="1:13" s="14" customFormat="1" ht="12.75" hidden="1">
      <c r="A313" s="6" t="s">
        <v>238</v>
      </c>
      <c r="B313" s="13"/>
      <c r="C313" s="13"/>
      <c r="D313" s="13"/>
      <c r="E313" s="13"/>
      <c r="F313" s="13"/>
      <c r="G313" s="11"/>
      <c r="H313" s="11"/>
      <c r="I313" s="11"/>
      <c r="J313" s="11"/>
      <c r="K313" s="11"/>
      <c r="L313" s="16"/>
      <c r="M313" s="16"/>
    </row>
    <row r="314" spans="1:13" s="1" customFormat="1" ht="12.75" hidden="1">
      <c r="A314" s="6" t="s">
        <v>239</v>
      </c>
      <c r="B314" s="13"/>
      <c r="C314" s="13"/>
      <c r="D314" s="13"/>
      <c r="E314" s="13"/>
      <c r="F314" s="13"/>
      <c r="G314" s="11"/>
      <c r="H314" s="11"/>
      <c r="I314" s="11"/>
      <c r="J314" s="11"/>
      <c r="K314" s="11"/>
      <c r="L314" s="13"/>
      <c r="M314" s="13"/>
    </row>
    <row r="315" spans="1:13" s="1" customFormat="1" ht="12.75" hidden="1">
      <c r="A315" s="6" t="s">
        <v>240</v>
      </c>
      <c r="B315" s="13"/>
      <c r="C315" s="13"/>
      <c r="D315" s="13"/>
      <c r="E315" s="13"/>
      <c r="F315" s="13"/>
      <c r="G315" s="11"/>
      <c r="H315" s="11"/>
      <c r="I315" s="11"/>
      <c r="J315" s="11"/>
      <c r="K315" s="11"/>
      <c r="L315" s="13"/>
      <c r="M315" s="13"/>
    </row>
    <row r="316" spans="1:13" s="1" customFormat="1" ht="12.75" hidden="1">
      <c r="A316" s="6" t="s">
        <v>241</v>
      </c>
      <c r="B316" s="13"/>
      <c r="C316" s="13"/>
      <c r="D316" s="13"/>
      <c r="E316" s="13"/>
      <c r="F316" s="13"/>
      <c r="G316" s="11"/>
      <c r="H316" s="11"/>
      <c r="I316" s="11"/>
      <c r="J316" s="11"/>
      <c r="K316" s="11"/>
      <c r="L316" s="13"/>
      <c r="M316" s="13"/>
    </row>
    <row r="317" spans="1:13" s="14" customFormat="1" ht="12.75" hidden="1">
      <c r="A317" s="2" t="s">
        <v>242</v>
      </c>
      <c r="B317" s="2"/>
      <c r="C317" s="2"/>
      <c r="D317" s="2"/>
      <c r="E317" s="2"/>
      <c r="F317" s="77"/>
      <c r="G317" s="4">
        <f>SUM(G318:G327)</f>
        <v>0</v>
      </c>
      <c r="H317" s="4">
        <f>SUM(H318:H327)</f>
        <v>0</v>
      </c>
      <c r="I317" s="4">
        <f>SUM(I318:I327)</f>
        <v>0</v>
      </c>
      <c r="J317" s="4"/>
      <c r="K317" s="4"/>
      <c r="L317" s="16"/>
      <c r="M317" s="16"/>
    </row>
    <row r="318" spans="1:13" s="14" customFormat="1" ht="12.75" hidden="1">
      <c r="A318" s="6" t="s">
        <v>232</v>
      </c>
      <c r="B318" s="13"/>
      <c r="C318" s="13"/>
      <c r="D318" s="13"/>
      <c r="E318" s="13"/>
      <c r="F318" s="13"/>
      <c r="G318" s="11"/>
      <c r="H318" s="11"/>
      <c r="I318" s="11"/>
      <c r="J318" s="11"/>
      <c r="K318" s="11"/>
      <c r="L318" s="16"/>
      <c r="M318" s="16"/>
    </row>
    <row r="319" spans="1:13" s="14" customFormat="1" ht="12.75" hidden="1">
      <c r="A319" s="6" t="s">
        <v>233</v>
      </c>
      <c r="B319" s="13"/>
      <c r="C319" s="13"/>
      <c r="D319" s="13"/>
      <c r="E319" s="13"/>
      <c r="F319" s="13"/>
      <c r="G319" s="11"/>
      <c r="H319" s="11"/>
      <c r="I319" s="11"/>
      <c r="J319" s="11"/>
      <c r="K319" s="11"/>
      <c r="L319" s="16"/>
      <c r="M319" s="16"/>
    </row>
    <row r="320" spans="1:13" s="14" customFormat="1" ht="12.75" hidden="1">
      <c r="A320" s="6" t="s">
        <v>234</v>
      </c>
      <c r="B320" s="13"/>
      <c r="C320" s="13"/>
      <c r="D320" s="13"/>
      <c r="E320" s="13"/>
      <c r="F320" s="13"/>
      <c r="G320" s="11"/>
      <c r="H320" s="11"/>
      <c r="I320" s="11"/>
      <c r="J320" s="11"/>
      <c r="K320" s="11"/>
      <c r="L320" s="16"/>
      <c r="M320" s="16"/>
    </row>
    <row r="321" spans="1:13" s="14" customFormat="1" ht="12.75" hidden="1">
      <c r="A321" s="6" t="s">
        <v>235</v>
      </c>
      <c r="B321" s="13"/>
      <c r="C321" s="13"/>
      <c r="D321" s="13"/>
      <c r="E321" s="13"/>
      <c r="F321" s="13"/>
      <c r="G321" s="11"/>
      <c r="H321" s="11"/>
      <c r="I321" s="11"/>
      <c r="J321" s="11"/>
      <c r="K321" s="11"/>
      <c r="L321" s="16"/>
      <c r="M321" s="16"/>
    </row>
    <row r="322" spans="1:13" s="14" customFormat="1" ht="12.75" hidden="1">
      <c r="A322" s="6" t="s">
        <v>236</v>
      </c>
      <c r="B322" s="13"/>
      <c r="C322" s="13"/>
      <c r="D322" s="13"/>
      <c r="E322" s="13"/>
      <c r="F322" s="13"/>
      <c r="G322" s="11"/>
      <c r="H322" s="11"/>
      <c r="I322" s="11"/>
      <c r="J322" s="11"/>
      <c r="K322" s="11"/>
      <c r="L322" s="16"/>
      <c r="M322" s="16"/>
    </row>
    <row r="323" spans="1:13" s="14" customFormat="1" ht="12.75" hidden="1">
      <c r="A323" s="6" t="s">
        <v>237</v>
      </c>
      <c r="B323" s="13"/>
      <c r="C323" s="13"/>
      <c r="D323" s="13"/>
      <c r="E323" s="13"/>
      <c r="F323" s="13"/>
      <c r="G323" s="11"/>
      <c r="H323" s="11"/>
      <c r="I323" s="11"/>
      <c r="J323" s="11"/>
      <c r="K323" s="11"/>
      <c r="L323" s="16"/>
      <c r="M323" s="16"/>
    </row>
    <row r="324" spans="1:13" s="14" customFormat="1" ht="12.75" hidden="1">
      <c r="A324" s="6" t="s">
        <v>238</v>
      </c>
      <c r="B324" s="13"/>
      <c r="C324" s="13"/>
      <c r="D324" s="13"/>
      <c r="E324" s="13"/>
      <c r="F324" s="13"/>
      <c r="G324" s="11"/>
      <c r="H324" s="11"/>
      <c r="I324" s="11"/>
      <c r="J324" s="11"/>
      <c r="K324" s="11"/>
      <c r="L324" s="16"/>
      <c r="M324" s="16"/>
    </row>
    <row r="325" spans="1:13" s="1" customFormat="1" ht="12.75" hidden="1">
      <c r="A325" s="6" t="s">
        <v>239</v>
      </c>
      <c r="B325" s="13"/>
      <c r="C325" s="13"/>
      <c r="D325" s="13"/>
      <c r="E325" s="13"/>
      <c r="F325" s="13"/>
      <c r="G325" s="11"/>
      <c r="H325" s="11"/>
      <c r="I325" s="11"/>
      <c r="J325" s="11"/>
      <c r="K325" s="11"/>
      <c r="L325" s="13"/>
      <c r="M325" s="13"/>
    </row>
    <row r="326" spans="1:13" s="1" customFormat="1" ht="12.75" hidden="1">
      <c r="A326" s="6" t="s">
        <v>240</v>
      </c>
      <c r="B326" s="13"/>
      <c r="C326" s="13"/>
      <c r="D326" s="13"/>
      <c r="E326" s="13"/>
      <c r="F326" s="13"/>
      <c r="G326" s="11"/>
      <c r="H326" s="11"/>
      <c r="I326" s="11"/>
      <c r="J326" s="11"/>
      <c r="K326" s="11"/>
      <c r="L326" s="13"/>
      <c r="M326" s="13"/>
    </row>
    <row r="327" spans="1:13" s="1" customFormat="1" ht="12.75" hidden="1">
      <c r="A327" s="6" t="s">
        <v>241</v>
      </c>
      <c r="B327" s="13"/>
      <c r="C327" s="13"/>
      <c r="D327" s="13"/>
      <c r="E327" s="13"/>
      <c r="F327" s="13"/>
      <c r="G327" s="11"/>
      <c r="H327" s="11"/>
      <c r="I327" s="11"/>
      <c r="J327" s="11"/>
      <c r="K327" s="11"/>
      <c r="L327" s="13"/>
      <c r="M327" s="13"/>
    </row>
    <row r="328" spans="1:13" s="14" customFormat="1" ht="12.75" hidden="1">
      <c r="A328" s="2" t="s">
        <v>242</v>
      </c>
      <c r="B328" s="2"/>
      <c r="C328" s="2"/>
      <c r="D328" s="2"/>
      <c r="E328" s="2"/>
      <c r="F328" s="77"/>
      <c r="G328" s="4">
        <f>SUM(G329:G338)</f>
        <v>0</v>
      </c>
      <c r="H328" s="4">
        <f>SUM(H329:H338)</f>
        <v>0</v>
      </c>
      <c r="I328" s="4">
        <f>SUM(I329:I338)</f>
        <v>0</v>
      </c>
      <c r="J328" s="4"/>
      <c r="K328" s="4"/>
      <c r="L328" s="16"/>
      <c r="M328" s="16"/>
    </row>
    <row r="329" spans="1:13" s="14" customFormat="1" ht="12.75" hidden="1">
      <c r="A329" s="6" t="s">
        <v>232</v>
      </c>
      <c r="B329" s="13"/>
      <c r="C329" s="13"/>
      <c r="D329" s="13"/>
      <c r="E329" s="13"/>
      <c r="F329" s="13"/>
      <c r="G329" s="11"/>
      <c r="H329" s="11"/>
      <c r="I329" s="11"/>
      <c r="J329" s="11"/>
      <c r="K329" s="11"/>
      <c r="L329" s="16"/>
      <c r="M329" s="16"/>
    </row>
    <row r="330" spans="1:13" s="14" customFormat="1" ht="12.75" hidden="1">
      <c r="A330" s="6" t="s">
        <v>233</v>
      </c>
      <c r="B330" s="13"/>
      <c r="C330" s="13"/>
      <c r="D330" s="13"/>
      <c r="E330" s="13"/>
      <c r="F330" s="13"/>
      <c r="G330" s="11"/>
      <c r="H330" s="11"/>
      <c r="I330" s="11"/>
      <c r="J330" s="11"/>
      <c r="K330" s="11"/>
      <c r="L330" s="16"/>
      <c r="M330" s="16"/>
    </row>
    <row r="331" spans="1:13" s="14" customFormat="1" ht="12.75" hidden="1">
      <c r="A331" s="6" t="s">
        <v>234</v>
      </c>
      <c r="B331" s="13"/>
      <c r="C331" s="13"/>
      <c r="D331" s="13"/>
      <c r="E331" s="13"/>
      <c r="F331" s="13"/>
      <c r="G331" s="11"/>
      <c r="H331" s="11"/>
      <c r="I331" s="11"/>
      <c r="J331" s="11"/>
      <c r="K331" s="11"/>
      <c r="L331" s="16"/>
      <c r="M331" s="16"/>
    </row>
    <row r="332" spans="1:13" s="14" customFormat="1" ht="12.75" hidden="1">
      <c r="A332" s="6" t="s">
        <v>235</v>
      </c>
      <c r="B332" s="13"/>
      <c r="C332" s="13"/>
      <c r="D332" s="13"/>
      <c r="E332" s="13"/>
      <c r="F332" s="13"/>
      <c r="G332" s="11"/>
      <c r="H332" s="11"/>
      <c r="I332" s="11"/>
      <c r="J332" s="11"/>
      <c r="K332" s="11"/>
      <c r="L332" s="16"/>
      <c r="M332" s="16"/>
    </row>
    <row r="333" spans="1:13" s="14" customFormat="1" ht="12.75" hidden="1">
      <c r="A333" s="6" t="s">
        <v>236</v>
      </c>
      <c r="B333" s="13"/>
      <c r="C333" s="13"/>
      <c r="D333" s="13"/>
      <c r="E333" s="13"/>
      <c r="F333" s="13"/>
      <c r="G333" s="11"/>
      <c r="H333" s="11"/>
      <c r="I333" s="11"/>
      <c r="J333" s="11"/>
      <c r="K333" s="11"/>
      <c r="L333" s="16"/>
      <c r="M333" s="16"/>
    </row>
    <row r="334" spans="1:13" s="14" customFormat="1" ht="12.75" hidden="1">
      <c r="A334" s="6" t="s">
        <v>237</v>
      </c>
      <c r="B334" s="13"/>
      <c r="C334" s="13"/>
      <c r="D334" s="13"/>
      <c r="E334" s="13"/>
      <c r="F334" s="13"/>
      <c r="G334" s="11"/>
      <c r="H334" s="11"/>
      <c r="I334" s="11"/>
      <c r="J334" s="11"/>
      <c r="K334" s="11"/>
      <c r="L334" s="16"/>
      <c r="M334" s="16"/>
    </row>
    <row r="335" spans="1:13" s="14" customFormat="1" ht="12.75" hidden="1">
      <c r="A335" s="6" t="s">
        <v>238</v>
      </c>
      <c r="B335" s="13"/>
      <c r="C335" s="13"/>
      <c r="D335" s="13"/>
      <c r="E335" s="13"/>
      <c r="F335" s="13"/>
      <c r="G335" s="11"/>
      <c r="H335" s="11"/>
      <c r="I335" s="11"/>
      <c r="J335" s="11"/>
      <c r="K335" s="11"/>
      <c r="L335" s="16"/>
      <c r="M335" s="16"/>
    </row>
    <row r="336" spans="1:13" s="1" customFormat="1" ht="12.75" hidden="1">
      <c r="A336" s="6" t="s">
        <v>239</v>
      </c>
      <c r="B336" s="13"/>
      <c r="C336" s="13"/>
      <c r="D336" s="13"/>
      <c r="E336" s="13"/>
      <c r="F336" s="13"/>
      <c r="G336" s="11"/>
      <c r="H336" s="11"/>
      <c r="I336" s="11"/>
      <c r="J336" s="11"/>
      <c r="K336" s="11"/>
      <c r="L336" s="13"/>
      <c r="M336" s="13"/>
    </row>
    <row r="337" spans="1:13" s="1" customFormat="1" ht="12.75" hidden="1">
      <c r="A337" s="6" t="s">
        <v>240</v>
      </c>
      <c r="B337" s="13"/>
      <c r="C337" s="13"/>
      <c r="D337" s="13"/>
      <c r="E337" s="13"/>
      <c r="F337" s="13"/>
      <c r="G337" s="11"/>
      <c r="H337" s="11"/>
      <c r="I337" s="11"/>
      <c r="J337" s="11"/>
      <c r="K337" s="11"/>
      <c r="L337" s="13"/>
      <c r="M337" s="13"/>
    </row>
    <row r="338" spans="1:13" s="1" customFormat="1" ht="12.75" hidden="1">
      <c r="A338" s="6" t="s">
        <v>241</v>
      </c>
      <c r="B338" s="13"/>
      <c r="C338" s="13"/>
      <c r="D338" s="13"/>
      <c r="E338" s="13"/>
      <c r="F338" s="13"/>
      <c r="G338" s="11"/>
      <c r="H338" s="11"/>
      <c r="I338" s="11"/>
      <c r="J338" s="11"/>
      <c r="K338" s="11"/>
      <c r="L338" s="13"/>
      <c r="M338" s="13"/>
    </row>
    <row r="339" spans="1:13" s="14" customFormat="1" ht="12.75" hidden="1">
      <c r="A339" s="2" t="s">
        <v>242</v>
      </c>
      <c r="B339" s="2"/>
      <c r="C339" s="2"/>
      <c r="D339" s="2"/>
      <c r="E339" s="2"/>
      <c r="F339" s="77"/>
      <c r="G339" s="4">
        <f>SUM(G340:G349)</f>
        <v>0</v>
      </c>
      <c r="H339" s="4">
        <f>SUM(H340:H349)</f>
        <v>0</v>
      </c>
      <c r="I339" s="4">
        <f>SUM(I340:I349)</f>
        <v>0</v>
      </c>
      <c r="J339" s="4"/>
      <c r="K339" s="4"/>
      <c r="L339" s="16"/>
      <c r="M339" s="16"/>
    </row>
    <row r="340" spans="1:13" s="14" customFormat="1" ht="12.75" hidden="1">
      <c r="A340" s="6" t="s">
        <v>232</v>
      </c>
      <c r="B340" s="13"/>
      <c r="C340" s="13"/>
      <c r="D340" s="13"/>
      <c r="E340" s="13"/>
      <c r="F340" s="13"/>
      <c r="G340" s="11"/>
      <c r="H340" s="11"/>
      <c r="I340" s="11"/>
      <c r="J340" s="11"/>
      <c r="K340" s="11"/>
      <c r="L340" s="16"/>
      <c r="M340" s="16"/>
    </row>
    <row r="341" spans="1:13" s="14" customFormat="1" ht="12.75" hidden="1">
      <c r="A341" s="6" t="s">
        <v>233</v>
      </c>
      <c r="B341" s="13"/>
      <c r="C341" s="13"/>
      <c r="D341" s="13"/>
      <c r="E341" s="13"/>
      <c r="F341" s="13"/>
      <c r="G341" s="11"/>
      <c r="H341" s="11"/>
      <c r="I341" s="11"/>
      <c r="J341" s="11"/>
      <c r="K341" s="11"/>
      <c r="L341" s="16"/>
      <c r="M341" s="16"/>
    </row>
    <row r="342" spans="1:13" s="14" customFormat="1" ht="12.75" hidden="1">
      <c r="A342" s="6" t="s">
        <v>234</v>
      </c>
      <c r="B342" s="13"/>
      <c r="C342" s="13"/>
      <c r="D342" s="13"/>
      <c r="E342" s="13"/>
      <c r="F342" s="13"/>
      <c r="G342" s="11"/>
      <c r="H342" s="11"/>
      <c r="I342" s="11"/>
      <c r="J342" s="11"/>
      <c r="K342" s="11"/>
      <c r="L342" s="16"/>
      <c r="M342" s="16"/>
    </row>
    <row r="343" spans="1:13" s="14" customFormat="1" ht="12.75" hidden="1">
      <c r="A343" s="6" t="s">
        <v>235</v>
      </c>
      <c r="B343" s="13"/>
      <c r="C343" s="13"/>
      <c r="D343" s="13"/>
      <c r="E343" s="13"/>
      <c r="F343" s="13"/>
      <c r="G343" s="11"/>
      <c r="H343" s="11"/>
      <c r="I343" s="11"/>
      <c r="J343" s="11"/>
      <c r="K343" s="11"/>
      <c r="L343" s="16"/>
      <c r="M343" s="16"/>
    </row>
    <row r="344" spans="1:13" s="14" customFormat="1" ht="12.75" hidden="1">
      <c r="A344" s="6" t="s">
        <v>236</v>
      </c>
      <c r="B344" s="13"/>
      <c r="C344" s="13"/>
      <c r="D344" s="13"/>
      <c r="E344" s="13"/>
      <c r="F344" s="13"/>
      <c r="G344" s="11"/>
      <c r="H344" s="11"/>
      <c r="I344" s="11"/>
      <c r="J344" s="11"/>
      <c r="K344" s="11"/>
      <c r="L344" s="16"/>
      <c r="M344" s="16"/>
    </row>
    <row r="345" spans="1:13" s="14" customFormat="1" ht="12.75" hidden="1">
      <c r="A345" s="6" t="s">
        <v>237</v>
      </c>
      <c r="B345" s="13"/>
      <c r="C345" s="13"/>
      <c r="D345" s="13"/>
      <c r="E345" s="13"/>
      <c r="F345" s="13"/>
      <c r="G345" s="11"/>
      <c r="H345" s="11"/>
      <c r="I345" s="11"/>
      <c r="J345" s="11"/>
      <c r="K345" s="11"/>
      <c r="L345" s="16"/>
      <c r="M345" s="16"/>
    </row>
    <row r="346" spans="1:13" s="14" customFormat="1" ht="12.75" hidden="1">
      <c r="A346" s="6" t="s">
        <v>238</v>
      </c>
      <c r="B346" s="13"/>
      <c r="C346" s="13"/>
      <c r="D346" s="13"/>
      <c r="E346" s="13"/>
      <c r="F346" s="13"/>
      <c r="G346" s="11"/>
      <c r="H346" s="11"/>
      <c r="I346" s="11"/>
      <c r="J346" s="11"/>
      <c r="K346" s="11"/>
      <c r="L346" s="16"/>
      <c r="M346" s="16"/>
    </row>
    <row r="347" spans="1:13" s="1" customFormat="1" ht="12.75" hidden="1">
      <c r="A347" s="6" t="s">
        <v>239</v>
      </c>
      <c r="B347" s="13"/>
      <c r="C347" s="13"/>
      <c r="D347" s="13"/>
      <c r="E347" s="13"/>
      <c r="F347" s="13"/>
      <c r="G347" s="11"/>
      <c r="H347" s="11"/>
      <c r="I347" s="11"/>
      <c r="J347" s="11"/>
      <c r="K347" s="11"/>
      <c r="L347" s="13"/>
      <c r="M347" s="13"/>
    </row>
    <row r="348" spans="1:13" s="1" customFormat="1" ht="12.75" hidden="1">
      <c r="A348" s="6" t="s">
        <v>240</v>
      </c>
      <c r="B348" s="13"/>
      <c r="C348" s="13"/>
      <c r="D348" s="13"/>
      <c r="E348" s="13"/>
      <c r="F348" s="13"/>
      <c r="G348" s="11"/>
      <c r="H348" s="11"/>
      <c r="I348" s="11"/>
      <c r="J348" s="11"/>
      <c r="K348" s="11"/>
      <c r="L348" s="13"/>
      <c r="M348" s="13"/>
    </row>
    <row r="349" spans="1:13" s="1" customFormat="1" ht="12.75" hidden="1">
      <c r="A349" s="6" t="s">
        <v>241</v>
      </c>
      <c r="B349" s="13"/>
      <c r="C349" s="13"/>
      <c r="D349" s="13"/>
      <c r="E349" s="13"/>
      <c r="F349" s="13"/>
      <c r="G349" s="11"/>
      <c r="H349" s="11"/>
      <c r="I349" s="11"/>
      <c r="J349" s="11"/>
      <c r="K349" s="11"/>
      <c r="L349" s="13"/>
      <c r="M349" s="13"/>
    </row>
    <row r="350" spans="1:16" s="1" customFormat="1" ht="12.75">
      <c r="A350" s="17" t="s">
        <v>245</v>
      </c>
      <c r="B350" s="17"/>
      <c r="C350" s="17"/>
      <c r="D350" s="17"/>
      <c r="E350" s="17"/>
      <c r="F350" s="17"/>
      <c r="G350" s="4">
        <f>G9+G20+G31+G42+G64+G75+G86+G119+G130+G141+G152+G163+G185+G196+G207+G218+G251+G273+G97+G108+G174+G229+G240+G53+G284+G295+G262+G306+G339+G328+G317</f>
        <v>33351665</v>
      </c>
      <c r="H350" s="4">
        <f aca="true" t="shared" si="21" ref="H350:O350">H9+H20+H31+H42+H64+H75+H86+H119+H130+H141+H152+H163+H185+H196+H207+H218+H251+H273+H97+H108+H174+H229+H240+H53+H284+H295+H262+H306+H339+H328+H317</f>
        <v>26090400</v>
      </c>
      <c r="I350" s="4">
        <f t="shared" si="21"/>
        <v>26090400</v>
      </c>
      <c r="J350" s="4">
        <f t="shared" si="21"/>
        <v>26090400</v>
      </c>
      <c r="K350" s="4">
        <f t="shared" si="21"/>
        <v>394660</v>
      </c>
      <c r="L350" s="4">
        <f t="shared" si="21"/>
        <v>5313000</v>
      </c>
      <c r="M350" s="4">
        <f t="shared" si="21"/>
        <v>758200</v>
      </c>
      <c r="N350" s="4">
        <f t="shared" si="21"/>
        <v>26485060</v>
      </c>
      <c r="O350" s="4">
        <f t="shared" si="21"/>
        <v>0</v>
      </c>
      <c r="P350" s="4"/>
    </row>
    <row r="351" spans="1:13" ht="10.5">
      <c r="A351" s="64" t="s">
        <v>246</v>
      </c>
      <c r="B351" s="64"/>
      <c r="C351" s="64"/>
      <c r="D351" s="64"/>
      <c r="E351" s="64"/>
      <c r="F351" s="66"/>
      <c r="G351" s="67"/>
      <c r="H351" s="67"/>
      <c r="I351" s="67"/>
      <c r="J351" s="67" t="e">
        <f>#REF!</f>
        <v>#REF!</v>
      </c>
      <c r="K351" s="67" t="e">
        <f>#REF!</f>
        <v>#REF!</v>
      </c>
      <c r="L351" s="67" t="e">
        <f>#REF!</f>
        <v>#REF!</v>
      </c>
      <c r="M351" s="67" t="e">
        <f>#REF!</f>
        <v>#REF!</v>
      </c>
    </row>
    <row r="352" spans="1:15" ht="10.5">
      <c r="A352" s="64" t="s">
        <v>232</v>
      </c>
      <c r="B352" s="68"/>
      <c r="C352" s="68"/>
      <c r="D352" s="68"/>
      <c r="E352" s="68"/>
      <c r="F352" s="68"/>
      <c r="G352" s="69">
        <f aca="true" t="shared" si="22" ref="G352:I361">G10+G21+G32+G43+G65+G76+G87+G120+G131+G142+G153+G164+G186+G197+G208+G219+G252+G274+G98+G109+G175+G230+G241+G54++G285+G263+G296+G307+G340+G329+G318</f>
        <v>3628356</v>
      </c>
      <c r="H352" s="69">
        <f t="shared" si="22"/>
        <v>3032770</v>
      </c>
      <c r="I352" s="69">
        <f t="shared" si="22"/>
        <v>3032770</v>
      </c>
      <c r="J352" s="69" t="e">
        <f>J10+J21+J32+J43+#REF!+#REF!+J65+J76+J87+J120+J131+J142+J153+J164+J186+J197+J208+J219+J252+J274+J98+J109+J175+J230+J241+J54++J285+J263+J296+J307+J340+J329+J318</f>
        <v>#REF!</v>
      </c>
      <c r="K352" s="69" t="e">
        <f>K10+K21+K32+K43+#REF!+#REF!+K65+K76+K87+K120+K131+K142+K153+K164+K186+K197+K208+K219+K252+K274+K98+K109+K175+K230+K241+K54++K285+K263+K296+K307+K340+K329+K318</f>
        <v>#REF!</v>
      </c>
      <c r="L352" s="69" t="e">
        <f>L10+L21+L32+L43+#REF!+#REF!+L65+L76+L87+L120+L131+L142+L153+L164+L186+L197+L208+L219+L252+L274+L98+L109+L175+L230+L241+L54++L285+L263+L296+L307+L340+L329+L318</f>
        <v>#REF!</v>
      </c>
      <c r="M352" s="69" t="e">
        <f>M10+M21+M32+M43+#REF!+#REF!+M65+M76+M87+M120+M131+M142+M153+M164+M186+M197+M208+M219+M252+M274+M98+M109+M175+M230+M241+M54++M285+M263+M296+M307+M340+M329+M318</f>
        <v>#REF!</v>
      </c>
      <c r="N352" s="65">
        <f>646298.99+200000</f>
        <v>846298.99</v>
      </c>
      <c r="O352" s="70">
        <f>G352+N352</f>
        <v>4474654.99</v>
      </c>
    </row>
    <row r="353" spans="1:17" ht="10.5">
      <c r="A353" s="64" t="s">
        <v>233</v>
      </c>
      <c r="B353" s="68"/>
      <c r="C353" s="68"/>
      <c r="D353" s="68"/>
      <c r="E353" s="68"/>
      <c r="F353" s="68"/>
      <c r="G353" s="69">
        <f t="shared" si="22"/>
        <v>3751279</v>
      </c>
      <c r="H353" s="69">
        <f t="shared" si="22"/>
        <v>2899460</v>
      </c>
      <c r="I353" s="69">
        <f t="shared" si="22"/>
        <v>2899460</v>
      </c>
      <c r="J353" s="69" t="e">
        <f>J11+J22+J33+J44+#REF!+#REF!+J66+J77+J88+J121+J132+J143+J154+J165+J187+J198+J209+J220+J253+J275+J99+J110+J176+J231+J242+J55++J286+J264+J297+J308+J341+J330+J319</f>
        <v>#REF!</v>
      </c>
      <c r="K353" s="69" t="e">
        <f>K11+K22+K33+K44+#REF!+#REF!+K66+K77+K88+K121+K132+K143+K154+K165+K187+K198+K209+K220+K253+K275+K99+K110+K176+K231+K242+K55++K286+K264+K297+K308+K341+K330+K319</f>
        <v>#REF!</v>
      </c>
      <c r="L353" s="69" t="e">
        <f>L11+L22+L33+L44+#REF!+#REF!+L66+L77+L88+L121+L132+L143+L154+L165+L187+L198+L209+L220+L253+L275+L99+L110+L176+L231+L242+L55++L286+L264+L297+L308+L341+L330+L319</f>
        <v>#REF!</v>
      </c>
      <c r="M353" s="69" t="e">
        <f>M11+M22+M33+M44+#REF!+#REF!+M66+M77+M88+M121+M132+M143+M154+M165+M187+M198+M209+M220+M253+M275+M99+M110+M176+M231+M242+M55++M286+M264+M297+M308+M341+M330+M319</f>
        <v>#REF!</v>
      </c>
      <c r="N353" s="65">
        <v>137700</v>
      </c>
      <c r="O353" s="70">
        <f aca="true" t="shared" si="23" ref="O353:O361">G353+N353</f>
        <v>3888979</v>
      </c>
      <c r="Q353" s="65"/>
    </row>
    <row r="354" spans="1:15" ht="10.5">
      <c r="A354" s="64" t="s">
        <v>234</v>
      </c>
      <c r="B354" s="68"/>
      <c r="C354" s="68"/>
      <c r="D354" s="68"/>
      <c r="E354" s="68"/>
      <c r="F354" s="68"/>
      <c r="G354" s="69">
        <f t="shared" si="22"/>
        <v>2783759</v>
      </c>
      <c r="H354" s="69">
        <f t="shared" si="22"/>
        <v>2271330</v>
      </c>
      <c r="I354" s="69">
        <f t="shared" si="22"/>
        <v>2271330</v>
      </c>
      <c r="J354" s="69" t="e">
        <f>J12+J23+J34+J45+#REF!+#REF!+J67+J78+J89+J122+J133+J144+J155+J166+J188+J199+J210+J221+J254+J276+J100+J111+J177+J232+J243+J56++J287+J265+J298+J309+J342+J331+J320</f>
        <v>#REF!</v>
      </c>
      <c r="K354" s="69" t="e">
        <f>K12+K23+K34+K45+#REF!+#REF!+K67+K78+K89+K122+K133+K144+K155+K166+K188+K199+K210+K221+K254+K276+K100+K111+K177+K232+K243+K56++K287+K265+K298+K309+K342+K331+K320</f>
        <v>#REF!</v>
      </c>
      <c r="L354" s="69" t="e">
        <f>L12+L23+L34+L45+#REF!+#REF!+L67+L78+L89+L122+L133+L144+L155+L166+L188+L199+L210+L221+L254+L276+L100+L111+L177+L232+L243+L56++L287+L265+L298+L309+L342+L331+L320</f>
        <v>#REF!</v>
      </c>
      <c r="M354" s="69" t="e">
        <f>M12+M23+M34+M45+#REF!+#REF!+M67+M78+M89+M122+M133+M144+M155+M166+M188+M199+M210+M221+M254+M276+M100+M111+M177+M232+M243+M56++M287+M265+M298+M309+M342+M331+M320</f>
        <v>#REF!</v>
      </c>
      <c r="N354" s="65">
        <v>246099.83</v>
      </c>
      <c r="O354" s="70">
        <f t="shared" si="23"/>
        <v>3029858.83</v>
      </c>
    </row>
    <row r="355" spans="1:15" ht="10.5">
      <c r="A355" s="64" t="s">
        <v>235</v>
      </c>
      <c r="B355" s="68"/>
      <c r="C355" s="68"/>
      <c r="D355" s="68"/>
      <c r="E355" s="68"/>
      <c r="F355" s="68"/>
      <c r="G355" s="69">
        <f t="shared" si="22"/>
        <v>3815992</v>
      </c>
      <c r="H355" s="69">
        <f t="shared" si="22"/>
        <v>2999860</v>
      </c>
      <c r="I355" s="69">
        <f t="shared" si="22"/>
        <v>2999860</v>
      </c>
      <c r="J355" s="69" t="e">
        <f>J13+J24+J35+J46+#REF!+#REF!+J68+J79+J90+J123+J134+J145+J156+J167+J189+J200+J211+J222+J255+J277+J101+J112+J178+J233+J244+J57++J288+J266+J299+J310+J343+J332+J321</f>
        <v>#REF!</v>
      </c>
      <c r="K355" s="69" t="e">
        <f>K13+K24+K35+K46+#REF!+#REF!+K68+K79+K90+K123+K134+K145+K156+K167+K189+K200+K211+K222+K255+K277+K101+K112+K178+K233+K244+K57++K288+K266+K299+K310+K343+K332+K321</f>
        <v>#REF!</v>
      </c>
      <c r="L355" s="69" t="e">
        <f>L13+L24+L35+L46+#REF!+#REF!+L68+L79+L90+L123+L134+L145+L156+L167+L189+L200+L211+L222+L255+L277+L101+L112+L178+L233+L244+L57++L288+L266+L299+L310+L343+L332+L321</f>
        <v>#REF!</v>
      </c>
      <c r="M355" s="69" t="e">
        <f>M13+M24+M35+M46+#REF!+#REF!+M68+M79+M90+M123+M134+M145+M156+M167+M189+M200+M211+M222+M255+M277+M101+M112+M178+M233+M244+M57++M288+M266+M299+M310+M343+M332+M321</f>
        <v>#REF!</v>
      </c>
      <c r="N355" s="65">
        <v>337700</v>
      </c>
      <c r="O355" s="70">
        <f t="shared" si="23"/>
        <v>4153692</v>
      </c>
    </row>
    <row r="356" spans="1:17" ht="10.5">
      <c r="A356" s="64" t="s">
        <v>236</v>
      </c>
      <c r="B356" s="68"/>
      <c r="C356" s="68"/>
      <c r="D356" s="68"/>
      <c r="E356" s="68"/>
      <c r="F356" s="68"/>
      <c r="G356" s="69">
        <f t="shared" si="22"/>
        <v>2235575</v>
      </c>
      <c r="H356" s="69">
        <f t="shared" si="22"/>
        <v>1870230</v>
      </c>
      <c r="I356" s="69">
        <f t="shared" si="22"/>
        <v>1870230</v>
      </c>
      <c r="J356" s="69" t="e">
        <f>J14+J25+J36+J47+#REF!+#REF!+J69+J80+J91+J124+J135+J146+J157+J168+J190+J201+J212+J223+J256+J278+J102+J113+J179+J234+J245+J58++J289+J267+J300+J311+J344+J333+J322</f>
        <v>#REF!</v>
      </c>
      <c r="K356" s="69" t="e">
        <f>K14+K25+K36+K47+#REF!+#REF!+K69+K80+K91+K124+K135+K146+K157+K168+K190+K201+K212+K223+K256+K278+K102+K113+K179+K234+K245+K58++K289+K267+K300+K311+K344+K333+K322</f>
        <v>#REF!</v>
      </c>
      <c r="L356" s="69" t="e">
        <f>L14+L25+L36+L47+#REF!+#REF!+L69+L80+L91+L124+L135+L146+L157+L168+L190+L201+L212+L223+L256+L278+L102+L113+L179+L234+L245+L58++L289+L267+L300+L311+L344+L333+L322</f>
        <v>#REF!</v>
      </c>
      <c r="M356" s="69" t="e">
        <f>M14+M25+M36+M47+#REF!+#REF!+M69+M80+M91+M124+M135+M146+M157+M168+M190+M201+M212+M223+M256+M278+M102+M113+M179+M234+M245+M58++M289+M267+M300+M311+M344+M333+M322</f>
        <v>#REF!</v>
      </c>
      <c r="N356" s="65">
        <v>403200</v>
      </c>
      <c r="O356" s="70">
        <f t="shared" si="23"/>
        <v>2638775</v>
      </c>
      <c r="Q356" s="65"/>
    </row>
    <row r="357" spans="1:17" ht="10.5">
      <c r="A357" s="64" t="s">
        <v>237</v>
      </c>
      <c r="B357" s="68"/>
      <c r="C357" s="68"/>
      <c r="D357" s="68"/>
      <c r="E357" s="68"/>
      <c r="F357" s="68"/>
      <c r="G357" s="69">
        <f t="shared" si="22"/>
        <v>2748609</v>
      </c>
      <c r="H357" s="69">
        <f t="shared" si="22"/>
        <v>2421920</v>
      </c>
      <c r="I357" s="69">
        <f t="shared" si="22"/>
        <v>2421920</v>
      </c>
      <c r="J357" s="69" t="e">
        <f>J15+J26+J37+J48+#REF!+#REF!+J70+J81+J92+J125+J136+J147+J158+J169+J191+J202+J213+J224+J257+J279+J103+J114+J180+J235+J246+J59++J290+J268+J301+J312+J345+J334+J323</f>
        <v>#REF!</v>
      </c>
      <c r="K357" s="69" t="e">
        <f>K15+K26+K37+K48+#REF!+#REF!+K70+K81+K92+K125+K136+K147+K158+K169+K191+K202+K213+K224+K257+K279+K103+K114+K180+K235+K246+K59++K290+K268+K301+K312+K345+K334+K323</f>
        <v>#REF!</v>
      </c>
      <c r="L357" s="69" t="e">
        <f>L15+L26+L37+L48+#REF!+#REF!+L70+L81+L92+L125+L136+L147+L158+L169+L191+L202+L213+L224+L257+L279+L103+L114+L180+L235+L246+L59++L290+L268+L301+L312+L345+L334+L323</f>
        <v>#REF!</v>
      </c>
      <c r="M357" s="69" t="e">
        <f>M15+M26+M37+M48+#REF!+#REF!+M70+M81+M92+M125+M136+M147+M158+M169+M191+M202+M213+M224+M257+M279+M103+M114+M180+M235+M246+M59++M290+M268+M301+M312+M345+M334+M323</f>
        <v>#REF!</v>
      </c>
      <c r="N357" s="65">
        <v>403200</v>
      </c>
      <c r="O357" s="70">
        <f t="shared" si="23"/>
        <v>3151809</v>
      </c>
      <c r="Q357" s="65"/>
    </row>
    <row r="358" spans="1:17" ht="10.5">
      <c r="A358" s="64" t="s">
        <v>238</v>
      </c>
      <c r="B358" s="68"/>
      <c r="C358" s="68"/>
      <c r="D358" s="68"/>
      <c r="E358" s="68"/>
      <c r="F358" s="68"/>
      <c r="G358" s="69">
        <f t="shared" si="22"/>
        <v>2757429</v>
      </c>
      <c r="H358" s="69">
        <f t="shared" si="22"/>
        <v>2381950</v>
      </c>
      <c r="I358" s="69">
        <f t="shared" si="22"/>
        <v>2381950</v>
      </c>
      <c r="J358" s="69" t="e">
        <f>J16+J27+J38+J49+#REF!+#REF!+J71+J82+J93+J126+J137+J148+J159+J170+J192+J203+J214+J225+J258+J280+J104+J115+J181+J236+J247+J60++J291+J269+J302+J313+J346+J335+J324</f>
        <v>#REF!</v>
      </c>
      <c r="K358" s="69" t="e">
        <f>K16+K27+K38+K49+#REF!+#REF!+K71+K82+K93+K126+K137+K148+K159+K170+K192+K203+K214+K225+K258+K280+K104+K115+K181+K236+K247+K60++K291+K269+K302+K313+K346+K335+K324</f>
        <v>#REF!</v>
      </c>
      <c r="L358" s="69" t="e">
        <f>L16+L27+L38+L49+#REF!+#REF!+L71+L82+L93+L126+L137+L148+L159+L170+L192+L203+L214+L225+L258+L280+L104+L115+L181+L236+L247+L60++L291+L269+L302+L313+L346+L335+L324</f>
        <v>#REF!</v>
      </c>
      <c r="M358" s="69" t="e">
        <f>M16+M27+M38+M49+#REF!+#REF!+M71+M82+M93+M126+M137+M148+M159+M170+M192+M203+M214+M225+M258+M280+M104+M115+M181+M236+M247+M60++M291+M269+M302+M313+M346+M335+M324</f>
        <v>#REF!</v>
      </c>
      <c r="N358" s="65">
        <v>10247884.67</v>
      </c>
      <c r="O358" s="70">
        <f t="shared" si="23"/>
        <v>13005313.67</v>
      </c>
      <c r="Q358" s="65"/>
    </row>
    <row r="359" spans="1:17" ht="10.5">
      <c r="A359" s="64" t="s">
        <v>239</v>
      </c>
      <c r="B359" s="68"/>
      <c r="C359" s="68"/>
      <c r="D359" s="68"/>
      <c r="E359" s="68"/>
      <c r="F359" s="68"/>
      <c r="G359" s="69">
        <f t="shared" si="22"/>
        <v>3464883</v>
      </c>
      <c r="H359" s="69">
        <f t="shared" si="22"/>
        <v>2907810</v>
      </c>
      <c r="I359" s="69">
        <f t="shared" si="22"/>
        <v>2907810</v>
      </c>
      <c r="J359" s="69" t="e">
        <f>J17+J28+J39+J50+#REF!+#REF!+J72+J83+J94+J127+J138+J149+J160+J171+J193+J204+J215+J226+J259+J281+J105+J116+J182+J237+J248+J61++J292+J270+J303+J314+J347+J336+J325</f>
        <v>#REF!</v>
      </c>
      <c r="K359" s="69" t="e">
        <f>K17+K28+K39+K50+#REF!+#REF!+K72+K83+K94+K127+K138+K149+K160+K171+K193+K204+K215+K226+K259+K281+K105+K116+K182+K237+K248+K61++K292+K270+K303+K314+K347+K336+K325</f>
        <v>#REF!</v>
      </c>
      <c r="L359" s="69" t="e">
        <f>L17+L28+L39+L50+#REF!+#REF!+L72+L83+L94+L127+L138+L149+L160+L171+L193+L204+L215+L226+L259+L281+L105+L116+L182+L237+L248+L61++L292+L270+L303+L314+L347+L336+L325</f>
        <v>#REF!</v>
      </c>
      <c r="M359" s="69" t="e">
        <f>M17+M28+M39+M50+#REF!+#REF!+M72+M83+M94+M127+M138+M149+M160+M171+M193+M204+M215+M226+M259+M281+M105+M116+M182+M237+M248+M61++M292+M270+M303+M314+M347+M336+M325</f>
        <v>#REF!</v>
      </c>
      <c r="N359" s="65">
        <v>311797.98</v>
      </c>
      <c r="O359" s="70">
        <f t="shared" si="23"/>
        <v>3776680.98</v>
      </c>
      <c r="Q359" s="65"/>
    </row>
    <row r="360" spans="1:17" ht="10.5">
      <c r="A360" s="64" t="s">
        <v>240</v>
      </c>
      <c r="B360" s="68"/>
      <c r="C360" s="68"/>
      <c r="D360" s="68"/>
      <c r="E360" s="68"/>
      <c r="F360" s="68"/>
      <c r="G360" s="69">
        <f t="shared" si="22"/>
        <v>5233170</v>
      </c>
      <c r="H360" s="69">
        <f t="shared" si="22"/>
        <v>4416720</v>
      </c>
      <c r="I360" s="69">
        <f t="shared" si="22"/>
        <v>4416720</v>
      </c>
      <c r="J360" s="69" t="e">
        <f>J18+J29+J40+J51+#REF!+#REF!+J73+J84+J95+J128+J139+J150+J161+J172+J194+J205+J216+J227+J260+J282+J106+J117+J183+J238+J249+J62++J293+J271+J304+J315+J348+J337+J326</f>
        <v>#REF!</v>
      </c>
      <c r="K360" s="69" t="e">
        <f>K18+K29+K40+K51+#REF!+#REF!+K73+K84+K95+K128+K139+K150+K161+K172+K194+K205+K216+K227+K260+K282+K106+K117+K183+K238+K249+K62++K293+K271+K304+K315+K348+K337+K326</f>
        <v>#REF!</v>
      </c>
      <c r="L360" s="69" t="e">
        <f>L18+L29+L40+L51+#REF!+#REF!+L73+L84+L95+L128+L139+L150+L161+L172+L194+L205+L216+L227+L260+L282+L106+L117+L183+L238+L249+L62++L293+L271+L304+L315+L348+L337+L326</f>
        <v>#REF!</v>
      </c>
      <c r="M360" s="69" t="e">
        <f>M18+M29+M40+M51+#REF!+#REF!+M73+M84+M95+M128+M139+M150+M161+M172+M194+M205+M216+M227+M260+M282+M106+M117+M183+M238+M249+M62++M293+M271+M304+M315+M348+M337+M326</f>
        <v>#REF!</v>
      </c>
      <c r="N360" s="65">
        <v>467700</v>
      </c>
      <c r="O360" s="70">
        <f t="shared" si="23"/>
        <v>5700870</v>
      </c>
      <c r="Q360" s="65"/>
    </row>
    <row r="361" spans="1:15" ht="10.5">
      <c r="A361" s="64" t="s">
        <v>241</v>
      </c>
      <c r="B361" s="68"/>
      <c r="C361" s="68"/>
      <c r="D361" s="68"/>
      <c r="E361" s="68"/>
      <c r="F361" s="68"/>
      <c r="G361" s="69">
        <f t="shared" si="22"/>
        <v>2932613</v>
      </c>
      <c r="H361" s="69">
        <f t="shared" si="22"/>
        <v>888350</v>
      </c>
      <c r="I361" s="69">
        <f t="shared" si="22"/>
        <v>888350</v>
      </c>
      <c r="J361" s="69" t="e">
        <f>J19+J30+J41+J52+#REF!+#REF!+J74+J85+J96+J129+J140+J151+J162+J173+J195+J206+J217+J228+J261+J283+J107+J118+J184+J239+J250+J63++J294+J272+J305+J316+J349+J338+J327</f>
        <v>#REF!</v>
      </c>
      <c r="K361" s="69" t="e">
        <f>K19+K30+K41+K52+#REF!+#REF!+K74+K85+K96+K129+K140+K151+K162+K173+K195+K206+K217+K228+K261+K283+K107+K118+K184+K239+K250+K63++K294+K272+K305+K316+K349+K338+K327</f>
        <v>#REF!</v>
      </c>
      <c r="L361" s="69" t="e">
        <f>L19+L30+L41+L52+#REF!+#REF!+L74+L85+L96+L129+L140+L151+L162+L173+L195+L206+L217+L228+L261+L283+L107+L118+L184+L239+L250+L63++L294+L272+L305+L316+L349+L338+L327</f>
        <v>#REF!</v>
      </c>
      <c r="M361" s="69" t="e">
        <f>M19+M30+M41+M52+#REF!+#REF!+M74+M85+M96+M129+M140+M151+M162+M173+M195+M206+M217+M228+M261+M283+M107+M118+M184+M239+M250+M63++M294+M272+M305+M316+M349+M338+M327</f>
        <v>#REF!</v>
      </c>
      <c r="N361" s="65">
        <v>3458179.8</v>
      </c>
      <c r="O361" s="70">
        <f t="shared" si="23"/>
        <v>6390792.8</v>
      </c>
    </row>
    <row r="362" spans="1:15" s="73" customFormat="1" ht="10.5">
      <c r="A362" s="71"/>
      <c r="B362" s="71"/>
      <c r="C362" s="71"/>
      <c r="D362" s="71"/>
      <c r="E362" s="71"/>
      <c r="F362" s="71"/>
      <c r="G362" s="69">
        <f>SUM(G352:G361)</f>
        <v>33351665</v>
      </c>
      <c r="H362" s="69">
        <f>SUM(H352:H361)</f>
        <v>26090400</v>
      </c>
      <c r="I362" s="69">
        <f>SUM(I352:I361)</f>
        <v>26090400</v>
      </c>
      <c r="J362" s="69" t="e">
        <f>SUM(J351:J361)</f>
        <v>#REF!</v>
      </c>
      <c r="K362" s="69" t="e">
        <f>SUM(K351:K361)</f>
        <v>#REF!</v>
      </c>
      <c r="L362" s="69" t="e">
        <f>SUM(L351:L361)</f>
        <v>#REF!</v>
      </c>
      <c r="M362" s="69" t="e">
        <f>SUM(M351:M361)</f>
        <v>#REF!</v>
      </c>
      <c r="N362" s="72">
        <f>SUM(N352:N361)</f>
        <v>16859761.27</v>
      </c>
      <c r="O362" s="72">
        <f>SUM(O352:O361)</f>
        <v>50211426.269999996</v>
      </c>
    </row>
    <row r="363" spans="7:14" ht="10.5">
      <c r="G363" s="74">
        <v>33351665</v>
      </c>
      <c r="H363" s="62">
        <v>26090400</v>
      </c>
      <c r="I363" s="62">
        <v>26090400</v>
      </c>
      <c r="J363" s="65" t="e">
        <f>G362-J362-K362-L362-M362</f>
        <v>#REF!</v>
      </c>
      <c r="N363" s="58">
        <v>16859761.27</v>
      </c>
    </row>
    <row r="364" spans="7:15" ht="10.5">
      <c r="G364" s="75">
        <f>G350-G363</f>
        <v>0</v>
      </c>
      <c r="H364" s="75">
        <f aca="true" t="shared" si="24" ref="H364:O364">H350-H363</f>
        <v>0</v>
      </c>
      <c r="I364" s="75">
        <f t="shared" si="24"/>
        <v>0</v>
      </c>
      <c r="J364" s="75" t="e">
        <f t="shared" si="24"/>
        <v>#REF!</v>
      </c>
      <c r="K364" s="75">
        <f t="shared" si="24"/>
        <v>394660</v>
      </c>
      <c r="L364" s="75">
        <f t="shared" si="24"/>
        <v>5313000</v>
      </c>
      <c r="M364" s="75">
        <f t="shared" si="24"/>
        <v>758200</v>
      </c>
      <c r="N364" s="75">
        <f t="shared" si="24"/>
        <v>9625298.73</v>
      </c>
      <c r="O364" s="75">
        <f t="shared" si="24"/>
        <v>0</v>
      </c>
    </row>
  </sheetData>
  <sheetProtection/>
  <mergeCells count="9">
    <mergeCell ref="J6:M6"/>
    <mergeCell ref="E1:I1"/>
    <mergeCell ref="E2:I2"/>
    <mergeCell ref="A3:I3"/>
    <mergeCell ref="A4:I4"/>
    <mergeCell ref="A6:A7"/>
    <mergeCell ref="B6:F6"/>
    <mergeCell ref="G6:G7"/>
    <mergeCell ref="H6:I6"/>
  </mergeCells>
  <printOptions/>
  <pageMargins left="0.5118110236220472" right="0.1968503937007874" top="0.35433070866141736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2022-01-14T07:58:53Z</cp:lastPrinted>
  <dcterms:created xsi:type="dcterms:W3CDTF">2022-01-08T06:01:34Z</dcterms:created>
  <dcterms:modified xsi:type="dcterms:W3CDTF">2022-01-14T07:59:26Z</dcterms:modified>
  <cp:category/>
  <cp:version/>
  <cp:contentType/>
  <cp:contentStatus/>
</cp:coreProperties>
</file>