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ил 8 (2012)" sheetId="1" r:id="rId1"/>
    <sheet name="прил10 (2012 " sheetId="2" r:id="rId2"/>
    <sheet name="Лист3" sheetId="3" r:id="rId3"/>
  </sheets>
  <externalReferences>
    <externalReference r:id="rId6"/>
  </externalReferences>
  <definedNames>
    <definedName name="_xlnm.Print_Titles" localSheetId="0">'Прил 8 (2012)'!$8:$8</definedName>
    <definedName name="_xlnm.Print_Titles" localSheetId="1">'прил10 (2012 '!$9:$9</definedName>
    <definedName name="_xlnm.Print_Area" localSheetId="0">'Прил 8 (2012)'!$A$2:$F$63</definedName>
    <definedName name="_xlnm.Print_Area" localSheetId="1">'прил10 (2012 '!$A$2:$M$524</definedName>
  </definedNames>
  <calcPr fullCalcOnLoad="1"/>
</workbook>
</file>

<file path=xl/sharedStrings.xml><?xml version="1.0" encoding="utf-8"?>
<sst xmlns="http://schemas.openxmlformats.org/spreadsheetml/2006/main" count="2924" uniqueCount="520">
  <si>
    <t>092</t>
  </si>
  <si>
    <t>проект</t>
  </si>
  <si>
    <t>тыс.руб</t>
  </si>
  <si>
    <t>Приложение 8</t>
  </si>
  <si>
    <t>РАСПРЕДЕЛЕНИЕ</t>
  </si>
  <si>
    <t>расходов бюджета муниципального образования  "Онгудайский район" на 2012 год                                           по разделам и подразделам   классификации расходов бюджетов Российской Федерации</t>
  </si>
  <si>
    <t>Наименование разделов и подразделов</t>
  </si>
  <si>
    <t>Сумма на  2012 г.</t>
  </si>
  <si>
    <t xml:space="preserve">Изменения и дополнения </t>
  </si>
  <si>
    <t>Сумма на утверждение 2012 г.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</si>
  <si>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</si>
  <si>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</si>
  <si>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</si>
  <si>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</si>
  <si>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</si>
  <si>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</si>
  <si>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</si>
  <si>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</si>
  <si>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</si>
  <si>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</si>
  <si>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</si>
  <si>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</si>
  <si>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</si>
  <si>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</si>
  <si>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</si>
  <si>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</si>
  <si>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</si>
  <si>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</si>
  <si>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</si>
  <si>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</si>
  <si>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</si>
  <si>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</si>
  <si>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</si>
  <si>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</si>
  <si>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</si>
  <si>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</si>
  <si>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</si>
  <si>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</si>
  <si>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</si>
  <si>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</si>
  <si>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</si>
  <si>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</si>
  <si>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</si>
  <si>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</si>
  <si>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</si>
  <si>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</si>
  <si>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</si>
  <si>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</si>
  <si>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</si>
  <si>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</si>
  <si>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</si>
  <si>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</si>
  <si>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</si>
  <si>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</si>
  <si>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</si>
  <si>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</si>
  <si>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</si>
  <si>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</si>
  <si>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</si>
  <si>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</si>
  <si>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</si>
  <si>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</si>
  <si>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</si>
  <si>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</si>
  <si>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</si>
  <si>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</si>
  <si>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</si>
  <si>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</si>
  <si>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</si>
  <si>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</si>
  <si>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</si>
  <si>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</si>
  <si>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</si>
  <si>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</si>
  <si>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</si>
  <si>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</si>
  <si>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</si>
  <si>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</si>
  <si>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</si>
  <si>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</si>
  <si>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</si>
  <si>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</si>
  <si>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</si>
  <si>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</si>
  <si>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</si>
  <si>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</si>
  <si>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</si>
  <si>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>Ведомственная структура  расходов бюджета муниципального образования "Онгудайский район"                                     на 2012 год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</si>
  <si>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</si>
  <si>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</si>
  <si>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</si>
  <si>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</si>
  <si>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2012г (тыс.руб.)</t>
  </si>
  <si>
    <t>Сумма на утверждение  c учетом изменений 2012г (тыс.руб.)</t>
  </si>
  <si>
    <t>Сумма на утверждение   2009г (тыс.руб.)</t>
  </si>
  <si>
    <t>Функциональной классификации расходов</t>
  </si>
  <si>
    <r>
      <t>Главный</t>
    </r>
    <r>
      <rPr>
        <b/>
        <sz val="10"/>
        <rFont val="Times New Roman"/>
        <family val="1"/>
      </rPr>
      <t xml:space="preserve"> распорядитель, распорядитель средств</t>
    </r>
  </si>
  <si>
    <t>Раздел</t>
  </si>
  <si>
    <t>Подраздел</t>
  </si>
  <si>
    <t>Целевая статья**</t>
  </si>
  <si>
    <t>Вид расхода**</t>
  </si>
  <si>
    <t>А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</si>
  <si>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</si>
  <si>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</si>
  <si>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</si>
  <si>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</si>
  <si>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</si>
  <si>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</si>
  <si>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</si>
  <si>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</si>
  <si>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</si>
  <si>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</si>
  <si>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</si>
  <si>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</si>
  <si>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</si>
  <si>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</si>
  <si>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</si>
  <si>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</si>
  <si>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</si>
  <si>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</si>
  <si>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</si>
  <si>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</si>
  <si>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</si>
  <si>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</si>
  <si>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</si>
  <si>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</si>
  <si>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</si>
  <si>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</si>
  <si>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</si>
  <si>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</si>
  <si>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</si>
  <si>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</si>
  <si>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</si>
  <si>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</si>
  <si>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</si>
  <si>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</si>
  <si>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</si>
  <si>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</si>
  <si>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</si>
  <si>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</si>
  <si>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</si>
  <si>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</si>
  <si>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</si>
  <si>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</si>
  <si>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</si>
  <si>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</si>
  <si>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</si>
  <si>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</si>
  <si>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</si>
  <si>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</si>
  <si>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</si>
  <si>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</si>
  <si>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</si>
  <si>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</si>
  <si>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</si>
  <si>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</si>
  <si>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</si>
  <si>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</si>
  <si>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</si>
  <si>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</si>
  <si>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</si>
  <si>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</si>
  <si>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</si>
  <si>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</si>
  <si>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</si>
  <si>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</si>
  <si>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</si>
  <si>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</si>
  <si>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</si>
  <si>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</si>
  <si>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</si>
  <si>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</si>
  <si>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</si>
  <si>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</si>
  <si>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</si>
  <si>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</si>
  <si>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</si>
  <si>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</si>
  <si>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</si>
  <si>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</si>
  <si>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</si>
  <si>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</si>
  <si>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</si>
  <si>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</si>
  <si>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</si>
  <si>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</si>
  <si>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</si>
  <si>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</si>
  <si>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</si>
  <si>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</si>
  <si>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</si>
  <si>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</si>
  <si>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</si>
  <si>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</si>
  <si>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</si>
  <si>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</si>
  <si>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</si>
  <si>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</si>
  <si>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</si>
  <si>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</si>
  <si>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</si>
  <si>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</si>
  <si>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</si>
  <si>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</si>
  <si>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</si>
  <si>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</si>
  <si>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</si>
  <si>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</si>
  <si>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</si>
  <si>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</si>
  <si>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</si>
  <si>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</si>
  <si>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</si>
  <si>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</si>
  <si>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</si>
  <si>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</si>
  <si>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</si>
  <si>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</si>
  <si>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</si>
  <si>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</si>
  <si>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</si>
  <si>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</si>
  <si>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</si>
  <si>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</si>
  <si>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</si>
  <si>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</si>
  <si>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</si>
  <si>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</si>
  <si>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</si>
  <si>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</si>
  <si>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</si>
  <si>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</si>
  <si>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</si>
  <si>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</si>
  <si>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</si>
  <si>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</si>
  <si>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</si>
  <si>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</si>
  <si>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</si>
  <si>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</si>
  <si>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</si>
  <si>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</si>
  <si>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</si>
  <si>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</si>
  <si>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</si>
  <si>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</si>
  <si>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</si>
  <si>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</si>
  <si>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</si>
  <si>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</si>
  <si>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</si>
  <si>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</si>
  <si>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</si>
  <si>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</si>
  <si>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</si>
  <si>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</si>
  <si>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</si>
  <si>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</si>
  <si>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</si>
  <si>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</si>
  <si>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</si>
  <si>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</si>
  <si>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</si>
  <si>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</si>
  <si>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</si>
  <si>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</si>
  <si>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</si>
  <si>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</si>
  <si>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</si>
  <si>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</si>
  <si>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</si>
  <si>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</si>
  <si>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</si>
  <si>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</si>
  <si>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</si>
  <si>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</si>
  <si>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</si>
  <si>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</si>
  <si>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</si>
  <si>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</si>
  <si>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</si>
  <si>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</si>
  <si>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</si>
  <si>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</si>
  <si>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</si>
  <si>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</si>
  <si>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</si>
  <si>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</si>
  <si>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</si>
  <si>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</si>
  <si>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</si>
  <si>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</si>
  <si>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</si>
  <si>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</si>
  <si>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</si>
  <si>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</si>
  <si>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</si>
  <si>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</si>
  <si>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</si>
  <si>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</si>
  <si>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</si>
  <si>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</si>
  <si>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</si>
  <si>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</si>
  <si>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</si>
  <si>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</si>
  <si>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</si>
  <si>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</si>
  <si>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</si>
  <si>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</si>
  <si>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</si>
  <si>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</si>
  <si>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</si>
  <si>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</si>
  <si>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</si>
  <si>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</si>
  <si>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</si>
  <si>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</si>
  <si>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</si>
  <si>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</si>
  <si>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</si>
  <si>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</si>
  <si>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</si>
  <si>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</si>
  <si>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</si>
  <si>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</si>
  <si>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</si>
  <si>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</si>
  <si>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</si>
  <si>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</si>
  <si>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</si>
  <si>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</si>
  <si>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</si>
  <si>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</si>
  <si>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</si>
  <si>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</si>
  <si>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</si>
  <si>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</si>
  <si>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</si>
  <si>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</si>
  <si>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</si>
  <si>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</si>
  <si>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</si>
  <si>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</si>
  <si>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</si>
  <si>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</si>
  <si>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</si>
  <si>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</si>
  <si>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</si>
  <si>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</si>
  <si>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</si>
  <si>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</si>
  <si>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6000000</t>
  </si>
  <si>
    <t>Организация и содержание  мест захоронения</t>
  </si>
  <si>
    <t>6000400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</si>
  <si>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</si>
  <si>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</si>
  <si>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</si>
  <si>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</si>
  <si>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</si>
  <si>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</si>
  <si>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</si>
  <si>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</si>
  <si>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</si>
  <si>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</si>
  <si>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Выполнение функций  государственными учреждениями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</si>
  <si>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</si>
  <si>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</si>
  <si>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</si>
  <si>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</si>
  <si>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</si>
  <si>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</si>
  <si>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</si>
  <si>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</si>
  <si>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</si>
  <si>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</si>
  <si>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</si>
  <si>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</si>
  <si>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</si>
  <si>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</si>
  <si>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</si>
  <si>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</si>
  <si>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</si>
  <si>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</si>
  <si>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</si>
  <si>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</si>
  <si>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</si>
  <si>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</si>
  <si>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</si>
  <si>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</si>
  <si>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</si>
  <si>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</si>
  <si>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</si>
  <si>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</si>
  <si>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</si>
  <si>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</si>
  <si>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</si>
  <si>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</si>
  <si>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</si>
  <si>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</si>
  <si>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</si>
  <si>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</si>
  <si>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</si>
  <si>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</si>
  <si>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</si>
  <si>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</si>
  <si>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</si>
  <si>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</si>
  <si>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</si>
  <si>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</si>
  <si>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</si>
  <si>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</si>
  <si>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</si>
  <si>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</si>
  <si>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</si>
  <si>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</si>
  <si>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</si>
  <si>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</si>
  <si>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</si>
  <si>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</si>
  <si>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</si>
  <si>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</si>
  <si>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</si>
  <si>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</si>
  <si>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</si>
  <si>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</si>
  <si>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</si>
  <si>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</si>
  <si>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</si>
  <si>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</si>
  <si>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</si>
  <si>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</si>
  <si>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</si>
  <si>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</si>
  <si>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</si>
  <si>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</si>
  <si>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</si>
  <si>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</si>
  <si>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</si>
  <si>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</si>
  <si>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</si>
  <si>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</si>
  <si>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</si>
  <si>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</si>
  <si>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</si>
  <si>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</si>
  <si>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</si>
  <si>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</si>
  <si>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</si>
  <si>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</si>
  <si>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</si>
  <si>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</si>
  <si>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</si>
  <si>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</si>
  <si>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</si>
  <si>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</si>
  <si>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</si>
  <si>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</si>
  <si>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</si>
  <si>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</si>
  <si>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</si>
  <si>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</si>
  <si>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</si>
  <si>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</si>
  <si>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</si>
  <si>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</si>
  <si>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</si>
  <si>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</si>
  <si>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</si>
  <si>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</si>
  <si>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</si>
  <si>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</si>
  <si>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</si>
  <si>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</si>
  <si>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</si>
  <si>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</si>
  <si>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</si>
  <si>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</si>
  <si>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</si>
  <si>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</si>
  <si>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</si>
  <si>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</si>
  <si>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</si>
  <si>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</si>
  <si>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</si>
  <si>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</si>
  <si>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</si>
  <si>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</si>
  <si>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</si>
  <si>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</si>
  <si>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</si>
  <si>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</si>
  <si>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</si>
  <si>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</si>
  <si>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</si>
  <si>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</si>
  <si>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</si>
  <si>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</si>
  <si>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</si>
  <si>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</si>
  <si>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</si>
  <si>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</si>
  <si>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</si>
  <si>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</si>
  <si>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</si>
  <si>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</si>
  <si>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</si>
  <si>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</si>
  <si>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</si>
  <si>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</si>
  <si>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</si>
  <si>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</si>
  <si>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</si>
  <si>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</si>
  <si>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</si>
  <si>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</si>
  <si>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 04.06.012г № 33-2   )</t>
  </si>
  <si>
    <t>Приложение 10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</si>
  <si>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 04.06.2012г №33-2 )</t>
  </si>
  <si>
    <t>Муниципальные автономные образовательные учреждения дополнительного образования детей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</si>
</sst>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6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0" fontId="6" fillId="0" borderId="10" xfId="58" applyFont="1" applyBorder="1" applyAlignment="1">
      <alignment wrapText="1"/>
      <protection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" fontId="11" fillId="0" borderId="13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4" fillId="0" borderId="10" xfId="57" applyFont="1" applyFill="1" applyBorder="1" applyAlignment="1">
      <alignment wrapText="1"/>
      <protection/>
    </xf>
    <xf numFmtId="2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10" fillId="0" borderId="13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12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13" fillId="0" borderId="25" xfId="0" applyNumberFormat="1" applyFont="1" applyFill="1" applyBorder="1" applyAlignment="1">
      <alignment/>
    </xf>
    <xf numFmtId="2" fontId="13" fillId="0" borderId="2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2" fontId="10" fillId="0" borderId="14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/>
    </xf>
    <xf numFmtId="0" fontId="4" fillId="0" borderId="10" xfId="54" applyFont="1" applyFill="1" applyBorder="1" applyAlignment="1">
      <alignment horizontal="justify" vertical="top" wrapText="1" shrinkToFit="1"/>
      <protection/>
    </xf>
    <xf numFmtId="4" fontId="4" fillId="0" borderId="10" xfId="0" applyNumberFormat="1" applyFont="1" applyFill="1" applyBorder="1" applyAlignment="1">
      <alignment horizontal="justify" vertical="top" wrapText="1"/>
    </xf>
    <xf numFmtId="2" fontId="14" fillId="0" borderId="15" xfId="0" applyNumberFormat="1" applyFont="1" applyFill="1" applyBorder="1" applyAlignment="1">
      <alignment/>
    </xf>
    <xf numFmtId="2" fontId="14" fillId="0" borderId="27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4" fillId="0" borderId="10" xfId="54" applyFont="1" applyFill="1" applyBorder="1" applyAlignment="1">
      <alignment horizontal="justify" wrapText="1" shrinkToFit="1"/>
      <protection/>
    </xf>
    <xf numFmtId="2" fontId="3" fillId="0" borderId="27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 shrinkToFit="1"/>
    </xf>
    <xf numFmtId="2" fontId="3" fillId="0" borderId="28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2" fontId="13" fillId="0" borderId="29" xfId="0" applyNumberFormat="1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5" fillId="0" borderId="10" xfId="57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justify" vertical="top" wrapText="1" shrinkToFi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justify" vertical="center" wrapText="1" shrinkToFit="1"/>
      <protection/>
    </xf>
    <xf numFmtId="49" fontId="4" fillId="0" borderId="10" xfId="54" applyNumberFormat="1" applyFont="1" applyFill="1" applyBorder="1" applyAlignment="1">
      <alignment horizontal="left" wrapText="1" shrinkToFit="1"/>
      <protection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2" fontId="10" fillId="0" borderId="15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179" fontId="4" fillId="0" borderId="10" xfId="72" applyNumberFormat="1" applyFont="1" applyFill="1" applyBorder="1" applyAlignment="1">
      <alignment horizontal="left" vertical="justify" wrapText="1"/>
    </xf>
    <xf numFmtId="2" fontId="3" fillId="0" borderId="13" xfId="55" applyNumberFormat="1" applyFont="1" applyFill="1" applyBorder="1">
      <alignment/>
      <protection/>
    </xf>
    <xf numFmtId="2" fontId="11" fillId="0" borderId="13" xfId="55" applyNumberFormat="1" applyFont="1" applyFill="1" applyBorder="1">
      <alignment/>
      <protection/>
    </xf>
    <xf numFmtId="179" fontId="5" fillId="0" borderId="10" xfId="72" applyNumberFormat="1" applyFont="1" applyFill="1" applyBorder="1" applyAlignment="1">
      <alignment wrapText="1"/>
    </xf>
    <xf numFmtId="2" fontId="10" fillId="0" borderId="13" xfId="55" applyNumberFormat="1" applyFont="1" applyFill="1" applyBorder="1">
      <alignment/>
      <protection/>
    </xf>
    <xf numFmtId="2" fontId="11" fillId="0" borderId="10" xfId="0" applyNumberFormat="1" applyFont="1" applyFill="1" applyBorder="1" applyAlignment="1">
      <alignment/>
    </xf>
    <xf numFmtId="2" fontId="10" fillId="0" borderId="15" xfId="55" applyNumberFormat="1" applyFont="1" applyFill="1" applyBorder="1">
      <alignment/>
      <protection/>
    </xf>
    <xf numFmtId="2" fontId="10" fillId="0" borderId="27" xfId="55" applyNumberFormat="1" applyFont="1" applyFill="1" applyBorder="1">
      <alignment/>
      <protection/>
    </xf>
    <xf numFmtId="0" fontId="5" fillId="0" borderId="10" xfId="58" applyFont="1" applyFill="1" applyBorder="1" applyAlignment="1">
      <alignment horizontal="left"/>
      <protection/>
    </xf>
    <xf numFmtId="2" fontId="15" fillId="0" borderId="13" xfId="0" applyNumberFormat="1" applyFont="1" applyFill="1" applyBorder="1" applyAlignment="1">
      <alignment/>
    </xf>
    <xf numFmtId="2" fontId="15" fillId="0" borderId="14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60" fillId="0" borderId="11" xfId="0" applyNumberFormat="1" applyFont="1" applyFill="1" applyBorder="1" applyAlignment="1">
      <alignment/>
    </xf>
    <xf numFmtId="0" fontId="5" fillId="0" borderId="10" xfId="57" applyFont="1" applyFill="1" applyBorder="1" applyAlignment="1">
      <alignment vertical="center" wrapText="1"/>
      <protection/>
    </xf>
    <xf numFmtId="2" fontId="10" fillId="0" borderId="22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center" wrapText="1"/>
      <protection/>
    </xf>
    <xf numFmtId="180" fontId="4" fillId="0" borderId="10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27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2" fontId="11" fillId="0" borderId="26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2" fontId="18" fillId="0" borderId="26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181" fontId="10" fillId="0" borderId="37" xfId="0" applyNumberFormat="1" applyFont="1" applyFill="1" applyBorder="1" applyAlignment="1">
      <alignment/>
    </xf>
    <xf numFmtId="49" fontId="11" fillId="0" borderId="38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/>
    </xf>
    <xf numFmtId="2" fontId="19" fillId="0" borderId="3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85" fontId="4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/>
    </xf>
    <xf numFmtId="185" fontId="4" fillId="0" borderId="10" xfId="55" applyNumberFormat="1" applyFont="1" applyFill="1" applyBorder="1">
      <alignment/>
      <protection/>
    </xf>
    <xf numFmtId="185" fontId="3" fillId="0" borderId="10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/>
    </xf>
    <xf numFmtId="185" fontId="10" fillId="0" borderId="35" xfId="0" applyNumberFormat="1" applyFont="1" applyFill="1" applyBorder="1" applyAlignment="1">
      <alignment/>
    </xf>
    <xf numFmtId="185" fontId="10" fillId="0" borderId="10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/>
    </xf>
    <xf numFmtId="185" fontId="10" fillId="0" borderId="36" xfId="0" applyNumberFormat="1" applyFont="1" applyFill="1" applyBorder="1" applyAlignment="1">
      <alignment/>
    </xf>
    <xf numFmtId="185" fontId="18" fillId="0" borderId="26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/>
    </xf>
    <xf numFmtId="185" fontId="10" fillId="0" borderId="37" xfId="0" applyNumberFormat="1" applyFont="1" applyFill="1" applyBorder="1" applyAlignment="1">
      <alignment/>
    </xf>
    <xf numFmtId="185" fontId="13" fillId="0" borderId="36" xfId="0" applyNumberFormat="1" applyFont="1" applyFill="1" applyBorder="1" applyAlignment="1">
      <alignment/>
    </xf>
    <xf numFmtId="185" fontId="19" fillId="0" borderId="39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2" fontId="10" fillId="0" borderId="16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181" fontId="3" fillId="0" borderId="0" xfId="0" applyNumberFormat="1" applyFont="1" applyFill="1" applyAlignment="1">
      <alignment/>
    </xf>
    <xf numFmtId="0" fontId="4" fillId="0" borderId="40" xfId="0" applyFont="1" applyFill="1" applyBorder="1" applyAlignment="1">
      <alignment horizontal="justify" vertical="center" wrapText="1" shrinkToFit="1"/>
    </xf>
    <xf numFmtId="0" fontId="4" fillId="0" borderId="40" xfId="0" applyFont="1" applyFill="1" applyBorder="1" applyAlignment="1">
      <alignment horizontal="justify" vertical="top" wrapText="1" shrinkToFit="1"/>
    </xf>
    <xf numFmtId="0" fontId="4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2" fontId="13" fillId="0" borderId="41" xfId="55" applyNumberFormat="1" applyFont="1" applyFill="1" applyBorder="1">
      <alignment/>
      <protection/>
    </xf>
    <xf numFmtId="185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4" fillId="0" borderId="10" xfId="58" applyNumberFormat="1" applyFont="1" applyFill="1" applyBorder="1" applyAlignment="1">
      <alignment horizontal="left" wrapText="1"/>
      <protection/>
    </xf>
    <xf numFmtId="2" fontId="3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17" fillId="0" borderId="10" xfId="57" applyNumberFormat="1" applyFont="1" applyFill="1" applyBorder="1" applyAlignment="1">
      <alignment wrapText="1"/>
      <protection/>
    </xf>
    <xf numFmtId="0" fontId="4" fillId="0" borderId="10" xfId="57" applyFont="1" applyFill="1" applyBorder="1" applyAlignment="1">
      <alignment horizontal="left" wrapText="1"/>
      <protection/>
    </xf>
    <xf numFmtId="181" fontId="4" fillId="0" borderId="10" xfId="0" applyNumberFormat="1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left"/>
    </xf>
    <xf numFmtId="2" fontId="3" fillId="0" borderId="29" xfId="0" applyNumberFormat="1" applyFont="1" applyFill="1" applyBorder="1" applyAlignment="1">
      <alignment horizontal="left"/>
    </xf>
    <xf numFmtId="2" fontId="10" fillId="0" borderId="32" xfId="0" applyNumberFormat="1" applyFont="1" applyFill="1" applyBorder="1" applyAlignment="1">
      <alignment/>
    </xf>
    <xf numFmtId="0" fontId="13" fillId="0" borderId="42" xfId="0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/>
    </xf>
    <xf numFmtId="182" fontId="13" fillId="0" borderId="43" xfId="0" applyNumberFormat="1" applyFont="1" applyFill="1" applyBorder="1" applyAlignment="1">
      <alignment/>
    </xf>
    <xf numFmtId="2" fontId="13" fillId="0" borderId="44" xfId="0" applyNumberFormat="1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82" fontId="17" fillId="0" borderId="10" xfId="0" applyNumberFormat="1" applyFont="1" applyFill="1" applyBorder="1" applyAlignment="1">
      <alignment/>
    </xf>
    <xf numFmtId="49" fontId="10" fillId="0" borderId="35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0" fillId="0" borderId="36" xfId="0" applyNumberFormat="1" applyFont="1" applyFill="1" applyBorder="1" applyAlignment="1">
      <alignment/>
    </xf>
    <xf numFmtId="49" fontId="18" fillId="0" borderId="38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49" fontId="10" fillId="0" borderId="37" xfId="0" applyNumberFormat="1" applyFont="1" applyFill="1" applyBorder="1" applyAlignment="1">
      <alignment/>
    </xf>
    <xf numFmtId="49" fontId="10" fillId="0" borderId="24" xfId="0" applyNumberFormat="1" applyFont="1" applyFill="1" applyBorder="1" applyAlignment="1">
      <alignment/>
    </xf>
    <xf numFmtId="49" fontId="11" fillId="0" borderId="38" xfId="58" applyNumberFormat="1" applyFont="1" applyFill="1" applyBorder="1" applyAlignment="1">
      <alignment horizontal="center"/>
      <protection/>
    </xf>
    <xf numFmtId="181" fontId="10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1" fillId="0" borderId="38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/>
    </xf>
    <xf numFmtId="181" fontId="10" fillId="0" borderId="39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/>
    </xf>
    <xf numFmtId="0" fontId="0" fillId="0" borderId="30" xfId="0" applyBorder="1" applyAlignment="1">
      <alignment/>
    </xf>
    <xf numFmtId="0" fontId="3" fillId="0" borderId="0" xfId="0" applyFont="1" applyFill="1" applyAlignment="1">
      <alignment/>
    </xf>
    <xf numFmtId="181" fontId="4" fillId="0" borderId="0" xfId="58" applyNumberFormat="1" applyFont="1">
      <alignment/>
      <protection/>
    </xf>
    <xf numFmtId="0" fontId="5" fillId="0" borderId="30" xfId="58" applyFont="1" applyBorder="1" applyAlignment="1">
      <alignment horizont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0" xfId="55" applyNumberFormat="1" applyFont="1" applyFill="1" applyBorder="1">
      <alignment/>
      <protection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18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61" fillId="0" borderId="0" xfId="0" applyFont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/>
    </xf>
    <xf numFmtId="185" fontId="4" fillId="0" borderId="13" xfId="55" applyNumberFormat="1" applyFont="1" applyFill="1" applyBorder="1">
      <alignment/>
      <protection/>
    </xf>
    <xf numFmtId="185" fontId="4" fillId="0" borderId="15" xfId="55" applyNumberFormat="1" applyFont="1" applyFill="1" applyBorder="1">
      <alignment/>
      <protection/>
    </xf>
    <xf numFmtId="2" fontId="10" fillId="0" borderId="24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5" fillId="33" borderId="10" xfId="55" applyNumberFormat="1" applyFont="1" applyFill="1" applyBorder="1">
      <alignment/>
      <protection/>
    </xf>
    <xf numFmtId="2" fontId="5" fillId="0" borderId="10" xfId="55" applyNumberFormat="1" applyFont="1" applyFill="1" applyBorder="1">
      <alignment/>
      <protection/>
    </xf>
    <xf numFmtId="2" fontId="4" fillId="0" borderId="10" xfId="55" applyNumberFormat="1" applyFont="1" applyFill="1" applyBorder="1">
      <alignment/>
      <protection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/>
    </xf>
    <xf numFmtId="2" fontId="13" fillId="0" borderId="47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 horizontal="center"/>
    </xf>
    <xf numFmtId="49" fontId="5" fillId="0" borderId="10" xfId="58" applyNumberFormat="1" applyFont="1" applyBorder="1" applyAlignment="1">
      <alignment horizontal="center"/>
      <protection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85" fontId="1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6;&#1083;&#1103;%20&#1086;&#1073;&#1084;&#1077;&#1085;&#1072;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52">
      <selection activeCell="E31" sqref="E31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6" width="11.28125" style="1" customWidth="1"/>
    <col min="7" max="7" width="8.8515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274" t="s">
        <v>3</v>
      </c>
      <c r="D2" s="275"/>
      <c r="E2" s="275"/>
      <c r="F2" s="4"/>
      <c r="G2" s="4"/>
      <c r="H2" s="4"/>
    </row>
    <row r="3" spans="1:8" ht="39.75" customHeight="1">
      <c r="A3" s="3"/>
      <c r="C3" s="276" t="s">
        <v>516</v>
      </c>
      <c r="D3" s="276"/>
      <c r="E3" s="276"/>
      <c r="F3" s="276"/>
      <c r="G3" s="6"/>
      <c r="H3" s="6"/>
    </row>
    <row r="4" spans="1:6" ht="9" customHeight="1">
      <c r="A4" s="3"/>
      <c r="B4" s="5"/>
      <c r="C4" s="5"/>
      <c r="D4" s="5"/>
      <c r="E4" s="6"/>
      <c r="F4" s="6"/>
    </row>
    <row r="5" spans="1:6" ht="12.75">
      <c r="A5" s="277" t="s">
        <v>4</v>
      </c>
      <c r="B5" s="278"/>
      <c r="C5" s="278"/>
      <c r="D5" s="279"/>
      <c r="E5" s="280"/>
      <c r="F5" s="280"/>
    </row>
    <row r="6" spans="1:6" ht="27.75" customHeight="1">
      <c r="A6" s="281" t="s">
        <v>5</v>
      </c>
      <c r="B6" s="282"/>
      <c r="C6" s="282"/>
      <c r="D6" s="282"/>
      <c r="E6" s="282"/>
      <c r="F6" s="282"/>
    </row>
    <row r="7" spans="1:6" ht="12.75">
      <c r="A7" s="230"/>
      <c r="B7" s="227"/>
      <c r="C7" s="227"/>
      <c r="D7" s="227"/>
      <c r="E7" s="227"/>
      <c r="F7" s="227" t="s">
        <v>2</v>
      </c>
    </row>
    <row r="8" spans="1:6" ht="41.25" customHeight="1">
      <c r="A8" s="7" t="s">
        <v>6</v>
      </c>
      <c r="B8" s="7" t="s">
        <v>97</v>
      </c>
      <c r="C8" s="7" t="s">
        <v>98</v>
      </c>
      <c r="D8" s="7" t="s">
        <v>7</v>
      </c>
      <c r="E8" s="8" t="s">
        <v>8</v>
      </c>
      <c r="F8" s="7" t="s">
        <v>9</v>
      </c>
    </row>
    <row r="9" spans="1:7" ht="15" customHeight="1">
      <c r="A9" s="9" t="s">
        <v>10</v>
      </c>
      <c r="B9" s="273" t="s">
        <v>11</v>
      </c>
      <c r="C9" s="273"/>
      <c r="D9" s="11">
        <f>D10+D11+D12+D13+D14+D15+D16+D17</f>
        <v>23402.091</v>
      </c>
      <c r="E9" s="17">
        <f>E10+E11+E12+E13+E14+E15+E16+E17</f>
        <v>2074.0389999999998</v>
      </c>
      <c r="F9" s="11">
        <f>F10+F11+F12+F13+F14+F15+F16+F17</f>
        <v>25476.129999999997</v>
      </c>
      <c r="G9" s="229">
        <f>F9/309430.22*100</f>
        <v>8.233239145161711</v>
      </c>
    </row>
    <row r="10" spans="1:6" ht="21.75" customHeight="1">
      <c r="A10" s="12" t="s">
        <v>467</v>
      </c>
      <c r="B10" s="13" t="s">
        <v>12</v>
      </c>
      <c r="C10" s="13" t="s">
        <v>13</v>
      </c>
      <c r="D10" s="14">
        <f>'прил10 (2012 '!J532</f>
        <v>982.738</v>
      </c>
      <c r="E10" s="14">
        <f>'прил10 (2012 '!K532</f>
        <v>127.254</v>
      </c>
      <c r="F10" s="14">
        <f>'прил10 (2012 '!L532</f>
        <v>1109.992</v>
      </c>
    </row>
    <row r="11" spans="1:6" ht="25.5" customHeight="1">
      <c r="A11" s="12" t="s">
        <v>468</v>
      </c>
      <c r="B11" s="13" t="s">
        <v>12</v>
      </c>
      <c r="C11" s="13" t="s">
        <v>14</v>
      </c>
      <c r="D11" s="14">
        <f>'прил10 (2012 '!J533</f>
        <v>1216.4470000000001</v>
      </c>
      <c r="E11" s="14">
        <f>'прил10 (2012 '!K533</f>
        <v>150.663</v>
      </c>
      <c r="F11" s="14">
        <f>'прил10 (2012 '!L533</f>
        <v>1367.1100000000001</v>
      </c>
    </row>
    <row r="12" spans="1:6" ht="15" customHeight="1">
      <c r="A12" s="12" t="s">
        <v>469</v>
      </c>
      <c r="B12" s="13" t="s">
        <v>12</v>
      </c>
      <c r="C12" s="13" t="s">
        <v>15</v>
      </c>
      <c r="D12" s="14">
        <f>'прил10 (2012 '!J534</f>
        <v>15979.512</v>
      </c>
      <c r="E12" s="14">
        <f>'прил10 (2012 '!K534</f>
        <v>1354.018</v>
      </c>
      <c r="F12" s="14">
        <f>'прил10 (2012 '!L534</f>
        <v>17333.53</v>
      </c>
    </row>
    <row r="13" spans="1:6" ht="15" customHeight="1">
      <c r="A13" s="12" t="s">
        <v>16</v>
      </c>
      <c r="B13" s="13" t="s">
        <v>12</v>
      </c>
      <c r="C13" s="13" t="s">
        <v>17</v>
      </c>
      <c r="D13" s="14">
        <f>'прил10 (2012 '!J535</f>
        <v>11.7</v>
      </c>
      <c r="E13" s="14">
        <f>'прил10 (2012 '!K535</f>
        <v>0</v>
      </c>
      <c r="F13" s="14">
        <f>'прил10 (2012 '!L535</f>
        <v>11.7</v>
      </c>
    </row>
    <row r="14" spans="1:6" ht="28.5" customHeight="1">
      <c r="A14" s="12" t="s">
        <v>470</v>
      </c>
      <c r="B14" s="13" t="s">
        <v>12</v>
      </c>
      <c r="C14" s="13" t="s">
        <v>18</v>
      </c>
      <c r="D14" s="14">
        <f>'прил10 (2012 '!J536</f>
        <v>3746.5939999999996</v>
      </c>
      <c r="E14" s="14">
        <f>'прил10 (2012 '!K536</f>
        <v>432.404</v>
      </c>
      <c r="F14" s="14">
        <f>'прил10 (2012 '!L536</f>
        <v>4178.998</v>
      </c>
    </row>
    <row r="15" spans="1:6" ht="15" customHeight="1">
      <c r="A15" s="12" t="s">
        <v>19</v>
      </c>
      <c r="B15" s="13" t="s">
        <v>12</v>
      </c>
      <c r="C15" s="13" t="s">
        <v>20</v>
      </c>
      <c r="D15" s="14">
        <f>'прил10 (2012 '!J537</f>
        <v>0</v>
      </c>
      <c r="E15" s="14">
        <f>'прил10 (2012 '!K537</f>
        <v>0</v>
      </c>
      <c r="F15" s="14">
        <f>'прил10 (2012 '!L537</f>
        <v>0</v>
      </c>
    </row>
    <row r="16" spans="1:6" ht="15" customHeight="1">
      <c r="A16" s="15" t="s">
        <v>21</v>
      </c>
      <c r="B16" s="13" t="s">
        <v>12</v>
      </c>
      <c r="C16" s="13" t="s">
        <v>22</v>
      </c>
      <c r="D16" s="14">
        <f>'прил10 (2012 '!J539</f>
        <v>110</v>
      </c>
      <c r="E16" s="14">
        <f>'прил10 (2012 '!K539</f>
        <v>0</v>
      </c>
      <c r="F16" s="14">
        <f>'прил10 (2012 '!L539</f>
        <v>110</v>
      </c>
    </row>
    <row r="17" spans="1:6" ht="15" customHeight="1">
      <c r="A17" s="83" t="s">
        <v>25</v>
      </c>
      <c r="B17" s="13" t="s">
        <v>12</v>
      </c>
      <c r="C17" s="13" t="s">
        <v>24</v>
      </c>
      <c r="D17" s="14">
        <f>'прил10 (2012 '!J541</f>
        <v>1355.1</v>
      </c>
      <c r="E17" s="14">
        <f>'прил10 (2012 '!K541</f>
        <v>9.7</v>
      </c>
      <c r="F17" s="14">
        <f>'прил10 (2012 '!L541</f>
        <v>1364.8</v>
      </c>
    </row>
    <row r="18" spans="1:7" ht="15" customHeight="1">
      <c r="A18" s="9" t="s">
        <v>27</v>
      </c>
      <c r="B18" s="273" t="s">
        <v>28</v>
      </c>
      <c r="C18" s="273"/>
      <c r="D18" s="16">
        <f>D19</f>
        <v>543.1</v>
      </c>
      <c r="E18" s="16">
        <f>E19</f>
        <v>0</v>
      </c>
      <c r="F18" s="16">
        <f>F19</f>
        <v>543.1</v>
      </c>
      <c r="G18" s="229">
        <f>F18/309430.22*100</f>
        <v>0.17551614706540303</v>
      </c>
    </row>
    <row r="19" spans="1:6" ht="15" customHeight="1">
      <c r="A19" s="12" t="s">
        <v>29</v>
      </c>
      <c r="B19" s="13" t="s">
        <v>13</v>
      </c>
      <c r="C19" s="13" t="s">
        <v>14</v>
      </c>
      <c r="D19" s="14">
        <f>'прил10 (2012 '!J544</f>
        <v>543.1</v>
      </c>
      <c r="E19" s="14">
        <f>'прил10 (2012 '!K544</f>
        <v>0</v>
      </c>
      <c r="F19" s="14">
        <f>'прил10 (2012 '!L544</f>
        <v>543.1</v>
      </c>
    </row>
    <row r="20" spans="1:7" ht="15" customHeight="1">
      <c r="A20" s="9" t="s">
        <v>30</v>
      </c>
      <c r="B20" s="273" t="s">
        <v>31</v>
      </c>
      <c r="C20" s="273"/>
      <c r="D20" s="17">
        <f>SUM(D21:D23)</f>
        <v>300</v>
      </c>
      <c r="E20" s="17">
        <f>SUM(E21:E23)</f>
        <v>-200</v>
      </c>
      <c r="F20" s="17">
        <f>SUM(F21:F23)</f>
        <v>100</v>
      </c>
      <c r="G20" s="229">
        <f>F20/309430.22*100</f>
        <v>0.032317464014988584</v>
      </c>
    </row>
    <row r="21" spans="1:6" ht="15" customHeight="1">
      <c r="A21" s="12" t="s">
        <v>32</v>
      </c>
      <c r="B21" s="13" t="s">
        <v>14</v>
      </c>
      <c r="C21" s="13" t="s">
        <v>13</v>
      </c>
      <c r="D21" s="14">
        <f>'прил10 (2012 '!J546</f>
        <v>200</v>
      </c>
      <c r="E21" s="14">
        <f>'прил10 (2012 '!K546</f>
        <v>-200</v>
      </c>
      <c r="F21" s="14">
        <f>'прил10 (2012 '!L546</f>
        <v>0</v>
      </c>
    </row>
    <row r="22" spans="1:6" ht="25.5" customHeight="1">
      <c r="A22" s="12" t="s">
        <v>33</v>
      </c>
      <c r="B22" s="13" t="s">
        <v>14</v>
      </c>
      <c r="C22" s="13" t="s">
        <v>34</v>
      </c>
      <c r="D22" s="14">
        <f>'прил10 (2012 '!J547</f>
        <v>75</v>
      </c>
      <c r="E22" s="14">
        <f>'прил10 (2012 '!K547</f>
        <v>0</v>
      </c>
      <c r="F22" s="14">
        <f>'прил10 (2012 '!L547</f>
        <v>75</v>
      </c>
    </row>
    <row r="23" spans="1:6" ht="15" customHeight="1">
      <c r="A23" s="12" t="s">
        <v>35</v>
      </c>
      <c r="B23" s="13" t="s">
        <v>14</v>
      </c>
      <c r="C23" s="13" t="s">
        <v>26</v>
      </c>
      <c r="D23" s="14">
        <f>'прил10 (2012 '!J548</f>
        <v>25</v>
      </c>
      <c r="E23" s="14">
        <f>'прил10 (2012 '!K548</f>
        <v>0</v>
      </c>
      <c r="F23" s="14">
        <f>'прил10 (2012 '!L548</f>
        <v>25</v>
      </c>
    </row>
    <row r="24" spans="1:7" ht="15" customHeight="1">
      <c r="A24" s="9" t="s">
        <v>36</v>
      </c>
      <c r="B24" s="273" t="s">
        <v>37</v>
      </c>
      <c r="C24" s="273"/>
      <c r="D24" s="17">
        <f>SUM(D25:D28)</f>
        <v>7909.74</v>
      </c>
      <c r="E24" s="17">
        <f>SUM(E25:E28)</f>
        <v>5868.851000000001</v>
      </c>
      <c r="F24" s="17">
        <f>SUM(F25:F28)</f>
        <v>13778.590999999999</v>
      </c>
      <c r="G24" s="229">
        <f>F24/309430.22*100</f>
        <v>4.452891188197455</v>
      </c>
    </row>
    <row r="25" spans="1:6" ht="15" customHeight="1">
      <c r="A25" s="12" t="s">
        <v>38</v>
      </c>
      <c r="B25" s="13" t="s">
        <v>15</v>
      </c>
      <c r="C25" s="13" t="s">
        <v>12</v>
      </c>
      <c r="D25" s="14"/>
      <c r="E25" s="14"/>
      <c r="F25" s="14"/>
    </row>
    <row r="26" spans="1:6" ht="15" customHeight="1">
      <c r="A26" s="12" t="s">
        <v>39</v>
      </c>
      <c r="B26" s="13" t="s">
        <v>15</v>
      </c>
      <c r="C26" s="13" t="s">
        <v>17</v>
      </c>
      <c r="D26" s="14">
        <f>'прил10 (2012 '!J550</f>
        <v>230</v>
      </c>
      <c r="E26" s="14">
        <f>'прил10 (2012 '!K550</f>
        <v>0</v>
      </c>
      <c r="F26" s="14">
        <f>'прил10 (2012 '!L550</f>
        <v>230</v>
      </c>
    </row>
    <row r="27" spans="1:6" ht="15" customHeight="1">
      <c r="A27" s="12" t="s">
        <v>512</v>
      </c>
      <c r="B27" s="13" t="s">
        <v>15</v>
      </c>
      <c r="C27" s="13" t="s">
        <v>34</v>
      </c>
      <c r="D27" s="14">
        <f>'прил10 (2012 '!J551</f>
        <v>0</v>
      </c>
      <c r="E27" s="14">
        <f>'прил10 (2012 '!K551</f>
        <v>3949.65</v>
      </c>
      <c r="F27" s="14">
        <f>'прил10 (2012 '!L551</f>
        <v>3949.65</v>
      </c>
    </row>
    <row r="28" spans="1:6" ht="15" customHeight="1">
      <c r="A28" s="12" t="s">
        <v>41</v>
      </c>
      <c r="B28" s="13" t="s">
        <v>15</v>
      </c>
      <c r="C28" s="13" t="s">
        <v>23</v>
      </c>
      <c r="D28" s="14">
        <f>'прил10 (2012 '!J553</f>
        <v>7679.74</v>
      </c>
      <c r="E28" s="14">
        <f>'прил10 (2012 '!K553</f>
        <v>1919.201</v>
      </c>
      <c r="F28" s="14">
        <f>'прил10 (2012 '!L553</f>
        <v>9598.940999999999</v>
      </c>
    </row>
    <row r="29" spans="1:7" ht="15" customHeight="1">
      <c r="A29" s="9" t="s">
        <v>42</v>
      </c>
      <c r="B29" s="273" t="s">
        <v>43</v>
      </c>
      <c r="C29" s="273"/>
      <c r="D29" s="17">
        <f>SUM(D30:D32)</f>
        <v>21437.782</v>
      </c>
      <c r="E29" s="17">
        <f>SUM(E30:E32)</f>
        <v>6404.7092999999995</v>
      </c>
      <c r="F29" s="17">
        <f>SUM(F30:F32)</f>
        <v>27842.4913</v>
      </c>
      <c r="G29" s="229">
        <f>F29/309430.22*100</f>
        <v>8.997987106753829</v>
      </c>
    </row>
    <row r="30" spans="1:6" ht="15" customHeight="1">
      <c r="A30" s="12" t="s">
        <v>44</v>
      </c>
      <c r="B30" s="13" t="s">
        <v>17</v>
      </c>
      <c r="C30" s="13" t="s">
        <v>12</v>
      </c>
      <c r="D30" s="14">
        <f>'прил10 (2012 '!J555</f>
        <v>14347.462</v>
      </c>
      <c r="E30" s="14">
        <f>'прил10 (2012 '!K555</f>
        <v>0</v>
      </c>
      <c r="F30" s="14">
        <f>'прил10 (2012 '!L555</f>
        <v>14347.462</v>
      </c>
    </row>
    <row r="31" spans="1:6" ht="15" customHeight="1">
      <c r="A31" s="12" t="s">
        <v>45</v>
      </c>
      <c r="B31" s="13" t="s">
        <v>17</v>
      </c>
      <c r="C31" s="13" t="s">
        <v>13</v>
      </c>
      <c r="D31" s="14">
        <f>'прил10 (2012 '!J556</f>
        <v>6590.32</v>
      </c>
      <c r="E31" s="14">
        <f>'прил10 (2012 '!K556</f>
        <v>6364.7092999999995</v>
      </c>
      <c r="F31" s="14">
        <f>'прил10 (2012 '!L556</f>
        <v>12955.029300000002</v>
      </c>
    </row>
    <row r="32" spans="1:6" ht="15" customHeight="1">
      <c r="A32" s="12" t="s">
        <v>46</v>
      </c>
      <c r="B32" s="13" t="s">
        <v>17</v>
      </c>
      <c r="C32" s="13" t="s">
        <v>14</v>
      </c>
      <c r="D32" s="14">
        <f>'прил10 (2012 '!J557</f>
        <v>500</v>
      </c>
      <c r="E32" s="14">
        <f>'прил10 (2012 '!K557</f>
        <v>40</v>
      </c>
      <c r="F32" s="14">
        <f>'прил10 (2012 '!L557</f>
        <v>540</v>
      </c>
    </row>
    <row r="33" spans="1:7" ht="15" customHeight="1">
      <c r="A33" s="9" t="s">
        <v>47</v>
      </c>
      <c r="B33" s="273" t="s">
        <v>48</v>
      </c>
      <c r="C33" s="273"/>
      <c r="D33" s="17">
        <f>SUM(D34:D38)</f>
        <v>223217.77036999998</v>
      </c>
      <c r="E33" s="17">
        <f>SUM(E34:E38)</f>
        <v>38687.35057</v>
      </c>
      <c r="F33" s="17">
        <f>SUM(F34:F38)</f>
        <v>261905.12094000005</v>
      </c>
      <c r="G33" s="229">
        <f>F33/309430.22*100</f>
        <v>84.64109321319685</v>
      </c>
    </row>
    <row r="34" spans="1:6" ht="15" customHeight="1">
      <c r="A34" s="12" t="s">
        <v>49</v>
      </c>
      <c r="B34" s="13" t="s">
        <v>20</v>
      </c>
      <c r="C34" s="13" t="s">
        <v>12</v>
      </c>
      <c r="D34" s="14">
        <f>'прил10 (2012 '!J560</f>
        <v>451.78</v>
      </c>
      <c r="E34" s="14">
        <f>'прил10 (2012 '!K560</f>
        <v>7542.42</v>
      </c>
      <c r="F34" s="14">
        <f>'прил10 (2012 '!L560</f>
        <v>7994.2</v>
      </c>
    </row>
    <row r="35" spans="1:6" ht="15" customHeight="1">
      <c r="A35" s="12" t="s">
        <v>50</v>
      </c>
      <c r="B35" s="13" t="s">
        <v>20</v>
      </c>
      <c r="C35" s="13" t="s">
        <v>13</v>
      </c>
      <c r="D35" s="14">
        <f>'прил10 (2012 '!J561</f>
        <v>214871.56837</v>
      </c>
      <c r="E35" s="14">
        <f>'прил10 (2012 '!K561</f>
        <v>28966.159570000003</v>
      </c>
      <c r="F35" s="14">
        <f>'прил10 (2012 '!L561</f>
        <v>243837.72794</v>
      </c>
    </row>
    <row r="36" spans="1:6" ht="15" customHeight="1">
      <c r="A36" s="12" t="s">
        <v>51</v>
      </c>
      <c r="B36" s="13" t="s">
        <v>20</v>
      </c>
      <c r="C36" s="13" t="s">
        <v>17</v>
      </c>
      <c r="D36" s="14">
        <f>'прил10 (2012 '!J562</f>
        <v>200</v>
      </c>
      <c r="E36" s="14">
        <f>'прил10 (2012 '!K562</f>
        <v>200</v>
      </c>
      <c r="F36" s="14">
        <f>'прил10 (2012 '!L562</f>
        <v>400</v>
      </c>
    </row>
    <row r="37" spans="1:6" ht="15" customHeight="1">
      <c r="A37" s="12" t="s">
        <v>52</v>
      </c>
      <c r="B37" s="13" t="s">
        <v>20</v>
      </c>
      <c r="C37" s="13" t="s">
        <v>20</v>
      </c>
      <c r="D37" s="14">
        <f>'прил10 (2012 '!J563</f>
        <v>455.44</v>
      </c>
      <c r="E37" s="14">
        <f>'прил10 (2012 '!K563</f>
        <v>1798.7</v>
      </c>
      <c r="F37" s="14">
        <f>'прил10 (2012 '!L563</f>
        <v>2254.1400000000003</v>
      </c>
    </row>
    <row r="38" spans="1:6" ht="15" customHeight="1">
      <c r="A38" s="12" t="s">
        <v>53</v>
      </c>
      <c r="B38" s="13" t="s">
        <v>20</v>
      </c>
      <c r="C38" s="13" t="s">
        <v>34</v>
      </c>
      <c r="D38" s="14">
        <f>'прил10 (2012 '!J564</f>
        <v>7238.982</v>
      </c>
      <c r="E38" s="14">
        <f>'прил10 (2012 '!K564</f>
        <v>180.071</v>
      </c>
      <c r="F38" s="14">
        <f>'прил10 (2012 '!L564</f>
        <v>7419.053</v>
      </c>
    </row>
    <row r="39" spans="1:7" ht="15" customHeight="1">
      <c r="A39" s="9" t="s">
        <v>54</v>
      </c>
      <c r="B39" s="273" t="s">
        <v>55</v>
      </c>
      <c r="C39" s="273"/>
      <c r="D39" s="17">
        <f>SUM(D40:D42)</f>
        <v>8032.277</v>
      </c>
      <c r="E39" s="17">
        <f>SUM(E40:E42)</f>
        <v>813.76</v>
      </c>
      <c r="F39" s="17">
        <f>SUM(F40:F42)</f>
        <v>8846.037</v>
      </c>
      <c r="G39" s="229">
        <f>F39/309430.22*100</f>
        <v>2.8588148242275757</v>
      </c>
    </row>
    <row r="40" spans="1:6" ht="15" customHeight="1">
      <c r="A40" s="12" t="s">
        <v>56</v>
      </c>
      <c r="B40" s="13" t="s">
        <v>40</v>
      </c>
      <c r="C40" s="13" t="s">
        <v>12</v>
      </c>
      <c r="D40" s="14">
        <f>'прил10 (2012 '!J566</f>
        <v>5194.456</v>
      </c>
      <c r="E40" s="14">
        <f>'прил10 (2012 '!K566</f>
        <v>813.76</v>
      </c>
      <c r="F40" s="14">
        <f>'прил10 (2012 '!L566</f>
        <v>6008.216</v>
      </c>
    </row>
    <row r="41" spans="1:6" ht="15" customHeight="1">
      <c r="A41" s="12" t="s">
        <v>57</v>
      </c>
      <c r="B41" s="13" t="s">
        <v>40</v>
      </c>
      <c r="C41" s="13" t="s">
        <v>15</v>
      </c>
      <c r="D41" s="14">
        <f>'прил10 (2012 '!J567</f>
        <v>0</v>
      </c>
      <c r="E41" s="14">
        <f>'прил10 (2012 '!K567</f>
        <v>0</v>
      </c>
      <c r="F41" s="14">
        <f>'прил10 (2012 '!L567</f>
        <v>0</v>
      </c>
    </row>
    <row r="42" spans="1:6" ht="15" customHeight="1">
      <c r="A42" s="12" t="s">
        <v>58</v>
      </c>
      <c r="B42" s="13" t="s">
        <v>40</v>
      </c>
      <c r="C42" s="13" t="s">
        <v>15</v>
      </c>
      <c r="D42" s="14">
        <f>'прил10 (2012 '!J568</f>
        <v>2837.821</v>
      </c>
      <c r="E42" s="14">
        <f>'прил10 (2012 '!K568</f>
        <v>0</v>
      </c>
      <c r="F42" s="14">
        <f>'прил10 (2012 '!L568</f>
        <v>2837.821</v>
      </c>
    </row>
    <row r="43" spans="1:7" ht="15" customHeight="1">
      <c r="A43" s="9" t="s">
        <v>59</v>
      </c>
      <c r="B43" s="273" t="s">
        <v>60</v>
      </c>
      <c r="C43" s="273"/>
      <c r="D43" s="17">
        <f>SUM(D44:D47)</f>
        <v>390</v>
      </c>
      <c r="E43" s="17">
        <f>SUM(E44:E47)</f>
        <v>900</v>
      </c>
      <c r="F43" s="17">
        <f>SUM(F44:F47)</f>
        <v>1290</v>
      </c>
      <c r="G43" s="229">
        <f>F43/309430.22*100</f>
        <v>0.4168952857933527</v>
      </c>
    </row>
    <row r="44" spans="1:6" ht="15" customHeight="1">
      <c r="A44" s="12" t="s">
        <v>61</v>
      </c>
      <c r="B44" s="13" t="s">
        <v>34</v>
      </c>
      <c r="C44" s="13" t="s">
        <v>12</v>
      </c>
      <c r="D44" s="14">
        <f>'прил10 (2012 '!J571</f>
        <v>0</v>
      </c>
      <c r="E44" s="14">
        <f>'прил10 (2012 '!K571</f>
        <v>0</v>
      </c>
      <c r="F44" s="14">
        <f>'прил10 (2012 '!L571</f>
        <v>0</v>
      </c>
    </row>
    <row r="45" spans="1:6" ht="15" customHeight="1">
      <c r="A45" s="12" t="s">
        <v>62</v>
      </c>
      <c r="B45" s="13" t="s">
        <v>34</v>
      </c>
      <c r="C45" s="13" t="s">
        <v>13</v>
      </c>
      <c r="D45" s="14">
        <f>'прил10 (2012 '!J572</f>
        <v>0</v>
      </c>
      <c r="E45" s="14">
        <f>'прил10 (2012 '!K572</f>
        <v>0</v>
      </c>
      <c r="F45" s="14">
        <f>'прил10 (2012 '!L572</f>
        <v>0</v>
      </c>
    </row>
    <row r="46" spans="1:6" ht="15" customHeight="1">
      <c r="A46" s="12" t="s">
        <v>63</v>
      </c>
      <c r="B46" s="13" t="s">
        <v>34</v>
      </c>
      <c r="C46" s="13" t="s">
        <v>15</v>
      </c>
      <c r="D46" s="14">
        <f>'прил10 (2012 '!J573</f>
        <v>0</v>
      </c>
      <c r="E46" s="14">
        <f>'прил10 (2012 '!K573</f>
        <v>0</v>
      </c>
      <c r="F46" s="14">
        <f>'прил10 (2012 '!L573</f>
        <v>0</v>
      </c>
    </row>
    <row r="47" spans="1:6" ht="15" customHeight="1">
      <c r="A47" s="12" t="s">
        <v>65</v>
      </c>
      <c r="B47" s="13" t="s">
        <v>34</v>
      </c>
      <c r="C47" s="13" t="s">
        <v>34</v>
      </c>
      <c r="D47" s="14">
        <f>'прил10 (2012 '!J575</f>
        <v>390</v>
      </c>
      <c r="E47" s="14">
        <f>'прил10 (2012 '!K575</f>
        <v>900</v>
      </c>
      <c r="F47" s="14">
        <f>'прил10 (2012 '!L575</f>
        <v>1290</v>
      </c>
    </row>
    <row r="48" spans="1:7" ht="15" customHeight="1">
      <c r="A48" s="9" t="s">
        <v>68</v>
      </c>
      <c r="B48" s="273" t="s">
        <v>69</v>
      </c>
      <c r="C48" s="273"/>
      <c r="D48" s="17">
        <f>SUM(D49:D53)</f>
        <v>22539.980000000003</v>
      </c>
      <c r="E48" s="17">
        <f>SUM(E49:E53)</f>
        <v>3645.44</v>
      </c>
      <c r="F48" s="17">
        <f>SUM(F49:F53)</f>
        <v>26185.420000000002</v>
      </c>
      <c r="G48" s="229">
        <f>F48/309430.22*100</f>
        <v>8.462463685673624</v>
      </c>
    </row>
    <row r="49" spans="1:6" ht="15" customHeight="1">
      <c r="A49" s="12" t="s">
        <v>70</v>
      </c>
      <c r="B49" s="13" t="s">
        <v>67</v>
      </c>
      <c r="C49" s="13" t="s">
        <v>12</v>
      </c>
      <c r="D49" s="14">
        <f>'прил10 (2012 '!J578</f>
        <v>45</v>
      </c>
      <c r="E49" s="14">
        <f>'прил10 (2012 '!K578</f>
        <v>0</v>
      </c>
      <c r="F49" s="14">
        <f>'прил10 (2012 '!L578</f>
        <v>45</v>
      </c>
    </row>
    <row r="50" spans="1:6" ht="15" customHeight="1">
      <c r="A50" s="12" t="s">
        <v>71</v>
      </c>
      <c r="B50" s="13" t="s">
        <v>67</v>
      </c>
      <c r="C50" s="13" t="s">
        <v>13</v>
      </c>
      <c r="D50" s="14">
        <f>'прил10 (2012 '!J579</f>
        <v>156.24</v>
      </c>
      <c r="E50" s="14">
        <f>'прил10 (2012 '!K579</f>
        <v>150.3</v>
      </c>
      <c r="F50" s="14">
        <f>'прил10 (2012 '!L579</f>
        <v>306.54</v>
      </c>
    </row>
    <row r="51" spans="1:6" ht="15" customHeight="1">
      <c r="A51" s="12" t="s">
        <v>72</v>
      </c>
      <c r="B51" s="13" t="s">
        <v>67</v>
      </c>
      <c r="C51" s="13" t="s">
        <v>14</v>
      </c>
      <c r="D51" s="14">
        <f>'прил10 (2012 '!J580</f>
        <v>4014.6800000000003</v>
      </c>
      <c r="E51" s="14">
        <f>'прил10 (2012 '!K580</f>
        <v>3647.5</v>
      </c>
      <c r="F51" s="14">
        <f>'прил10 (2012 '!L580</f>
        <v>7662.18</v>
      </c>
    </row>
    <row r="52" spans="1:6" ht="15" customHeight="1">
      <c r="A52" s="12" t="s">
        <v>73</v>
      </c>
      <c r="B52" s="13" t="s">
        <v>67</v>
      </c>
      <c r="C52" s="13" t="s">
        <v>15</v>
      </c>
      <c r="D52" s="14">
        <f>'прил10 (2012 '!J581</f>
        <v>17830.7</v>
      </c>
      <c r="E52" s="14">
        <f>'прил10 (2012 '!K581</f>
        <v>0</v>
      </c>
      <c r="F52" s="14">
        <f>'прил10 (2012 '!L581</f>
        <v>17830.7</v>
      </c>
    </row>
    <row r="53" spans="1:6" ht="15" customHeight="1">
      <c r="A53" s="12" t="s">
        <v>74</v>
      </c>
      <c r="B53" s="13" t="s">
        <v>67</v>
      </c>
      <c r="C53" s="13" t="s">
        <v>18</v>
      </c>
      <c r="D53" s="14">
        <f>'прил10 (2012 '!J582</f>
        <v>493.36</v>
      </c>
      <c r="E53" s="14">
        <f>'прил10 (2012 '!K582</f>
        <v>-152.36</v>
      </c>
      <c r="F53" s="14">
        <f>'прил10 (2012 '!L582</f>
        <v>341</v>
      </c>
    </row>
    <row r="54" spans="1:7" ht="15" customHeight="1">
      <c r="A54" s="9" t="s">
        <v>64</v>
      </c>
      <c r="B54" s="273" t="s">
        <v>75</v>
      </c>
      <c r="C54" s="273"/>
      <c r="D54" s="16">
        <f>D55</f>
        <v>1319.6</v>
      </c>
      <c r="E54" s="16">
        <f>E55</f>
        <v>180</v>
      </c>
      <c r="F54" s="16">
        <f>F55</f>
        <v>1499.6</v>
      </c>
      <c r="G54" s="229">
        <f>F54/309430.22*100</f>
        <v>0.48463269036876877</v>
      </c>
    </row>
    <row r="55" spans="1:6" ht="15" customHeight="1">
      <c r="A55" s="12" t="s">
        <v>76</v>
      </c>
      <c r="B55" s="13" t="s">
        <v>22</v>
      </c>
      <c r="C55" s="13" t="s">
        <v>12</v>
      </c>
      <c r="D55" s="14">
        <f>'прил10 (2012 '!J589</f>
        <v>1319.6</v>
      </c>
      <c r="E55" s="14">
        <f>'прил10 (2012 '!K589</f>
        <v>180</v>
      </c>
      <c r="F55" s="14">
        <f>'прил10 (2012 '!L589</f>
        <v>1499.6</v>
      </c>
    </row>
    <row r="56" spans="1:7" ht="15" customHeight="1">
      <c r="A56" s="9" t="s">
        <v>77</v>
      </c>
      <c r="B56" s="273" t="s">
        <v>78</v>
      </c>
      <c r="C56" s="273"/>
      <c r="D56" s="16">
        <f>D57</f>
        <v>903.6</v>
      </c>
      <c r="E56" s="16">
        <f>E57</f>
        <v>0</v>
      </c>
      <c r="F56" s="16">
        <f>F57</f>
        <v>903.6</v>
      </c>
      <c r="G56" s="229">
        <f>F56/309430.22*100</f>
        <v>0.29202060483943687</v>
      </c>
    </row>
    <row r="57" spans="1:6" ht="15" customHeight="1">
      <c r="A57" s="12" t="s">
        <v>57</v>
      </c>
      <c r="B57" s="13" t="s">
        <v>23</v>
      </c>
      <c r="C57" s="13" t="s">
        <v>13</v>
      </c>
      <c r="D57" s="14">
        <f>'прил10 (2012 '!J592</f>
        <v>903.6</v>
      </c>
      <c r="E57" s="14">
        <f>'прил10 (2012 '!K592</f>
        <v>0</v>
      </c>
      <c r="F57" s="14">
        <f>'прил10 (2012 '!L592</f>
        <v>903.6</v>
      </c>
    </row>
    <row r="58" spans="1:7" ht="15" customHeight="1">
      <c r="A58" s="9" t="s">
        <v>79</v>
      </c>
      <c r="B58" s="273" t="s">
        <v>80</v>
      </c>
      <c r="C58" s="273"/>
      <c r="D58" s="16">
        <f>D59</f>
        <v>142.2</v>
      </c>
      <c r="E58" s="16">
        <f>E59</f>
        <v>136.9</v>
      </c>
      <c r="F58" s="16">
        <f>F59</f>
        <v>279.1</v>
      </c>
      <c r="G58" s="229">
        <f>F58/309430.22*100</f>
        <v>0.09019804206583315</v>
      </c>
    </row>
    <row r="59" spans="1:6" ht="24.75" customHeight="1">
      <c r="A59" s="12" t="s">
        <v>81</v>
      </c>
      <c r="B59" s="13" t="s">
        <v>24</v>
      </c>
      <c r="C59" s="13" t="s">
        <v>12</v>
      </c>
      <c r="D59" s="14">
        <f>'прил10 (2012 '!J596</f>
        <v>142.2</v>
      </c>
      <c r="E59" s="14">
        <f>'прил10 (2012 '!K596</f>
        <v>136.9</v>
      </c>
      <c r="F59" s="14">
        <f>'прил10 (2012 '!L596</f>
        <v>279.1</v>
      </c>
    </row>
    <row r="60" spans="1:7" ht="23.25" customHeight="1">
      <c r="A60" s="9" t="s">
        <v>82</v>
      </c>
      <c r="B60" s="273" t="s">
        <v>83</v>
      </c>
      <c r="C60" s="273"/>
      <c r="D60" s="16">
        <f>D61+D62</f>
        <v>35602.1</v>
      </c>
      <c r="E60" s="16">
        <f>E61+E62</f>
        <v>1127.9</v>
      </c>
      <c r="F60" s="16">
        <f>F61+F62</f>
        <v>36730</v>
      </c>
      <c r="G60" s="229">
        <f>F60/309430.22*100</f>
        <v>11.870204532705307</v>
      </c>
    </row>
    <row r="61" spans="1:6" ht="23.25" customHeight="1">
      <c r="A61" s="12" t="s">
        <v>84</v>
      </c>
      <c r="B61" s="13" t="s">
        <v>26</v>
      </c>
      <c r="C61" s="13" t="s">
        <v>12</v>
      </c>
      <c r="D61" s="14">
        <f>'прил10 (2012 '!J599</f>
        <v>30877.1</v>
      </c>
      <c r="E61" s="14">
        <f>'прил10 (2012 '!K599</f>
        <v>0</v>
      </c>
      <c r="F61" s="14">
        <f>'прил10 (2012 '!L599</f>
        <v>30877.1</v>
      </c>
    </row>
    <row r="62" spans="1:6" ht="26.25" customHeight="1">
      <c r="A62" s="12" t="s">
        <v>85</v>
      </c>
      <c r="B62" s="13" t="s">
        <v>26</v>
      </c>
      <c r="C62" s="13" t="s">
        <v>14</v>
      </c>
      <c r="D62" s="14">
        <f>'прил10 (2012 '!J601</f>
        <v>4725</v>
      </c>
      <c r="E62" s="14">
        <f>'прил10 (2012 '!K601</f>
        <v>1127.9</v>
      </c>
      <c r="F62" s="14">
        <f>'прил10 (2012 '!L601</f>
        <v>5852.9</v>
      </c>
    </row>
    <row r="63" spans="1:7" ht="12.75">
      <c r="A63" s="9" t="s">
        <v>86</v>
      </c>
      <c r="B63" s="10"/>
      <c r="C63" s="10"/>
      <c r="D63" s="17">
        <f>D9+D18+D20+D24+D29+D33+D39+D43+D48+D54+D56+D58+D60</f>
        <v>345740.2403699999</v>
      </c>
      <c r="E63" s="17">
        <f>E9+E18+E20+E24+E29+E33+E39+E43+E48+E54+E56+E58+E60</f>
        <v>59638.94987000001</v>
      </c>
      <c r="F63" s="17">
        <f>F9+F18+F20+F24+F29+F33+F39+F43+F48+F54+F56+F58+F60</f>
        <v>405379.19023999997</v>
      </c>
      <c r="G63" s="229">
        <f>SUM(G9:G62)</f>
        <v>131.00827393006415</v>
      </c>
    </row>
    <row r="64" spans="4:5" ht="12.75">
      <c r="D64" s="18"/>
      <c r="E64" s="18"/>
    </row>
    <row r="65" spans="4:6" ht="12.75">
      <c r="D65" s="18"/>
      <c r="E65" s="18"/>
      <c r="F65" s="18"/>
    </row>
  </sheetData>
  <sheetProtection/>
  <mergeCells count="17">
    <mergeCell ref="B43:C43"/>
    <mergeCell ref="C2:E2"/>
    <mergeCell ref="C3:F3"/>
    <mergeCell ref="A5:F5"/>
    <mergeCell ref="A6:F6"/>
    <mergeCell ref="B9:C9"/>
    <mergeCell ref="B18:C18"/>
    <mergeCell ref="B48:C48"/>
    <mergeCell ref="B54:C54"/>
    <mergeCell ref="B56:C56"/>
    <mergeCell ref="B58:C58"/>
    <mergeCell ref="B60:C60"/>
    <mergeCell ref="B20:C20"/>
    <mergeCell ref="B24:C24"/>
    <mergeCell ref="B29:C29"/>
    <mergeCell ref="B33:C33"/>
    <mergeCell ref="B39:C39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2"/>
  <sheetViews>
    <sheetView tabSelected="1" view="pageBreakPreview" zoomScaleSheetLayoutView="100" zoomScalePageLayoutView="0" workbookViewId="0" topLeftCell="A84">
      <selection activeCell="J68" sqref="J68"/>
    </sheetView>
  </sheetViews>
  <sheetFormatPr defaultColWidth="9.140625" defaultRowHeight="12.75"/>
  <cols>
    <col min="1" max="1" width="35.8515625" style="20" customWidth="1"/>
    <col min="2" max="2" width="7.00390625" style="20" customWidth="1"/>
    <col min="3" max="3" width="6.7109375" style="20" customWidth="1"/>
    <col min="4" max="4" width="5.140625" style="20" customWidth="1"/>
    <col min="5" max="5" width="9.7109375" style="20" customWidth="1"/>
    <col min="6" max="6" width="7.28125" style="20" customWidth="1"/>
    <col min="7" max="7" width="0.13671875" style="20" customWidth="1"/>
    <col min="8" max="8" width="13.8515625" style="20" hidden="1" customWidth="1"/>
    <col min="9" max="9" width="12.57421875" style="20" hidden="1" customWidth="1"/>
    <col min="10" max="10" width="15.57421875" style="154" customWidth="1"/>
    <col min="11" max="11" width="15.00390625" style="154" customWidth="1"/>
    <col min="12" max="12" width="16.28125" style="154" customWidth="1"/>
    <col min="13" max="13" width="13.28125" style="20" hidden="1" customWidth="1"/>
    <col min="14" max="14" width="13.8515625" style="20" hidden="1" customWidth="1"/>
    <col min="15" max="15" width="13.140625" style="20" bestFit="1" customWidth="1"/>
    <col min="16" max="16" width="14.140625" style="20" hidden="1" customWidth="1"/>
    <col min="17" max="18" width="15.421875" style="20" bestFit="1" customWidth="1"/>
    <col min="19" max="16384" width="9.140625" style="20" customWidth="1"/>
  </cols>
  <sheetData>
    <row r="1" spans="2:13" ht="15">
      <c r="B1" s="19"/>
      <c r="C1" s="19"/>
      <c r="D1" s="19"/>
      <c r="E1" s="293"/>
      <c r="F1" s="293"/>
      <c r="G1" s="293"/>
      <c r="H1" s="293"/>
      <c r="I1" s="293"/>
      <c r="J1" s="153"/>
      <c r="K1" s="153"/>
      <c r="L1" s="153"/>
      <c r="M1" s="20" t="s">
        <v>1</v>
      </c>
    </row>
    <row r="2" spans="2:17" ht="15">
      <c r="B2" s="19"/>
      <c r="C2" s="19"/>
      <c r="D2" s="19"/>
      <c r="E2" s="294"/>
      <c r="F2" s="295"/>
      <c r="G2" s="295"/>
      <c r="H2" s="295"/>
      <c r="I2" s="295"/>
      <c r="J2" s="153" t="s">
        <v>517</v>
      </c>
      <c r="K2" s="153"/>
      <c r="L2" s="153"/>
      <c r="M2" s="294"/>
      <c r="N2" s="295"/>
      <c r="O2" s="295"/>
      <c r="P2" s="295"/>
      <c r="Q2" s="295"/>
    </row>
    <row r="3" spans="2:19" ht="50.25" customHeight="1">
      <c r="B3" s="19"/>
      <c r="C3" s="19"/>
      <c r="D3" s="19"/>
      <c r="E3" s="174"/>
      <c r="F3" s="174"/>
      <c r="G3" s="174"/>
      <c r="H3" s="174"/>
      <c r="I3" s="174"/>
      <c r="J3" s="296" t="s">
        <v>518</v>
      </c>
      <c r="K3" s="296"/>
      <c r="L3" s="296"/>
      <c r="P3" s="174"/>
      <c r="Q3" s="174"/>
      <c r="R3" s="175"/>
      <c r="S3" s="175"/>
    </row>
    <row r="4" spans="1:14" ht="32.25" customHeight="1">
      <c r="A4" s="297" t="s">
        <v>87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175"/>
      <c r="N4" s="175"/>
    </row>
    <row r="5" ht="8.25" customHeight="1" thickBot="1"/>
    <row r="6" spans="1:14" ht="12.75" customHeight="1">
      <c r="A6" s="292" t="s">
        <v>88</v>
      </c>
      <c r="B6" s="292" t="s">
        <v>89</v>
      </c>
      <c r="C6" s="292"/>
      <c r="D6" s="292"/>
      <c r="E6" s="292"/>
      <c r="F6" s="292"/>
      <c r="G6" s="299" t="s">
        <v>90</v>
      </c>
      <c r="H6" s="300" t="s">
        <v>91</v>
      </c>
      <c r="I6" s="292" t="s">
        <v>90</v>
      </c>
      <c r="J6" s="283" t="s">
        <v>92</v>
      </c>
      <c r="K6" s="283" t="s">
        <v>90</v>
      </c>
      <c r="L6" s="283" t="s">
        <v>93</v>
      </c>
      <c r="M6" s="286" t="s">
        <v>90</v>
      </c>
      <c r="N6" s="289" t="s">
        <v>94</v>
      </c>
    </row>
    <row r="7" spans="1:14" ht="15">
      <c r="A7" s="292"/>
      <c r="B7" s="292" t="s">
        <v>95</v>
      </c>
      <c r="C7" s="292"/>
      <c r="D7" s="292"/>
      <c r="E7" s="292"/>
      <c r="F7" s="292"/>
      <c r="G7" s="299"/>
      <c r="H7" s="301"/>
      <c r="I7" s="302"/>
      <c r="J7" s="284"/>
      <c r="K7" s="285"/>
      <c r="L7" s="283"/>
      <c r="M7" s="287"/>
      <c r="N7" s="290"/>
    </row>
    <row r="8" spans="1:14" ht="36" customHeight="1" thickBot="1">
      <c r="A8" s="292"/>
      <c r="B8" s="23" t="s">
        <v>96</v>
      </c>
      <c r="C8" s="21" t="s">
        <v>97</v>
      </c>
      <c r="D8" s="21" t="s">
        <v>98</v>
      </c>
      <c r="E8" s="21" t="s">
        <v>99</v>
      </c>
      <c r="F8" s="21" t="s">
        <v>100</v>
      </c>
      <c r="G8" s="299"/>
      <c r="H8" s="301"/>
      <c r="I8" s="302"/>
      <c r="J8" s="284"/>
      <c r="K8" s="285"/>
      <c r="L8" s="283"/>
      <c r="M8" s="288"/>
      <c r="N8" s="291"/>
    </row>
    <row r="9" spans="1:14" s="171" customFormat="1" ht="12" thickBot="1">
      <c r="A9" s="231" t="s">
        <v>101</v>
      </c>
      <c r="B9" s="231">
        <v>1</v>
      </c>
      <c r="C9" s="231">
        <v>2</v>
      </c>
      <c r="D9" s="231">
        <v>3</v>
      </c>
      <c r="E9" s="231">
        <v>4</v>
      </c>
      <c r="F9" s="231">
        <v>5</v>
      </c>
      <c r="G9" s="231"/>
      <c r="H9" s="232"/>
      <c r="I9" s="233"/>
      <c r="J9" s="234">
        <v>6</v>
      </c>
      <c r="K9" s="235">
        <v>7</v>
      </c>
      <c r="L9" s="234">
        <v>8</v>
      </c>
      <c r="M9" s="236">
        <v>7</v>
      </c>
      <c r="N9" s="237">
        <v>8</v>
      </c>
    </row>
    <row r="10" spans="1:18" ht="43.5" customHeight="1" hidden="1">
      <c r="A10" s="29" t="s">
        <v>66</v>
      </c>
      <c r="B10" s="30" t="s">
        <v>102</v>
      </c>
      <c r="C10" s="30" t="s">
        <v>34</v>
      </c>
      <c r="D10" s="30" t="s">
        <v>67</v>
      </c>
      <c r="E10" s="30"/>
      <c r="F10" s="30"/>
      <c r="G10" s="22">
        <f aca="true" t="shared" si="0" ref="G10:N12">G11</f>
        <v>0</v>
      </c>
      <c r="H10" s="22">
        <f t="shared" si="0"/>
        <v>1049.66</v>
      </c>
      <c r="I10" s="22">
        <f t="shared" si="0"/>
        <v>0</v>
      </c>
      <c r="J10" s="25">
        <v>0</v>
      </c>
      <c r="K10" s="25">
        <f>K11+K14+K16+K18+K20+K22</f>
        <v>0</v>
      </c>
      <c r="L10" s="25">
        <f>L11+L14+L16+L18+L20+L22</f>
        <v>0</v>
      </c>
      <c r="M10" s="47">
        <f>M11+M14</f>
        <v>33</v>
      </c>
      <c r="N10" s="48">
        <f>N11+N14</f>
        <v>33</v>
      </c>
      <c r="O10" s="49"/>
      <c r="P10" s="49"/>
      <c r="Q10" s="49"/>
      <c r="R10" s="50"/>
    </row>
    <row r="11" spans="1:18" ht="45" customHeight="1" hidden="1">
      <c r="A11" s="35" t="s">
        <v>119</v>
      </c>
      <c r="B11" s="24" t="s">
        <v>102</v>
      </c>
      <c r="C11" s="24" t="s">
        <v>34</v>
      </c>
      <c r="D11" s="24" t="s">
        <v>67</v>
      </c>
      <c r="E11" s="24" t="s">
        <v>120</v>
      </c>
      <c r="F11" s="24"/>
      <c r="G11" s="38">
        <f t="shared" si="0"/>
        <v>0</v>
      </c>
      <c r="H11" s="38">
        <f t="shared" si="0"/>
        <v>1049.66</v>
      </c>
      <c r="I11" s="38">
        <f t="shared" si="0"/>
        <v>0</v>
      </c>
      <c r="J11" s="32">
        <v>0</v>
      </c>
      <c r="K11" s="32">
        <f t="shared" si="0"/>
        <v>0</v>
      </c>
      <c r="L11" s="32">
        <f t="shared" si="0"/>
        <v>0</v>
      </c>
      <c r="M11" s="33">
        <f t="shared" si="0"/>
        <v>0</v>
      </c>
      <c r="N11" s="48">
        <f t="shared" si="0"/>
        <v>0</v>
      </c>
      <c r="O11" s="50"/>
      <c r="P11" s="50"/>
      <c r="Q11" s="50"/>
      <c r="R11" s="50"/>
    </row>
    <row r="12" spans="1:18" ht="30" customHeight="1" hidden="1">
      <c r="A12" s="35" t="s">
        <v>114</v>
      </c>
      <c r="B12" s="24" t="s">
        <v>102</v>
      </c>
      <c r="C12" s="24" t="s">
        <v>34</v>
      </c>
      <c r="D12" s="24" t="s">
        <v>67</v>
      </c>
      <c r="E12" s="24" t="s">
        <v>121</v>
      </c>
      <c r="F12" s="24"/>
      <c r="G12" s="38">
        <f t="shared" si="0"/>
        <v>0</v>
      </c>
      <c r="H12" s="38">
        <f t="shared" si="0"/>
        <v>1049.66</v>
      </c>
      <c r="I12" s="38">
        <f t="shared" si="0"/>
        <v>0</v>
      </c>
      <c r="J12" s="32">
        <v>0</v>
      </c>
      <c r="K12" s="32">
        <f t="shared" si="0"/>
        <v>0</v>
      </c>
      <c r="L12" s="32">
        <f t="shared" si="0"/>
        <v>0</v>
      </c>
      <c r="M12" s="33">
        <f t="shared" si="0"/>
        <v>0</v>
      </c>
      <c r="N12" s="48">
        <f t="shared" si="0"/>
        <v>0</v>
      </c>
      <c r="O12" s="50"/>
      <c r="P12" s="50"/>
      <c r="Q12" s="50"/>
      <c r="R12" s="50"/>
    </row>
    <row r="13" spans="1:18" ht="30.75" customHeight="1" hidden="1">
      <c r="A13" s="35" t="s">
        <v>116</v>
      </c>
      <c r="B13" s="24" t="s">
        <v>102</v>
      </c>
      <c r="C13" s="24" t="s">
        <v>34</v>
      </c>
      <c r="D13" s="24" t="s">
        <v>67</v>
      </c>
      <c r="E13" s="24" t="s">
        <v>121</v>
      </c>
      <c r="F13" s="24" t="s">
        <v>113</v>
      </c>
      <c r="G13" s="38"/>
      <c r="H13" s="31">
        <v>1049.66</v>
      </c>
      <c r="I13" s="38"/>
      <c r="J13" s="32">
        <v>0</v>
      </c>
      <c r="K13" s="32"/>
      <c r="L13" s="32">
        <f>J13+K13</f>
        <v>0</v>
      </c>
      <c r="M13" s="41"/>
      <c r="N13" s="51">
        <f>L13+M13</f>
        <v>0</v>
      </c>
      <c r="O13" s="50"/>
      <c r="P13" s="50"/>
      <c r="Q13" s="52"/>
      <c r="R13" s="50"/>
    </row>
    <row r="14" spans="1:18" ht="60.75" customHeight="1" hidden="1">
      <c r="A14" s="35" t="s">
        <v>122</v>
      </c>
      <c r="B14" s="44" t="s">
        <v>102</v>
      </c>
      <c r="C14" s="45" t="s">
        <v>34</v>
      </c>
      <c r="D14" s="45" t="s">
        <v>67</v>
      </c>
      <c r="E14" s="46">
        <v>7952014</v>
      </c>
      <c r="F14" s="45"/>
      <c r="G14" s="45"/>
      <c r="H14" s="31"/>
      <c r="I14" s="38"/>
      <c r="J14" s="32">
        <f>J15</f>
        <v>0</v>
      </c>
      <c r="K14" s="32">
        <f>K15</f>
        <v>0</v>
      </c>
      <c r="L14" s="32">
        <f>L15</f>
        <v>0</v>
      </c>
      <c r="M14" s="33">
        <f>M15</f>
        <v>33</v>
      </c>
      <c r="N14" s="53">
        <f>N15</f>
        <v>33</v>
      </c>
      <c r="O14" s="50"/>
      <c r="P14" s="50"/>
      <c r="Q14" s="52"/>
      <c r="R14" s="50"/>
    </row>
    <row r="15" spans="1:18" ht="30" customHeight="1" hidden="1" thickBot="1">
      <c r="A15" s="35" t="s">
        <v>110</v>
      </c>
      <c r="B15" s="45" t="s">
        <v>102</v>
      </c>
      <c r="C15" s="45" t="s">
        <v>34</v>
      </c>
      <c r="D15" s="45" t="s">
        <v>67</v>
      </c>
      <c r="E15" s="46">
        <v>7952014</v>
      </c>
      <c r="F15" s="45" t="s">
        <v>109</v>
      </c>
      <c r="G15" s="38"/>
      <c r="H15" s="31"/>
      <c r="I15" s="38"/>
      <c r="J15" s="32"/>
      <c r="K15" s="32"/>
      <c r="L15" s="32">
        <f>J15+K15</f>
        <v>0</v>
      </c>
      <c r="M15" s="54">
        <v>33</v>
      </c>
      <c r="N15" s="55">
        <f>L15+M15</f>
        <v>33</v>
      </c>
      <c r="O15" s="50"/>
      <c r="P15" s="50"/>
      <c r="Q15" s="52"/>
      <c r="R15" s="50"/>
    </row>
    <row r="16" spans="1:18" ht="57.75" customHeight="1" hidden="1" thickBot="1">
      <c r="A16" s="35" t="s">
        <v>123</v>
      </c>
      <c r="B16" s="44" t="s">
        <v>102</v>
      </c>
      <c r="C16" s="45" t="s">
        <v>34</v>
      </c>
      <c r="D16" s="45" t="s">
        <v>67</v>
      </c>
      <c r="E16" s="46">
        <v>7952013</v>
      </c>
      <c r="F16" s="45"/>
      <c r="G16" s="38"/>
      <c r="H16" s="31"/>
      <c r="I16" s="38"/>
      <c r="J16" s="32">
        <f>J17</f>
        <v>0</v>
      </c>
      <c r="K16" s="32">
        <f>K17</f>
        <v>0</v>
      </c>
      <c r="L16" s="32">
        <f>L17</f>
        <v>0</v>
      </c>
      <c r="M16" s="56"/>
      <c r="N16" s="57"/>
      <c r="O16" s="50"/>
      <c r="P16" s="50"/>
      <c r="Q16" s="52"/>
      <c r="R16" s="50"/>
    </row>
    <row r="17" spans="1:18" ht="30" customHeight="1" hidden="1" thickBot="1">
      <c r="A17" s="35" t="s">
        <v>110</v>
      </c>
      <c r="B17" s="45" t="s">
        <v>102</v>
      </c>
      <c r="C17" s="45" t="s">
        <v>34</v>
      </c>
      <c r="D17" s="45" t="s">
        <v>67</v>
      </c>
      <c r="E17" s="46">
        <v>7952013</v>
      </c>
      <c r="F17" s="45" t="s">
        <v>109</v>
      </c>
      <c r="G17" s="38"/>
      <c r="H17" s="31"/>
      <c r="I17" s="38"/>
      <c r="J17" s="32"/>
      <c r="K17" s="32"/>
      <c r="L17" s="32">
        <f>J17+K17</f>
        <v>0</v>
      </c>
      <c r="M17" s="56"/>
      <c r="N17" s="57"/>
      <c r="O17" s="50"/>
      <c r="P17" s="50"/>
      <c r="Q17" s="52"/>
      <c r="R17" s="50"/>
    </row>
    <row r="18" spans="1:18" ht="57" customHeight="1" hidden="1" thickBot="1">
      <c r="A18" s="35" t="s">
        <v>124</v>
      </c>
      <c r="B18" s="44" t="s">
        <v>102</v>
      </c>
      <c r="C18" s="45" t="s">
        <v>34</v>
      </c>
      <c r="D18" s="45" t="s">
        <v>67</v>
      </c>
      <c r="E18" s="46">
        <v>7952015</v>
      </c>
      <c r="F18" s="45"/>
      <c r="G18" s="38"/>
      <c r="H18" s="31"/>
      <c r="I18" s="38"/>
      <c r="J18" s="32">
        <f>J19</f>
        <v>0</v>
      </c>
      <c r="K18" s="32">
        <f>K19</f>
        <v>0</v>
      </c>
      <c r="L18" s="32">
        <f>L19</f>
        <v>0</v>
      </c>
      <c r="M18" s="56"/>
      <c r="N18" s="57"/>
      <c r="O18" s="50"/>
      <c r="P18" s="50"/>
      <c r="Q18" s="52"/>
      <c r="R18" s="50"/>
    </row>
    <row r="19" spans="1:18" ht="30" customHeight="1" hidden="1" thickBot="1">
      <c r="A19" s="35" t="s">
        <v>110</v>
      </c>
      <c r="B19" s="45" t="s">
        <v>102</v>
      </c>
      <c r="C19" s="45" t="s">
        <v>34</v>
      </c>
      <c r="D19" s="45" t="s">
        <v>67</v>
      </c>
      <c r="E19" s="46">
        <v>7952015</v>
      </c>
      <c r="F19" s="45" t="s">
        <v>109</v>
      </c>
      <c r="G19" s="38"/>
      <c r="H19" s="31"/>
      <c r="I19" s="38"/>
      <c r="J19" s="32"/>
      <c r="K19" s="32"/>
      <c r="L19" s="32">
        <f>J19+K19</f>
        <v>0</v>
      </c>
      <c r="M19" s="56"/>
      <c r="N19" s="57"/>
      <c r="O19" s="50"/>
      <c r="P19" s="50"/>
      <c r="Q19" s="52"/>
      <c r="R19" s="50"/>
    </row>
    <row r="20" spans="1:18" ht="90" customHeight="1" hidden="1" thickBot="1">
      <c r="A20" s="35" t="s">
        <v>125</v>
      </c>
      <c r="B20" s="44" t="s">
        <v>102</v>
      </c>
      <c r="C20" s="45" t="s">
        <v>34</v>
      </c>
      <c r="D20" s="45" t="s">
        <v>67</v>
      </c>
      <c r="E20" s="46">
        <v>7952016</v>
      </c>
      <c r="F20" s="45"/>
      <c r="G20" s="38"/>
      <c r="H20" s="31"/>
      <c r="I20" s="38"/>
      <c r="J20" s="32">
        <f>J21</f>
        <v>0</v>
      </c>
      <c r="K20" s="32">
        <f>K21</f>
        <v>0</v>
      </c>
      <c r="L20" s="32">
        <f>L21</f>
        <v>0</v>
      </c>
      <c r="M20" s="56"/>
      <c r="N20" s="57"/>
      <c r="O20" s="50"/>
      <c r="P20" s="50"/>
      <c r="Q20" s="52"/>
      <c r="R20" s="50"/>
    </row>
    <row r="21" spans="1:18" ht="30" customHeight="1" hidden="1" thickBot="1">
      <c r="A21" s="35" t="s">
        <v>110</v>
      </c>
      <c r="B21" s="45" t="s">
        <v>102</v>
      </c>
      <c r="C21" s="45" t="s">
        <v>34</v>
      </c>
      <c r="D21" s="45" t="s">
        <v>67</v>
      </c>
      <c r="E21" s="46">
        <v>7952016</v>
      </c>
      <c r="F21" s="45" t="s">
        <v>109</v>
      </c>
      <c r="G21" s="38"/>
      <c r="H21" s="31"/>
      <c r="I21" s="38"/>
      <c r="J21" s="32"/>
      <c r="K21" s="32"/>
      <c r="L21" s="32">
        <f>J21+K21</f>
        <v>0</v>
      </c>
      <c r="M21" s="56"/>
      <c r="N21" s="57"/>
      <c r="O21" s="50"/>
      <c r="P21" s="50"/>
      <c r="Q21" s="52"/>
      <c r="R21" s="50"/>
    </row>
    <row r="22" spans="1:18" ht="45" customHeight="1" hidden="1" thickBot="1">
      <c r="A22" s="35" t="s">
        <v>126</v>
      </c>
      <c r="B22" s="44" t="s">
        <v>102</v>
      </c>
      <c r="C22" s="45" t="s">
        <v>34</v>
      </c>
      <c r="D22" s="45" t="s">
        <v>67</v>
      </c>
      <c r="E22" s="46">
        <v>7952017</v>
      </c>
      <c r="F22" s="45"/>
      <c r="G22" s="38"/>
      <c r="H22" s="31"/>
      <c r="I22" s="38"/>
      <c r="J22" s="32">
        <f>J23</f>
        <v>0</v>
      </c>
      <c r="K22" s="32">
        <f>K23</f>
        <v>0</v>
      </c>
      <c r="L22" s="32">
        <f>L23</f>
        <v>0</v>
      </c>
      <c r="M22" s="56"/>
      <c r="N22" s="57"/>
      <c r="O22" s="50"/>
      <c r="P22" s="50"/>
      <c r="Q22" s="52"/>
      <c r="R22" s="50"/>
    </row>
    <row r="23" spans="1:18" ht="33" customHeight="1" hidden="1" thickBot="1">
      <c r="A23" s="35" t="s">
        <v>110</v>
      </c>
      <c r="B23" s="45" t="s">
        <v>102</v>
      </c>
      <c r="C23" s="45" t="s">
        <v>34</v>
      </c>
      <c r="D23" s="45" t="s">
        <v>67</v>
      </c>
      <c r="E23" s="46">
        <v>7952017</v>
      </c>
      <c r="F23" s="45" t="s">
        <v>109</v>
      </c>
      <c r="G23" s="38"/>
      <c r="H23" s="31"/>
      <c r="I23" s="38"/>
      <c r="J23" s="32"/>
      <c r="K23" s="32">
        <f>30-30</f>
        <v>0</v>
      </c>
      <c r="L23" s="32">
        <f>J23+K23</f>
        <v>0</v>
      </c>
      <c r="M23" s="58"/>
      <c r="N23" s="59"/>
      <c r="O23" s="50"/>
      <c r="P23" s="50"/>
      <c r="Q23" s="52"/>
      <c r="R23" s="50"/>
    </row>
    <row r="24" spans="1:17" ht="15.75" thickBot="1">
      <c r="A24" s="249" t="s">
        <v>127</v>
      </c>
      <c r="B24" s="247" t="s">
        <v>128</v>
      </c>
      <c r="C24" s="247"/>
      <c r="D24" s="247"/>
      <c r="E24" s="247"/>
      <c r="F24" s="247"/>
      <c r="G24" s="248" t="e">
        <f>#REF!+G25+G123</f>
        <v>#REF!</v>
      </c>
      <c r="H24" s="248" t="e">
        <f>#REF!+H25+H123</f>
        <v>#REF!</v>
      </c>
      <c r="I24" s="248" t="e">
        <f>#REF!+I25+I123</f>
        <v>#REF!</v>
      </c>
      <c r="J24" s="248">
        <f>J25+J123</f>
        <v>212716.89037</v>
      </c>
      <c r="K24" s="248">
        <f>K25+K123</f>
        <v>23322.989200000004</v>
      </c>
      <c r="L24" s="248">
        <f>L25+L123</f>
        <v>236039.87957000002</v>
      </c>
      <c r="M24" s="61" t="e">
        <f>#REF!+M25+M123</f>
        <v>#REF!</v>
      </c>
      <c r="N24" s="62" t="e">
        <f>#REF!+N25+N123</f>
        <v>#REF!</v>
      </c>
      <c r="O24" s="125">
        <f>L39+L44+L45+L48+L50+L52+L57+L66+L78+L80+L85+L92+L100+L101+L105+L108+L109+L110+L115+L116+L117+L118+L119+L120+L122+L130+L132+L136+L140+L141</f>
        <v>196630.21794</v>
      </c>
      <c r="Q24" s="125"/>
    </row>
    <row r="25" spans="1:14" ht="15">
      <c r="A25" s="29" t="s">
        <v>103</v>
      </c>
      <c r="B25" s="30" t="s">
        <v>128</v>
      </c>
      <c r="C25" s="30" t="s">
        <v>20</v>
      </c>
      <c r="D25" s="30"/>
      <c r="E25" s="30"/>
      <c r="F25" s="30"/>
      <c r="G25" s="22" t="e">
        <f>G26+G36+G88+G93+G102</f>
        <v>#REF!</v>
      </c>
      <c r="H25" s="25" t="e">
        <f>H26+H36+H88+H93+H102</f>
        <v>#REF!</v>
      </c>
      <c r="I25" s="25" t="e">
        <f>I26+I36+I88+I93+I102</f>
        <v>#REF!</v>
      </c>
      <c r="J25" s="25">
        <f>J36+J88+J93+J102+J26</f>
        <v>194886.19037</v>
      </c>
      <c r="K25" s="25">
        <f>K36+K88+K93+K102+K26</f>
        <v>23322.989200000004</v>
      </c>
      <c r="L25" s="25">
        <f>L36+L88+L93+L102+L26</f>
        <v>218209.17957</v>
      </c>
      <c r="M25" s="36" t="e">
        <f>M26+M36+M88+M93+M102</f>
        <v>#REF!</v>
      </c>
      <c r="N25" s="37" t="e">
        <f>N26+N36+N88+N93+N102</f>
        <v>#REF!</v>
      </c>
    </row>
    <row r="26" spans="1:14" ht="15" customHeight="1">
      <c r="A26" s="29" t="s">
        <v>49</v>
      </c>
      <c r="B26" s="30" t="s">
        <v>128</v>
      </c>
      <c r="C26" s="30" t="s">
        <v>20</v>
      </c>
      <c r="D26" s="30" t="s">
        <v>12</v>
      </c>
      <c r="E26" s="30"/>
      <c r="F26" s="30"/>
      <c r="G26" s="22">
        <f aca="true" t="shared" si="1" ref="G26:N28">G27</f>
        <v>-926.36</v>
      </c>
      <c r="H26" s="22">
        <f t="shared" si="1"/>
        <v>3734</v>
      </c>
      <c r="I26" s="22">
        <f t="shared" si="1"/>
        <v>0</v>
      </c>
      <c r="J26" s="25">
        <f>J27+J30+J33</f>
        <v>0</v>
      </c>
      <c r="K26" s="25">
        <f>K27+K30+K33</f>
        <v>7542.42</v>
      </c>
      <c r="L26" s="25">
        <f>L27+L30+L33</f>
        <v>7542.42</v>
      </c>
      <c r="M26" s="47">
        <f t="shared" si="1"/>
        <v>870.6</v>
      </c>
      <c r="N26" s="64">
        <f t="shared" si="1"/>
        <v>2970.6</v>
      </c>
    </row>
    <row r="27" spans="1:14" ht="15" customHeight="1">
      <c r="A27" s="35" t="s">
        <v>135</v>
      </c>
      <c r="B27" s="24" t="s">
        <v>128</v>
      </c>
      <c r="C27" s="24" t="s">
        <v>20</v>
      </c>
      <c r="D27" s="24" t="s">
        <v>12</v>
      </c>
      <c r="E27" s="24" t="s">
        <v>136</v>
      </c>
      <c r="F27" s="24"/>
      <c r="G27" s="38">
        <f t="shared" si="1"/>
        <v>-926.36</v>
      </c>
      <c r="H27" s="38">
        <f t="shared" si="1"/>
        <v>3734</v>
      </c>
      <c r="I27" s="38">
        <f t="shared" si="1"/>
        <v>0</v>
      </c>
      <c r="J27" s="32">
        <f aca="true" t="shared" si="2" ref="J27:L28">J28</f>
        <v>0</v>
      </c>
      <c r="K27" s="32">
        <f t="shared" si="2"/>
        <v>2100</v>
      </c>
      <c r="L27" s="32">
        <f t="shared" si="2"/>
        <v>2100</v>
      </c>
      <c r="M27" s="33">
        <f t="shared" si="1"/>
        <v>870.6</v>
      </c>
      <c r="N27" s="34">
        <f t="shared" si="1"/>
        <v>2970.6</v>
      </c>
    </row>
    <row r="28" spans="1:14" ht="30" customHeight="1">
      <c r="A28" s="35" t="s">
        <v>114</v>
      </c>
      <c r="B28" s="24" t="s">
        <v>128</v>
      </c>
      <c r="C28" s="24" t="s">
        <v>20</v>
      </c>
      <c r="D28" s="24" t="s">
        <v>12</v>
      </c>
      <c r="E28" s="24" t="s">
        <v>137</v>
      </c>
      <c r="F28" s="24"/>
      <c r="G28" s="38">
        <f>G29+G32</f>
        <v>-926.36</v>
      </c>
      <c r="H28" s="38">
        <f>H29+H32</f>
        <v>3734</v>
      </c>
      <c r="I28" s="38">
        <f>I29+I32</f>
        <v>0</v>
      </c>
      <c r="J28" s="32">
        <f t="shared" si="2"/>
        <v>0</v>
      </c>
      <c r="K28" s="32">
        <f t="shared" si="2"/>
        <v>2100</v>
      </c>
      <c r="L28" s="32">
        <f t="shared" si="2"/>
        <v>2100</v>
      </c>
      <c r="M28" s="244">
        <f t="shared" si="1"/>
        <v>870.6</v>
      </c>
      <c r="N28" s="244">
        <f t="shared" si="1"/>
        <v>2970.6</v>
      </c>
    </row>
    <row r="29" spans="1:15" ht="30" customHeight="1">
      <c r="A29" s="178" t="s">
        <v>184</v>
      </c>
      <c r="B29" s="24" t="s">
        <v>128</v>
      </c>
      <c r="C29" s="24" t="s">
        <v>20</v>
      </c>
      <c r="D29" s="24" t="s">
        <v>12</v>
      </c>
      <c r="E29" s="24" t="s">
        <v>137</v>
      </c>
      <c r="F29" s="24" t="s">
        <v>151</v>
      </c>
      <c r="G29" s="38">
        <f>-36.76+103.4</f>
        <v>66.64000000000001</v>
      </c>
      <c r="H29" s="31">
        <v>2606</v>
      </c>
      <c r="I29" s="38"/>
      <c r="J29" s="32">
        <v>0</v>
      </c>
      <c r="K29" s="32">
        <f>100+2000</f>
        <v>2100</v>
      </c>
      <c r="L29" s="32">
        <f>J29+K29</f>
        <v>2100</v>
      </c>
      <c r="M29" s="33">
        <f>-44.4+915</f>
        <v>870.6</v>
      </c>
      <c r="N29" s="34">
        <f>L29+M29</f>
        <v>2970.6</v>
      </c>
      <c r="O29" s="176"/>
    </row>
    <row r="30" spans="1:15" ht="30" customHeight="1">
      <c r="A30" s="67" t="s">
        <v>454</v>
      </c>
      <c r="B30" s="24" t="s">
        <v>128</v>
      </c>
      <c r="C30" s="24" t="s">
        <v>20</v>
      </c>
      <c r="D30" s="24" t="s">
        <v>12</v>
      </c>
      <c r="E30" s="24" t="s">
        <v>357</v>
      </c>
      <c r="F30" s="24"/>
      <c r="G30" s="38"/>
      <c r="H30" s="31"/>
      <c r="I30" s="38"/>
      <c r="J30" s="32">
        <f aca="true" t="shared" si="3" ref="J30:L31">J31</f>
        <v>0</v>
      </c>
      <c r="K30" s="32">
        <f t="shared" si="3"/>
        <v>5388</v>
      </c>
      <c r="L30" s="32">
        <f t="shared" si="3"/>
        <v>5388</v>
      </c>
      <c r="M30" s="33"/>
      <c r="N30" s="34"/>
      <c r="O30" s="176"/>
    </row>
    <row r="31" spans="1:15" ht="38.25">
      <c r="A31" s="67" t="s">
        <v>473</v>
      </c>
      <c r="B31" s="24" t="s">
        <v>128</v>
      </c>
      <c r="C31" s="24" t="s">
        <v>20</v>
      </c>
      <c r="D31" s="24" t="s">
        <v>12</v>
      </c>
      <c r="E31" s="24" t="s">
        <v>474</v>
      </c>
      <c r="F31" s="24"/>
      <c r="G31" s="38"/>
      <c r="H31" s="31"/>
      <c r="I31" s="38"/>
      <c r="J31" s="32">
        <f t="shared" si="3"/>
        <v>0</v>
      </c>
      <c r="K31" s="32">
        <f t="shared" si="3"/>
        <v>5388</v>
      </c>
      <c r="L31" s="32">
        <f t="shared" si="3"/>
        <v>5388</v>
      </c>
      <c r="M31" s="33"/>
      <c r="N31" s="34"/>
      <c r="O31" s="176"/>
    </row>
    <row r="32" spans="1:14" ht="25.5">
      <c r="A32" s="178" t="s">
        <v>184</v>
      </c>
      <c r="B32" s="24" t="s">
        <v>128</v>
      </c>
      <c r="C32" s="24" t="s">
        <v>20</v>
      </c>
      <c r="D32" s="24" t="s">
        <v>12</v>
      </c>
      <c r="E32" s="24" t="s">
        <v>474</v>
      </c>
      <c r="F32" s="24" t="s">
        <v>151</v>
      </c>
      <c r="G32" s="38">
        <f>-112.8-880.2</f>
        <v>-993</v>
      </c>
      <c r="H32" s="31">
        <v>1128</v>
      </c>
      <c r="I32" s="38"/>
      <c r="J32" s="32">
        <v>0</v>
      </c>
      <c r="K32" s="32">
        <v>5388</v>
      </c>
      <c r="L32" s="32">
        <f>J32+K32</f>
        <v>5388</v>
      </c>
      <c r="M32" s="33">
        <v>-65</v>
      </c>
      <c r="N32" s="34">
        <f>L32+M32</f>
        <v>5323</v>
      </c>
    </row>
    <row r="33" spans="1:14" ht="15">
      <c r="A33" s="67" t="s">
        <v>348</v>
      </c>
      <c r="B33" s="24" t="s">
        <v>128</v>
      </c>
      <c r="C33" s="24" t="s">
        <v>20</v>
      </c>
      <c r="D33" s="24" t="s">
        <v>12</v>
      </c>
      <c r="E33" s="24" t="s">
        <v>277</v>
      </c>
      <c r="F33" s="24"/>
      <c r="G33" s="38"/>
      <c r="H33" s="31"/>
      <c r="I33" s="38"/>
      <c r="J33" s="32">
        <f aca="true" t="shared" si="4" ref="J33:L34">J34</f>
        <v>0</v>
      </c>
      <c r="K33" s="32">
        <f t="shared" si="4"/>
        <v>54.42</v>
      </c>
      <c r="L33" s="32">
        <f t="shared" si="4"/>
        <v>54.42</v>
      </c>
      <c r="M33" s="33"/>
      <c r="N33" s="34"/>
    </row>
    <row r="34" spans="1:14" ht="25.5">
      <c r="A34" s="99" t="s">
        <v>309</v>
      </c>
      <c r="B34" s="24" t="s">
        <v>128</v>
      </c>
      <c r="C34" s="24" t="s">
        <v>20</v>
      </c>
      <c r="D34" s="24" t="s">
        <v>12</v>
      </c>
      <c r="E34" s="24" t="s">
        <v>310</v>
      </c>
      <c r="F34" s="24"/>
      <c r="G34" s="38"/>
      <c r="H34" s="31"/>
      <c r="I34" s="38"/>
      <c r="J34" s="32">
        <f t="shared" si="4"/>
        <v>0</v>
      </c>
      <c r="K34" s="32">
        <f t="shared" si="4"/>
        <v>54.42</v>
      </c>
      <c r="L34" s="32">
        <f t="shared" si="4"/>
        <v>54.42</v>
      </c>
      <c r="M34" s="33"/>
      <c r="N34" s="34"/>
    </row>
    <row r="35" spans="1:14" ht="25.5">
      <c r="A35" s="178" t="s">
        <v>184</v>
      </c>
      <c r="B35" s="24" t="s">
        <v>128</v>
      </c>
      <c r="C35" s="24" t="s">
        <v>20</v>
      </c>
      <c r="D35" s="24" t="s">
        <v>12</v>
      </c>
      <c r="E35" s="24" t="s">
        <v>310</v>
      </c>
      <c r="F35" s="24" t="s">
        <v>151</v>
      </c>
      <c r="G35" s="38"/>
      <c r="H35" s="31"/>
      <c r="I35" s="38"/>
      <c r="J35" s="32">
        <v>0</v>
      </c>
      <c r="K35" s="32">
        <v>54.42</v>
      </c>
      <c r="L35" s="32">
        <f>J35+K35</f>
        <v>54.42</v>
      </c>
      <c r="M35" s="33"/>
      <c r="N35" s="34"/>
    </row>
    <row r="36" spans="1:14" ht="15">
      <c r="A36" s="29" t="s">
        <v>50</v>
      </c>
      <c r="B36" s="30" t="s">
        <v>128</v>
      </c>
      <c r="C36" s="30" t="s">
        <v>20</v>
      </c>
      <c r="D36" s="30" t="s">
        <v>13</v>
      </c>
      <c r="E36" s="30"/>
      <c r="F36" s="30"/>
      <c r="G36" s="25" t="e">
        <f>G37+G58+#REF!+#REF!+#REF!+#REF!</f>
        <v>#REF!</v>
      </c>
      <c r="H36" s="25" t="e">
        <f>H37+H58+#REF!+#REF!+#REF!+#REF!</f>
        <v>#REF!</v>
      </c>
      <c r="I36" s="25" t="e">
        <f>I37+I58+#REF!+#REF!+#REF!+#REF!</f>
        <v>#REF!</v>
      </c>
      <c r="J36" s="25">
        <f>J37+J58+J76+J83+J67+J74</f>
        <v>187257.00837</v>
      </c>
      <c r="K36" s="25">
        <f>K37+K58+K76+K83+K67+K74</f>
        <v>13601.798200000001</v>
      </c>
      <c r="L36" s="25">
        <f>L37+L58+L76+L83+L67+L74</f>
        <v>200858.80657000002</v>
      </c>
      <c r="M36" s="47" t="e">
        <f>M37+M58+#REF!+#REF!+#REF!+#REF!</f>
        <v>#REF!</v>
      </c>
      <c r="N36" s="64" t="e">
        <f>N37+N58+#REF!+#REF!+#REF!+#REF!</f>
        <v>#REF!</v>
      </c>
    </row>
    <row r="37" spans="1:14" ht="26.25">
      <c r="A37" s="35" t="s">
        <v>139</v>
      </c>
      <c r="B37" s="24" t="s">
        <v>128</v>
      </c>
      <c r="C37" s="24" t="s">
        <v>20</v>
      </c>
      <c r="D37" s="24" t="s">
        <v>13</v>
      </c>
      <c r="E37" s="24" t="s">
        <v>140</v>
      </c>
      <c r="F37" s="24"/>
      <c r="G37" s="32">
        <f>G40</f>
        <v>867.76</v>
      </c>
      <c r="H37" s="32">
        <f>H40</f>
        <v>122607.1</v>
      </c>
      <c r="I37" s="32">
        <f>I40</f>
        <v>0</v>
      </c>
      <c r="J37" s="32">
        <f>J38+J40+J46+J49+J51+J53+J54+J55</f>
        <v>170980.52836999999</v>
      </c>
      <c r="K37" s="32">
        <f>K38+K40+K46+K49+K51+K53+K54+K55</f>
        <v>3126.176870000001</v>
      </c>
      <c r="L37" s="32">
        <f>L38+L40+L46+L49+L51+L53+L54+L55</f>
        <v>174106.70523999998</v>
      </c>
      <c r="M37" s="33" t="e">
        <f>M40+M47+M48+M53+#REF!+M54+#REF!+#REF!+#REF!+M56+M57</f>
        <v>#REF!</v>
      </c>
      <c r="N37" s="65" t="e">
        <f>N40+N47+N48+N53+#REF!+N54+#REF!+#REF!+#REF!+N56+N57</f>
        <v>#REF!</v>
      </c>
    </row>
    <row r="38" spans="1:14" ht="102">
      <c r="A38" s="177" t="s">
        <v>444</v>
      </c>
      <c r="B38" s="44" t="s">
        <v>128</v>
      </c>
      <c r="C38" s="44" t="s">
        <v>20</v>
      </c>
      <c r="D38" s="44" t="s">
        <v>13</v>
      </c>
      <c r="E38" s="44" t="s">
        <v>445</v>
      </c>
      <c r="F38" s="24"/>
      <c r="G38" s="32"/>
      <c r="H38" s="32"/>
      <c r="I38" s="32"/>
      <c r="J38" s="32">
        <f>J39</f>
        <v>128848.7</v>
      </c>
      <c r="K38" s="32">
        <f>K39</f>
        <v>0</v>
      </c>
      <c r="L38" s="32">
        <f>L39</f>
        <v>128848.7</v>
      </c>
      <c r="M38" s="33"/>
      <c r="N38" s="65"/>
    </row>
    <row r="39" spans="1:14" ht="63.75">
      <c r="A39" s="67" t="s">
        <v>142</v>
      </c>
      <c r="B39" s="24" t="s">
        <v>128</v>
      </c>
      <c r="C39" s="24" t="s">
        <v>20</v>
      </c>
      <c r="D39" s="24" t="s">
        <v>13</v>
      </c>
      <c r="E39" s="24" t="s">
        <v>147</v>
      </c>
      <c r="F39" s="24" t="s">
        <v>143</v>
      </c>
      <c r="G39" s="38"/>
      <c r="H39" s="31"/>
      <c r="I39" s="38"/>
      <c r="J39" s="32">
        <v>128848.7</v>
      </c>
      <c r="K39" s="32"/>
      <c r="L39" s="32">
        <f>SUM(J39:K39)</f>
        <v>128848.7</v>
      </c>
      <c r="M39" s="33"/>
      <c r="N39" s="34"/>
    </row>
    <row r="40" spans="1:14" ht="26.25">
      <c r="A40" s="35" t="s">
        <v>114</v>
      </c>
      <c r="B40" s="24" t="s">
        <v>128</v>
      </c>
      <c r="C40" s="24" t="s">
        <v>20</v>
      </c>
      <c r="D40" s="24" t="s">
        <v>13</v>
      </c>
      <c r="E40" s="24" t="s">
        <v>141</v>
      </c>
      <c r="F40" s="24"/>
      <c r="G40" s="38">
        <f>G41+G47</f>
        <v>867.76</v>
      </c>
      <c r="H40" s="38">
        <f>H41+H47</f>
        <v>122607.1</v>
      </c>
      <c r="I40" s="38">
        <f>I41+I47</f>
        <v>0</v>
      </c>
      <c r="J40" s="32">
        <f>J41+J44+J45+J42+J43</f>
        <v>38223.39108</v>
      </c>
      <c r="K40" s="32">
        <f>K41+K44+K45+K42+K43</f>
        <v>6086.614160000001</v>
      </c>
      <c r="L40" s="32">
        <f>L41+L44+L45+L42+L43</f>
        <v>44310.00524</v>
      </c>
      <c r="M40" s="33">
        <f>M41+M44</f>
        <v>2311.3940000000002</v>
      </c>
      <c r="N40" s="65">
        <f>N41+N44</f>
        <v>2355.8940000000002</v>
      </c>
    </row>
    <row r="41" spans="1:15" ht="38.25">
      <c r="A41" s="67" t="s">
        <v>173</v>
      </c>
      <c r="B41" s="24" t="s">
        <v>128</v>
      </c>
      <c r="C41" s="24" t="s">
        <v>20</v>
      </c>
      <c r="D41" s="24" t="s">
        <v>13</v>
      </c>
      <c r="E41" s="24" t="s">
        <v>141</v>
      </c>
      <c r="F41" s="24" t="s">
        <v>174</v>
      </c>
      <c r="G41" s="38">
        <f>36.76+38-200</f>
        <v>-125.24000000000001</v>
      </c>
      <c r="H41" s="31">
        <v>121495.1</v>
      </c>
      <c r="I41" s="38"/>
      <c r="J41" s="32">
        <v>4.5</v>
      </c>
      <c r="K41" s="32">
        <f>40</f>
        <v>40</v>
      </c>
      <c r="L41" s="32">
        <f>J41+K41</f>
        <v>44.5</v>
      </c>
      <c r="M41" s="66">
        <f>102.98+1108+1100.414</f>
        <v>2311.3940000000002</v>
      </c>
      <c r="N41" s="34">
        <f>L41+M41</f>
        <v>2355.8940000000002</v>
      </c>
      <c r="O41" s="125" t="e">
        <f>L41-#REF!</f>
        <v>#REF!</v>
      </c>
    </row>
    <row r="42" spans="1:15" ht="51" hidden="1">
      <c r="A42" s="67" t="s">
        <v>177</v>
      </c>
      <c r="B42" s="24" t="s">
        <v>128</v>
      </c>
      <c r="C42" s="24" t="s">
        <v>20</v>
      </c>
      <c r="D42" s="24" t="s">
        <v>13</v>
      </c>
      <c r="E42" s="24" t="s">
        <v>141</v>
      </c>
      <c r="F42" s="24" t="s">
        <v>178</v>
      </c>
      <c r="G42" s="38"/>
      <c r="H42" s="31"/>
      <c r="I42" s="38"/>
      <c r="J42" s="32"/>
      <c r="K42" s="32"/>
      <c r="L42" s="32">
        <f>J42+K42</f>
        <v>0</v>
      </c>
      <c r="M42" s="66"/>
      <c r="N42" s="34"/>
      <c r="O42" s="125"/>
    </row>
    <row r="43" spans="1:15" ht="38.25">
      <c r="A43" s="67" t="s">
        <v>164</v>
      </c>
      <c r="B43" s="24" t="s">
        <v>128</v>
      </c>
      <c r="C43" s="24" t="s">
        <v>20</v>
      </c>
      <c r="D43" s="24" t="s">
        <v>13</v>
      </c>
      <c r="E43" s="24" t="s">
        <v>141</v>
      </c>
      <c r="F43" s="24" t="s">
        <v>166</v>
      </c>
      <c r="G43" s="38"/>
      <c r="H43" s="31"/>
      <c r="I43" s="38"/>
      <c r="J43" s="32">
        <v>8219.5</v>
      </c>
      <c r="K43" s="32">
        <f>12+300+140</f>
        <v>452</v>
      </c>
      <c r="L43" s="32">
        <f>J43+K43</f>
        <v>8671.5</v>
      </c>
      <c r="M43" s="66"/>
      <c r="N43" s="34"/>
      <c r="O43" s="125"/>
    </row>
    <row r="44" spans="1:15" ht="63.75">
      <c r="A44" s="67" t="s">
        <v>142</v>
      </c>
      <c r="B44" s="24" t="s">
        <v>128</v>
      </c>
      <c r="C44" s="24" t="s">
        <v>20</v>
      </c>
      <c r="D44" s="24" t="s">
        <v>13</v>
      </c>
      <c r="E44" s="24" t="s">
        <v>141</v>
      </c>
      <c r="F44" s="24" t="s">
        <v>143</v>
      </c>
      <c r="G44" s="38"/>
      <c r="H44" s="31"/>
      <c r="I44" s="38"/>
      <c r="J44" s="32">
        <v>22978.22108</v>
      </c>
      <c r="K44" s="32">
        <f>15.92+47+1000+1031.332-516.1+530.80416-150.342</f>
        <v>1958.6141600000005</v>
      </c>
      <c r="L44" s="32">
        <f>SUM(J44:K44)</f>
        <v>24936.83524</v>
      </c>
      <c r="M44" s="66"/>
      <c r="N44" s="34"/>
      <c r="O44" s="125"/>
    </row>
    <row r="45" spans="1:15" ht="25.5">
      <c r="A45" s="67" t="s">
        <v>453</v>
      </c>
      <c r="B45" s="24" t="s">
        <v>128</v>
      </c>
      <c r="C45" s="24" t="s">
        <v>20</v>
      </c>
      <c r="D45" s="24" t="s">
        <v>13</v>
      </c>
      <c r="E45" s="24" t="s">
        <v>141</v>
      </c>
      <c r="F45" s="24" t="s">
        <v>151</v>
      </c>
      <c r="G45" s="38"/>
      <c r="H45" s="31"/>
      <c r="I45" s="38"/>
      <c r="J45" s="32">
        <v>7021.17</v>
      </c>
      <c r="K45" s="32">
        <f>36+1300+1300+1000</f>
        <v>3636</v>
      </c>
      <c r="L45" s="32">
        <f>SUM(J45:K45)</f>
        <v>10657.17</v>
      </c>
      <c r="M45" s="66"/>
      <c r="N45" s="34"/>
      <c r="O45" s="125"/>
    </row>
    <row r="46" spans="1:15" ht="51.75">
      <c r="A46" s="35" t="s">
        <v>115</v>
      </c>
      <c r="B46" s="24" t="s">
        <v>128</v>
      </c>
      <c r="C46" s="24" t="s">
        <v>20</v>
      </c>
      <c r="D46" s="24" t="s">
        <v>13</v>
      </c>
      <c r="E46" s="24" t="s">
        <v>144</v>
      </c>
      <c r="F46" s="24"/>
      <c r="G46" s="38"/>
      <c r="H46" s="31"/>
      <c r="I46" s="38"/>
      <c r="J46" s="32">
        <f>J47+J48</f>
        <v>3908.43729</v>
      </c>
      <c r="K46" s="32">
        <f>K47+K48</f>
        <v>-2960.43729</v>
      </c>
      <c r="L46" s="32">
        <f>L47+L48</f>
        <v>948</v>
      </c>
      <c r="M46" s="66"/>
      <c r="N46" s="34"/>
      <c r="O46" s="125"/>
    </row>
    <row r="47" spans="1:15" ht="26.25" hidden="1">
      <c r="A47" s="35" t="s">
        <v>116</v>
      </c>
      <c r="B47" s="24" t="s">
        <v>128</v>
      </c>
      <c r="C47" s="24" t="s">
        <v>20</v>
      </c>
      <c r="D47" s="24" t="s">
        <v>13</v>
      </c>
      <c r="E47" s="24" t="s">
        <v>144</v>
      </c>
      <c r="F47" s="24" t="s">
        <v>113</v>
      </c>
      <c r="G47" s="38">
        <f>112.8+880.2</f>
        <v>993</v>
      </c>
      <c r="H47" s="31">
        <v>1112</v>
      </c>
      <c r="I47" s="38"/>
      <c r="J47" s="32"/>
      <c r="K47" s="32"/>
      <c r="L47" s="32">
        <f>J47+K47</f>
        <v>0</v>
      </c>
      <c r="M47" s="33">
        <f>-605</f>
        <v>-605</v>
      </c>
      <c r="N47" s="34">
        <f>L47+M47</f>
        <v>-605</v>
      </c>
      <c r="O47" s="96" t="e">
        <f>L47-#REF!</f>
        <v>#REF!</v>
      </c>
    </row>
    <row r="48" spans="1:15" ht="63.75">
      <c r="A48" s="67" t="s">
        <v>142</v>
      </c>
      <c r="B48" s="24" t="s">
        <v>128</v>
      </c>
      <c r="C48" s="24" t="s">
        <v>20</v>
      </c>
      <c r="D48" s="24" t="s">
        <v>13</v>
      </c>
      <c r="E48" s="24" t="s">
        <v>144</v>
      </c>
      <c r="F48" s="24" t="s">
        <v>143</v>
      </c>
      <c r="G48" s="38"/>
      <c r="H48" s="31"/>
      <c r="I48" s="38"/>
      <c r="J48" s="32">
        <v>3908.43729</v>
      </c>
      <c r="K48" s="32">
        <f>-2960.43729</f>
        <v>-2960.43729</v>
      </c>
      <c r="L48" s="32">
        <f>SUM(J48:K48)</f>
        <v>948</v>
      </c>
      <c r="M48" s="33"/>
      <c r="N48" s="34"/>
      <c r="O48" s="244">
        <f>-(J48-1045.71926+136.63729+190.2)</f>
        <v>-3189.55532</v>
      </c>
    </row>
    <row r="49" spans="1:15" ht="25.5" hidden="1">
      <c r="A49" s="67" t="s">
        <v>448</v>
      </c>
      <c r="B49" s="24" t="s">
        <v>128</v>
      </c>
      <c r="C49" s="24" t="s">
        <v>20</v>
      </c>
      <c r="D49" s="24" t="s">
        <v>13</v>
      </c>
      <c r="E49" s="24" t="s">
        <v>150</v>
      </c>
      <c r="F49" s="24"/>
      <c r="G49" s="38"/>
      <c r="H49" s="31"/>
      <c r="I49" s="38"/>
      <c r="J49" s="32">
        <f>J50</f>
        <v>0</v>
      </c>
      <c r="K49" s="32">
        <f>K50</f>
        <v>0</v>
      </c>
      <c r="L49" s="32">
        <f>L50</f>
        <v>0</v>
      </c>
      <c r="M49" s="33"/>
      <c r="N49" s="34"/>
      <c r="O49" s="96"/>
    </row>
    <row r="50" spans="1:14" ht="25.5" hidden="1">
      <c r="A50" s="178" t="s">
        <v>184</v>
      </c>
      <c r="B50" s="24" t="s">
        <v>128</v>
      </c>
      <c r="C50" s="24" t="s">
        <v>20</v>
      </c>
      <c r="D50" s="24" t="s">
        <v>13</v>
      </c>
      <c r="E50" s="24" t="s">
        <v>150</v>
      </c>
      <c r="F50" s="24" t="s">
        <v>151</v>
      </c>
      <c r="G50" s="38"/>
      <c r="H50" s="31"/>
      <c r="I50" s="38"/>
      <c r="J50" s="32">
        <v>0</v>
      </c>
      <c r="K50" s="32"/>
      <c r="L50" s="32">
        <f>J50+K50</f>
        <v>0</v>
      </c>
      <c r="M50" s="33"/>
      <c r="N50" s="34"/>
    </row>
    <row r="51" spans="1:15" ht="39" hidden="1">
      <c r="A51" s="35" t="s">
        <v>447</v>
      </c>
      <c r="B51" s="24" t="s">
        <v>128</v>
      </c>
      <c r="C51" s="24" t="s">
        <v>20</v>
      </c>
      <c r="D51" s="24" t="s">
        <v>13</v>
      </c>
      <c r="E51" s="24" t="s">
        <v>152</v>
      </c>
      <c r="F51" s="24"/>
      <c r="G51" s="38"/>
      <c r="H51" s="31"/>
      <c r="I51" s="38"/>
      <c r="J51" s="32">
        <f>J52</f>
        <v>0</v>
      </c>
      <c r="K51" s="32">
        <f>K52</f>
        <v>0</v>
      </c>
      <c r="L51" s="32">
        <f>L52</f>
        <v>0</v>
      </c>
      <c r="M51" s="33"/>
      <c r="N51" s="34"/>
      <c r="O51" s="96"/>
    </row>
    <row r="52" spans="1:14" ht="25.5" hidden="1">
      <c r="A52" s="178" t="s">
        <v>184</v>
      </c>
      <c r="B52" s="24" t="s">
        <v>128</v>
      </c>
      <c r="C52" s="24" t="s">
        <v>20</v>
      </c>
      <c r="D52" s="24" t="s">
        <v>13</v>
      </c>
      <c r="E52" s="24" t="s">
        <v>152</v>
      </c>
      <c r="F52" s="24" t="s">
        <v>151</v>
      </c>
      <c r="G52" s="38"/>
      <c r="H52" s="31"/>
      <c r="I52" s="38"/>
      <c r="J52" s="32">
        <v>0</v>
      </c>
      <c r="K52" s="32"/>
      <c r="L52" s="32">
        <f>J52+K52</f>
        <v>0</v>
      </c>
      <c r="M52" s="33"/>
      <c r="N52" s="34"/>
    </row>
    <row r="53" spans="1:15" ht="76.5" hidden="1">
      <c r="A53" s="68" t="s">
        <v>145</v>
      </c>
      <c r="B53" s="24" t="s">
        <v>128</v>
      </c>
      <c r="C53" s="24" t="s">
        <v>20</v>
      </c>
      <c r="D53" s="24" t="s">
        <v>13</v>
      </c>
      <c r="E53" s="24" t="s">
        <v>146</v>
      </c>
      <c r="F53" s="24" t="s">
        <v>113</v>
      </c>
      <c r="G53" s="38"/>
      <c r="H53" s="31"/>
      <c r="I53" s="38"/>
      <c r="J53" s="32"/>
      <c r="K53" s="32"/>
      <c r="L53" s="32">
        <f>J53+K53</f>
        <v>0</v>
      </c>
      <c r="M53" s="33"/>
      <c r="N53" s="34"/>
      <c r="O53" s="20">
        <v>91019</v>
      </c>
    </row>
    <row r="54" spans="1:15" ht="51.75" hidden="1">
      <c r="A54" s="35" t="s">
        <v>148</v>
      </c>
      <c r="B54" s="24" t="s">
        <v>128</v>
      </c>
      <c r="C54" s="24" t="s">
        <v>20</v>
      </c>
      <c r="D54" s="24" t="s">
        <v>13</v>
      </c>
      <c r="E54" s="24" t="s">
        <v>149</v>
      </c>
      <c r="F54" s="24" t="s">
        <v>113</v>
      </c>
      <c r="G54" s="38"/>
      <c r="H54" s="31"/>
      <c r="I54" s="38"/>
      <c r="J54" s="32"/>
      <c r="K54" s="32"/>
      <c r="L54" s="32">
        <f>J54+K54</f>
        <v>0</v>
      </c>
      <c r="M54" s="33"/>
      <c r="N54" s="34"/>
      <c r="O54" s="172"/>
    </row>
    <row r="55" spans="1:14" ht="51.75" hidden="1">
      <c r="A55" s="35" t="s">
        <v>153</v>
      </c>
      <c r="B55" s="24" t="s">
        <v>128</v>
      </c>
      <c r="C55" s="24" t="s">
        <v>20</v>
      </c>
      <c r="D55" s="24" t="s">
        <v>13</v>
      </c>
      <c r="E55" s="24" t="s">
        <v>154</v>
      </c>
      <c r="F55" s="24"/>
      <c r="G55" s="38"/>
      <c r="H55" s="31"/>
      <c r="I55" s="38"/>
      <c r="J55" s="32">
        <f>J56+J57</f>
        <v>0</v>
      </c>
      <c r="K55" s="32">
        <f>K56+K57</f>
        <v>0</v>
      </c>
      <c r="L55" s="32">
        <f>L56+L57</f>
        <v>0</v>
      </c>
      <c r="M55" s="33"/>
      <c r="N55" s="34"/>
    </row>
    <row r="56" spans="1:17" ht="51.75" hidden="1">
      <c r="A56" s="35" t="s">
        <v>153</v>
      </c>
      <c r="B56" s="24" t="s">
        <v>128</v>
      </c>
      <c r="C56" s="24" t="s">
        <v>20</v>
      </c>
      <c r="D56" s="24" t="s">
        <v>13</v>
      </c>
      <c r="E56" s="24" t="s">
        <v>154</v>
      </c>
      <c r="F56" s="24" t="s">
        <v>113</v>
      </c>
      <c r="G56" s="38"/>
      <c r="H56" s="31"/>
      <c r="I56" s="38"/>
      <c r="J56" s="32"/>
      <c r="K56" s="32"/>
      <c r="L56" s="32">
        <f>J56+K56</f>
        <v>0</v>
      </c>
      <c r="M56" s="33"/>
      <c r="N56" s="34"/>
      <c r="O56" s="172">
        <v>1770.5</v>
      </c>
      <c r="Q56" s="96">
        <f>L56-O56</f>
        <v>-1770.5</v>
      </c>
    </row>
    <row r="57" spans="1:17" ht="63.75" hidden="1">
      <c r="A57" s="67" t="s">
        <v>142</v>
      </c>
      <c r="B57" s="24" t="s">
        <v>128</v>
      </c>
      <c r="C57" s="24" t="s">
        <v>20</v>
      </c>
      <c r="D57" s="24" t="s">
        <v>13</v>
      </c>
      <c r="E57" s="24" t="s">
        <v>154</v>
      </c>
      <c r="F57" s="24" t="s">
        <v>143</v>
      </c>
      <c r="G57" s="38"/>
      <c r="H57" s="31"/>
      <c r="I57" s="38"/>
      <c r="J57" s="32"/>
      <c r="K57" s="32"/>
      <c r="L57" s="32">
        <f>SUM(J57:K57)</f>
        <v>0</v>
      </c>
      <c r="M57" s="33"/>
      <c r="N57" s="34"/>
      <c r="O57" s="172"/>
      <c r="Q57" s="96"/>
    </row>
    <row r="58" spans="1:14" ht="26.25">
      <c r="A58" s="35" t="s">
        <v>155</v>
      </c>
      <c r="B58" s="24" t="s">
        <v>128</v>
      </c>
      <c r="C58" s="24" t="s">
        <v>20</v>
      </c>
      <c r="D58" s="24" t="s">
        <v>13</v>
      </c>
      <c r="E58" s="24" t="s">
        <v>156</v>
      </c>
      <c r="F58" s="24"/>
      <c r="G58" s="38" t="e">
        <f aca="true" t="shared" si="5" ref="G58:N58">G59</f>
        <v>#REF!</v>
      </c>
      <c r="H58" s="38" t="e">
        <f t="shared" si="5"/>
        <v>#REF!</v>
      </c>
      <c r="I58" s="38" t="e">
        <f t="shared" si="5"/>
        <v>#REF!</v>
      </c>
      <c r="J58" s="32">
        <f t="shared" si="5"/>
        <v>10524.28</v>
      </c>
      <c r="K58" s="32">
        <f t="shared" si="5"/>
        <v>-3331.178669999999</v>
      </c>
      <c r="L58" s="32">
        <f t="shared" si="5"/>
        <v>7193.10133</v>
      </c>
      <c r="M58" s="33" t="e">
        <f t="shared" si="5"/>
        <v>#REF!</v>
      </c>
      <c r="N58" s="34" t="e">
        <f t="shared" si="5"/>
        <v>#REF!</v>
      </c>
    </row>
    <row r="59" spans="1:14" ht="26.25">
      <c r="A59" s="35" t="s">
        <v>114</v>
      </c>
      <c r="B59" s="24" t="s">
        <v>128</v>
      </c>
      <c r="C59" s="24" t="s">
        <v>20</v>
      </c>
      <c r="D59" s="24" t="s">
        <v>13</v>
      </c>
      <c r="E59" s="24" t="s">
        <v>157</v>
      </c>
      <c r="F59" s="24"/>
      <c r="G59" s="38" t="e">
        <f>G60+#REF!</f>
        <v>#REF!</v>
      </c>
      <c r="H59" s="38" t="e">
        <f>H60+#REF!</f>
        <v>#REF!</v>
      </c>
      <c r="I59" s="38" t="e">
        <f>I60+#REF!</f>
        <v>#REF!</v>
      </c>
      <c r="J59" s="32">
        <f>J60+J66+J61+J62+J63+J64+J65</f>
        <v>10524.28</v>
      </c>
      <c r="K59" s="32">
        <f>K60+K66+K61+K62+K63+K64+K65</f>
        <v>-3331.178669999999</v>
      </c>
      <c r="L59" s="32">
        <f>L60+L66+L61+L62+L63+L64+L65</f>
        <v>7193.10133</v>
      </c>
      <c r="M59" s="33" t="e">
        <f>M60+#REF!</f>
        <v>#REF!</v>
      </c>
      <c r="N59" s="34" t="e">
        <f>N60+#REF!</f>
        <v>#REF!</v>
      </c>
    </row>
    <row r="60" spans="1:15" ht="26.25">
      <c r="A60" s="72" t="s">
        <v>170</v>
      </c>
      <c r="B60" s="24" t="s">
        <v>128</v>
      </c>
      <c r="C60" s="24" t="s">
        <v>20</v>
      </c>
      <c r="D60" s="24" t="s">
        <v>13</v>
      </c>
      <c r="E60" s="24" t="s">
        <v>157</v>
      </c>
      <c r="F60" s="24" t="s">
        <v>171</v>
      </c>
      <c r="G60" s="38">
        <v>165.6</v>
      </c>
      <c r="H60" s="31">
        <v>10077.24</v>
      </c>
      <c r="I60" s="38"/>
      <c r="J60" s="255">
        <v>8066.28</v>
      </c>
      <c r="K60" s="255">
        <f>-5427.59816+248.34036+188.86663</f>
        <v>-4990.391169999999</v>
      </c>
      <c r="L60" s="255">
        <f aca="true" t="shared" si="6" ref="L60:L65">J60+K60</f>
        <v>3075.888830000001</v>
      </c>
      <c r="M60" s="33">
        <f>15</f>
        <v>15</v>
      </c>
      <c r="N60" s="34">
        <f>L60+M60</f>
        <v>3090.888830000001</v>
      </c>
      <c r="O60" s="172" t="e">
        <f>L60-#REF!</f>
        <v>#REF!</v>
      </c>
    </row>
    <row r="61" spans="1:15" ht="38.25">
      <c r="A61" s="67" t="s">
        <v>173</v>
      </c>
      <c r="B61" s="24" t="s">
        <v>128</v>
      </c>
      <c r="C61" s="24" t="s">
        <v>20</v>
      </c>
      <c r="D61" s="24" t="s">
        <v>13</v>
      </c>
      <c r="E61" s="24" t="s">
        <v>157</v>
      </c>
      <c r="F61" s="24" t="s">
        <v>174</v>
      </c>
      <c r="G61" s="38"/>
      <c r="H61" s="31"/>
      <c r="I61" s="38"/>
      <c r="J61" s="255">
        <v>385.05</v>
      </c>
      <c r="K61" s="255">
        <f>-300.4+9.8</f>
        <v>-290.59999999999997</v>
      </c>
      <c r="L61" s="255">
        <f t="shared" si="6"/>
        <v>94.45000000000005</v>
      </c>
      <c r="M61" s="33"/>
      <c r="N61" s="34"/>
      <c r="O61" s="172"/>
    </row>
    <row r="62" spans="1:15" ht="51">
      <c r="A62" s="67" t="s">
        <v>177</v>
      </c>
      <c r="B62" s="24" t="s">
        <v>128</v>
      </c>
      <c r="C62" s="24" t="s">
        <v>20</v>
      </c>
      <c r="D62" s="24" t="s">
        <v>13</v>
      </c>
      <c r="E62" s="24" t="s">
        <v>157</v>
      </c>
      <c r="F62" s="24" t="s">
        <v>178</v>
      </c>
      <c r="G62" s="38"/>
      <c r="H62" s="31"/>
      <c r="I62" s="38"/>
      <c r="J62" s="32">
        <v>6</v>
      </c>
      <c r="K62" s="265">
        <f>40.2-6</f>
        <v>34.2</v>
      </c>
      <c r="L62" s="32">
        <f t="shared" si="6"/>
        <v>40.2</v>
      </c>
      <c r="M62" s="33"/>
      <c r="N62" s="34"/>
      <c r="O62" s="172"/>
    </row>
    <row r="63" spans="1:15" ht="38.25">
      <c r="A63" s="67" t="s">
        <v>164</v>
      </c>
      <c r="B63" s="24" t="s">
        <v>128</v>
      </c>
      <c r="C63" s="24" t="s">
        <v>20</v>
      </c>
      <c r="D63" s="24" t="s">
        <v>13</v>
      </c>
      <c r="E63" s="24" t="s">
        <v>157</v>
      </c>
      <c r="F63" s="24" t="s">
        <v>166</v>
      </c>
      <c r="G63" s="38"/>
      <c r="H63" s="31"/>
      <c r="I63" s="38"/>
      <c r="J63" s="32">
        <v>2005.85</v>
      </c>
      <c r="K63" s="265">
        <f>-40.2+473.15-473.15-893.3212+385.242</f>
        <v>-548.2792</v>
      </c>
      <c r="L63" s="244">
        <f t="shared" si="6"/>
        <v>1457.5708</v>
      </c>
      <c r="M63" s="33"/>
      <c r="N63" s="34"/>
      <c r="O63" s="172"/>
    </row>
    <row r="64" spans="1:15" ht="38.25">
      <c r="A64" s="67" t="s">
        <v>179</v>
      </c>
      <c r="B64" s="24" t="s">
        <v>128</v>
      </c>
      <c r="C64" s="24" t="s">
        <v>20</v>
      </c>
      <c r="D64" s="24" t="s">
        <v>13</v>
      </c>
      <c r="E64" s="24" t="s">
        <v>157</v>
      </c>
      <c r="F64" s="24" t="s">
        <v>180</v>
      </c>
      <c r="G64" s="38"/>
      <c r="H64" s="31"/>
      <c r="I64" s="38"/>
      <c r="J64" s="244">
        <f>56.1</f>
        <v>56.1</v>
      </c>
      <c r="K64" s="272">
        <f>150.342-56.1+56.1</f>
        <v>150.342</v>
      </c>
      <c r="L64" s="244">
        <f t="shared" si="6"/>
        <v>206.442</v>
      </c>
      <c r="M64" s="33"/>
      <c r="N64" s="34"/>
      <c r="O64" s="172"/>
    </row>
    <row r="65" spans="1:15" ht="25.5">
      <c r="A65" s="67" t="s">
        <v>181</v>
      </c>
      <c r="B65" s="24" t="s">
        <v>128</v>
      </c>
      <c r="C65" s="24" t="s">
        <v>20</v>
      </c>
      <c r="D65" s="24" t="s">
        <v>13</v>
      </c>
      <c r="E65" s="24" t="s">
        <v>157</v>
      </c>
      <c r="F65" s="24" t="s">
        <v>182</v>
      </c>
      <c r="G65" s="38"/>
      <c r="H65" s="31"/>
      <c r="I65" s="38"/>
      <c r="J65" s="32">
        <v>5</v>
      </c>
      <c r="K65" s="265">
        <f>-5+5</f>
        <v>0</v>
      </c>
      <c r="L65" s="32">
        <f t="shared" si="6"/>
        <v>5</v>
      </c>
      <c r="M65" s="33"/>
      <c r="N65" s="34"/>
      <c r="O65" s="172"/>
    </row>
    <row r="66" spans="1:14" ht="27.75" customHeight="1">
      <c r="A66" s="67" t="s">
        <v>142</v>
      </c>
      <c r="B66" s="24" t="s">
        <v>128</v>
      </c>
      <c r="C66" s="24" t="s">
        <v>20</v>
      </c>
      <c r="D66" s="24" t="s">
        <v>13</v>
      </c>
      <c r="E66" s="24" t="s">
        <v>157</v>
      </c>
      <c r="F66" s="24" t="s">
        <v>143</v>
      </c>
      <c r="G66" s="38"/>
      <c r="H66" s="31"/>
      <c r="I66" s="38"/>
      <c r="J66" s="32"/>
      <c r="K66" s="32">
        <f>2409.37973+50-145.83003</f>
        <v>2313.5497</v>
      </c>
      <c r="L66" s="32">
        <f>SUM(J66:K66)</f>
        <v>2313.5497</v>
      </c>
      <c r="M66" s="33"/>
      <c r="N66" s="34"/>
    </row>
    <row r="67" spans="1:14" ht="27.75" customHeight="1">
      <c r="A67" s="67" t="s">
        <v>491</v>
      </c>
      <c r="B67" s="24" t="s">
        <v>128</v>
      </c>
      <c r="C67" s="24" t="s">
        <v>20</v>
      </c>
      <c r="D67" s="24" t="s">
        <v>13</v>
      </c>
      <c r="E67" s="24" t="s">
        <v>493</v>
      </c>
      <c r="F67" s="24"/>
      <c r="G67" s="38"/>
      <c r="H67" s="31"/>
      <c r="I67" s="38"/>
      <c r="J67" s="32">
        <f>J68+J70+J72</f>
        <v>0</v>
      </c>
      <c r="K67" s="32">
        <f>K68+K70+K72</f>
        <v>11116.289999999999</v>
      </c>
      <c r="L67" s="32">
        <f>L68+L70+L72</f>
        <v>11116.289999999999</v>
      </c>
      <c r="M67" s="39"/>
      <c r="N67" s="39"/>
    </row>
    <row r="68" spans="1:15" ht="27.75" customHeight="1">
      <c r="A68" s="67" t="s">
        <v>494</v>
      </c>
      <c r="B68" s="24" t="s">
        <v>128</v>
      </c>
      <c r="C68" s="24" t="s">
        <v>20</v>
      </c>
      <c r="D68" s="24" t="s">
        <v>13</v>
      </c>
      <c r="E68" s="24" t="s">
        <v>492</v>
      </c>
      <c r="F68" s="24"/>
      <c r="G68" s="38"/>
      <c r="H68" s="31"/>
      <c r="I68" s="38"/>
      <c r="J68" s="32">
        <f aca="true" t="shared" si="7" ref="J68:O68">J69</f>
        <v>0</v>
      </c>
      <c r="K68" s="32">
        <f t="shared" si="7"/>
        <v>11005.13</v>
      </c>
      <c r="L68" s="32">
        <f t="shared" si="7"/>
        <v>11005.13</v>
      </c>
      <c r="M68" s="255">
        <f t="shared" si="7"/>
        <v>0</v>
      </c>
      <c r="N68" s="255">
        <f t="shared" si="7"/>
        <v>0</v>
      </c>
      <c r="O68" s="255">
        <f t="shared" si="7"/>
        <v>0</v>
      </c>
    </row>
    <row r="69" spans="1:15" ht="27.75" customHeight="1">
      <c r="A69" s="178" t="s">
        <v>184</v>
      </c>
      <c r="B69" s="24" t="s">
        <v>128</v>
      </c>
      <c r="C69" s="24" t="s">
        <v>20</v>
      </c>
      <c r="D69" s="24" t="s">
        <v>13</v>
      </c>
      <c r="E69" s="24" t="s">
        <v>492</v>
      </c>
      <c r="F69" s="24" t="s">
        <v>151</v>
      </c>
      <c r="G69" s="38"/>
      <c r="H69" s="31"/>
      <c r="I69" s="38"/>
      <c r="J69" s="32"/>
      <c r="K69" s="32">
        <v>11005.13</v>
      </c>
      <c r="L69" s="255">
        <f>J69+K69</f>
        <v>11005.13</v>
      </c>
      <c r="M69" s="256"/>
      <c r="N69" s="257"/>
      <c r="O69" s="258"/>
    </row>
    <row r="70" spans="1:15" ht="27.75" customHeight="1" hidden="1">
      <c r="A70" s="67" t="s">
        <v>496</v>
      </c>
      <c r="B70" s="24" t="s">
        <v>128</v>
      </c>
      <c r="C70" s="24" t="s">
        <v>20</v>
      </c>
      <c r="D70" s="24" t="s">
        <v>13</v>
      </c>
      <c r="E70" s="24" t="s">
        <v>497</v>
      </c>
      <c r="F70" s="24"/>
      <c r="G70" s="38"/>
      <c r="H70" s="31"/>
      <c r="I70" s="38"/>
      <c r="J70" s="32">
        <f>J71</f>
        <v>0</v>
      </c>
      <c r="K70" s="32">
        <f>K71</f>
        <v>0</v>
      </c>
      <c r="L70" s="32">
        <f>L71</f>
        <v>0</v>
      </c>
      <c r="M70" s="257"/>
      <c r="N70" s="257"/>
      <c r="O70" s="259"/>
    </row>
    <row r="71" spans="1:14" ht="27.75" customHeight="1" hidden="1">
      <c r="A71" s="178" t="s">
        <v>184</v>
      </c>
      <c r="B71" s="24" t="s">
        <v>128</v>
      </c>
      <c r="C71" s="24" t="s">
        <v>20</v>
      </c>
      <c r="D71" s="24" t="s">
        <v>13</v>
      </c>
      <c r="E71" s="24" t="s">
        <v>497</v>
      </c>
      <c r="F71" s="24" t="s">
        <v>151</v>
      </c>
      <c r="G71" s="38"/>
      <c r="H71" s="31"/>
      <c r="I71" s="38"/>
      <c r="J71" s="32"/>
      <c r="K71" s="32"/>
      <c r="L71" s="32">
        <f>J71+K71</f>
        <v>0</v>
      </c>
      <c r="M71" s="39"/>
      <c r="N71" s="39"/>
    </row>
    <row r="72" spans="1:14" ht="46.5" customHeight="1">
      <c r="A72" s="67" t="s">
        <v>495</v>
      </c>
      <c r="B72" s="24" t="s">
        <v>128</v>
      </c>
      <c r="C72" s="24" t="s">
        <v>20</v>
      </c>
      <c r="D72" s="24" t="s">
        <v>13</v>
      </c>
      <c r="E72" s="24" t="s">
        <v>498</v>
      </c>
      <c r="F72" s="24"/>
      <c r="G72" s="38"/>
      <c r="H72" s="31"/>
      <c r="I72" s="38"/>
      <c r="J72" s="32">
        <f>J73</f>
        <v>0</v>
      </c>
      <c r="K72" s="32">
        <f>K73</f>
        <v>111.16</v>
      </c>
      <c r="L72" s="32">
        <f>L73</f>
        <v>111.16</v>
      </c>
      <c r="M72" s="39"/>
      <c r="N72" s="39"/>
    </row>
    <row r="73" spans="1:14" ht="27.75" customHeight="1">
      <c r="A73" s="178" t="s">
        <v>184</v>
      </c>
      <c r="B73" s="24" t="s">
        <v>128</v>
      </c>
      <c r="C73" s="24" t="s">
        <v>20</v>
      </c>
      <c r="D73" s="24" t="s">
        <v>13</v>
      </c>
      <c r="E73" s="24" t="s">
        <v>498</v>
      </c>
      <c r="F73" s="24" t="s">
        <v>151</v>
      </c>
      <c r="G73" s="38"/>
      <c r="H73" s="31"/>
      <c r="I73" s="38"/>
      <c r="J73" s="32"/>
      <c r="K73" s="32">
        <v>111.16</v>
      </c>
      <c r="L73" s="32">
        <f>J73+K73</f>
        <v>111.16</v>
      </c>
      <c r="M73" s="39"/>
      <c r="N73" s="39"/>
    </row>
    <row r="74" spans="1:16" ht="38.25">
      <c r="A74" s="67" t="s">
        <v>499</v>
      </c>
      <c r="B74" s="24" t="s">
        <v>128</v>
      </c>
      <c r="C74" s="24" t="s">
        <v>20</v>
      </c>
      <c r="D74" s="24" t="s">
        <v>13</v>
      </c>
      <c r="E74" s="24" t="s">
        <v>500</v>
      </c>
      <c r="F74" s="24"/>
      <c r="G74" s="38"/>
      <c r="H74" s="31"/>
      <c r="I74" s="38"/>
      <c r="J74" s="32">
        <f aca="true" t="shared" si="8" ref="J74:O74">J75</f>
        <v>0</v>
      </c>
      <c r="K74" s="32">
        <f t="shared" si="8"/>
        <v>2690.5</v>
      </c>
      <c r="L74" s="32">
        <f t="shared" si="8"/>
        <v>2690.5</v>
      </c>
      <c r="M74" s="258">
        <f t="shared" si="8"/>
        <v>0</v>
      </c>
      <c r="N74" s="258">
        <f t="shared" si="8"/>
        <v>0</v>
      </c>
      <c r="O74" s="258">
        <f t="shared" si="8"/>
        <v>0</v>
      </c>
      <c r="P74" s="260">
        <f>O74/L74*100</f>
        <v>0</v>
      </c>
    </row>
    <row r="75" spans="1:16" ht="25.5">
      <c r="A75" s="178" t="s">
        <v>184</v>
      </c>
      <c r="B75" s="24" t="s">
        <v>128</v>
      </c>
      <c r="C75" s="24" t="s">
        <v>20</v>
      </c>
      <c r="D75" s="24" t="s">
        <v>13</v>
      </c>
      <c r="E75" s="24" t="s">
        <v>500</v>
      </c>
      <c r="F75" s="24" t="s">
        <v>151</v>
      </c>
      <c r="G75" s="38"/>
      <c r="H75" s="31"/>
      <c r="I75" s="38"/>
      <c r="J75" s="32"/>
      <c r="K75" s="32">
        <v>2690.5</v>
      </c>
      <c r="L75" s="255">
        <f>J75+K75</f>
        <v>2690.5</v>
      </c>
      <c r="M75" s="256"/>
      <c r="N75" s="257"/>
      <c r="O75" s="258"/>
      <c r="P75" s="260">
        <f>O75/L75*100</f>
        <v>0</v>
      </c>
    </row>
    <row r="76" spans="1:14" ht="27.75" customHeight="1">
      <c r="A76" s="67" t="s">
        <v>454</v>
      </c>
      <c r="B76" s="24" t="s">
        <v>128</v>
      </c>
      <c r="C76" s="24" t="s">
        <v>20</v>
      </c>
      <c r="D76" s="24" t="s">
        <v>13</v>
      </c>
      <c r="E76" s="24" t="s">
        <v>357</v>
      </c>
      <c r="F76" s="24"/>
      <c r="G76" s="38"/>
      <c r="H76" s="31"/>
      <c r="I76" s="38"/>
      <c r="J76" s="32">
        <f>J77+J79+J81</f>
        <v>2052.2000000000003</v>
      </c>
      <c r="K76" s="32">
        <f>K77+K79+K81</f>
        <v>2377</v>
      </c>
      <c r="L76" s="32">
        <f>L77+L79+L81</f>
        <v>4429.200000000001</v>
      </c>
      <c r="M76" s="39"/>
      <c r="N76" s="39"/>
    </row>
    <row r="77" spans="1:14" ht="27.75" customHeight="1">
      <c r="A77" s="67" t="s">
        <v>455</v>
      </c>
      <c r="B77" s="24" t="s">
        <v>128</v>
      </c>
      <c r="C77" s="24" t="s">
        <v>20</v>
      </c>
      <c r="D77" s="24" t="s">
        <v>13</v>
      </c>
      <c r="E77" s="24" t="s">
        <v>456</v>
      </c>
      <c r="F77" s="24"/>
      <c r="G77" s="38"/>
      <c r="H77" s="31"/>
      <c r="I77" s="38"/>
      <c r="J77" s="32">
        <f>J78</f>
        <v>1667.4</v>
      </c>
      <c r="K77" s="32">
        <f>K78</f>
        <v>0</v>
      </c>
      <c r="L77" s="32">
        <f>L78</f>
        <v>1667.4</v>
      </c>
      <c r="M77" s="39"/>
      <c r="N77" s="39"/>
    </row>
    <row r="78" spans="1:14" ht="27.75" customHeight="1">
      <c r="A78" s="67" t="s">
        <v>142</v>
      </c>
      <c r="B78" s="24" t="s">
        <v>128</v>
      </c>
      <c r="C78" s="24" t="s">
        <v>20</v>
      </c>
      <c r="D78" s="24" t="s">
        <v>13</v>
      </c>
      <c r="E78" s="24" t="s">
        <v>456</v>
      </c>
      <c r="F78" s="24" t="s">
        <v>143</v>
      </c>
      <c r="G78" s="38"/>
      <c r="H78" s="31"/>
      <c r="I78" s="38"/>
      <c r="J78" s="32">
        <v>1667.4</v>
      </c>
      <c r="K78" s="32"/>
      <c r="L78" s="32">
        <f>J78+K78</f>
        <v>1667.4</v>
      </c>
      <c r="M78" s="39"/>
      <c r="N78" s="39"/>
    </row>
    <row r="79" spans="1:14" ht="28.5" customHeight="1">
      <c r="A79" s="67" t="s">
        <v>158</v>
      </c>
      <c r="B79" s="24" t="s">
        <v>128</v>
      </c>
      <c r="C79" s="24" t="s">
        <v>20</v>
      </c>
      <c r="D79" s="24" t="s">
        <v>13</v>
      </c>
      <c r="E79" s="24" t="s">
        <v>159</v>
      </c>
      <c r="F79" s="24"/>
      <c r="G79" s="38"/>
      <c r="H79" s="31"/>
      <c r="I79" s="38"/>
      <c r="J79" s="32">
        <f>J80</f>
        <v>384.8</v>
      </c>
      <c r="K79" s="32">
        <f>K80</f>
        <v>0</v>
      </c>
      <c r="L79" s="32">
        <f>L80</f>
        <v>384.8</v>
      </c>
      <c r="M79" s="69">
        <f>M80</f>
        <v>0</v>
      </c>
      <c r="N79" s="70">
        <f>N80</f>
        <v>0</v>
      </c>
    </row>
    <row r="80" spans="1:14" ht="57.75" customHeight="1">
      <c r="A80" s="67" t="s">
        <v>142</v>
      </c>
      <c r="B80" s="24" t="s">
        <v>128</v>
      </c>
      <c r="C80" s="24" t="s">
        <v>20</v>
      </c>
      <c r="D80" s="24" t="s">
        <v>13</v>
      </c>
      <c r="E80" s="24" t="s">
        <v>159</v>
      </c>
      <c r="F80" s="24" t="s">
        <v>143</v>
      </c>
      <c r="G80" s="38"/>
      <c r="H80" s="31"/>
      <c r="I80" s="38"/>
      <c r="J80" s="32">
        <v>384.8</v>
      </c>
      <c r="K80" s="32"/>
      <c r="L80" s="32">
        <f>J80+K80</f>
        <v>384.8</v>
      </c>
      <c r="M80" s="33"/>
      <c r="N80" s="34"/>
    </row>
    <row r="81" spans="1:14" ht="38.25">
      <c r="A81" s="67" t="s">
        <v>473</v>
      </c>
      <c r="B81" s="24" t="s">
        <v>128</v>
      </c>
      <c r="C81" s="24" t="s">
        <v>20</v>
      </c>
      <c r="D81" s="24" t="s">
        <v>13</v>
      </c>
      <c r="E81" s="24" t="s">
        <v>474</v>
      </c>
      <c r="F81" s="24"/>
      <c r="G81" s="38"/>
      <c r="H81" s="31"/>
      <c r="I81" s="38"/>
      <c r="J81" s="32">
        <f>J82</f>
        <v>0</v>
      </c>
      <c r="K81" s="32">
        <f>K82</f>
        <v>2377</v>
      </c>
      <c r="L81" s="32">
        <f>L82</f>
        <v>2377</v>
      </c>
      <c r="M81" s="33"/>
      <c r="N81" s="34"/>
    </row>
    <row r="82" spans="1:14" ht="25.5">
      <c r="A82" s="178" t="s">
        <v>184</v>
      </c>
      <c r="B82" s="24" t="s">
        <v>128</v>
      </c>
      <c r="C82" s="24" t="s">
        <v>20</v>
      </c>
      <c r="D82" s="24" t="s">
        <v>13</v>
      </c>
      <c r="E82" s="24" t="s">
        <v>474</v>
      </c>
      <c r="F82" s="24" t="s">
        <v>151</v>
      </c>
      <c r="G82" s="38"/>
      <c r="H82" s="31"/>
      <c r="I82" s="38"/>
      <c r="J82" s="32"/>
      <c r="K82" s="32">
        <v>2377</v>
      </c>
      <c r="L82" s="32">
        <f>J82+K82</f>
        <v>2377</v>
      </c>
      <c r="M82" s="33"/>
      <c r="N82" s="34"/>
    </row>
    <row r="83" spans="1:14" ht="15">
      <c r="A83" s="67" t="s">
        <v>348</v>
      </c>
      <c r="B83" s="24" t="s">
        <v>128</v>
      </c>
      <c r="C83" s="24" t="s">
        <v>20</v>
      </c>
      <c r="D83" s="24" t="s">
        <v>13</v>
      </c>
      <c r="E83" s="24" t="s">
        <v>277</v>
      </c>
      <c r="F83" s="24"/>
      <c r="G83" s="38"/>
      <c r="H83" s="31"/>
      <c r="I83" s="38"/>
      <c r="J83" s="32">
        <f>J84+J86</f>
        <v>3700</v>
      </c>
      <c r="K83" s="32">
        <f>K84+K86</f>
        <v>-2376.99</v>
      </c>
      <c r="L83" s="32">
        <f>L84+L86</f>
        <v>1323.0100000000002</v>
      </c>
      <c r="M83" s="33"/>
      <c r="N83" s="34"/>
    </row>
    <row r="84" spans="1:14" ht="25.5">
      <c r="A84" s="99" t="s">
        <v>309</v>
      </c>
      <c r="B84" s="24" t="s">
        <v>128</v>
      </c>
      <c r="C84" s="24" t="s">
        <v>20</v>
      </c>
      <c r="D84" s="24" t="s">
        <v>13</v>
      </c>
      <c r="E84" s="24" t="s">
        <v>310</v>
      </c>
      <c r="F84" s="24"/>
      <c r="G84" s="38"/>
      <c r="H84" s="31"/>
      <c r="I84" s="38"/>
      <c r="J84" s="32">
        <f>J85</f>
        <v>3700</v>
      </c>
      <c r="K84" s="32">
        <f>K85</f>
        <v>-2475.99</v>
      </c>
      <c r="L84" s="32">
        <f>L85</f>
        <v>1224.0100000000002</v>
      </c>
      <c r="M84" s="33"/>
      <c r="N84" s="34"/>
    </row>
    <row r="85" spans="1:14" ht="25.5">
      <c r="A85" s="178" t="s">
        <v>184</v>
      </c>
      <c r="B85" s="24" t="s">
        <v>128</v>
      </c>
      <c r="C85" s="24" t="s">
        <v>20</v>
      </c>
      <c r="D85" s="24" t="s">
        <v>13</v>
      </c>
      <c r="E85" s="24" t="s">
        <v>310</v>
      </c>
      <c r="F85" s="24" t="s">
        <v>151</v>
      </c>
      <c r="G85" s="38"/>
      <c r="H85" s="31"/>
      <c r="I85" s="38"/>
      <c r="J85" s="32">
        <v>3700</v>
      </c>
      <c r="K85" s="32">
        <f>-2500+24.01</f>
        <v>-2475.99</v>
      </c>
      <c r="L85" s="32">
        <f>J85+K85</f>
        <v>1224.0100000000002</v>
      </c>
      <c r="M85" s="33"/>
      <c r="N85" s="34"/>
    </row>
    <row r="86" spans="1:14" ht="39">
      <c r="A86" s="184" t="s">
        <v>349</v>
      </c>
      <c r="B86" s="24" t="s">
        <v>128</v>
      </c>
      <c r="C86" s="24" t="s">
        <v>20</v>
      </c>
      <c r="D86" s="24" t="s">
        <v>13</v>
      </c>
      <c r="E86" s="24" t="s">
        <v>350</v>
      </c>
      <c r="F86" s="24"/>
      <c r="G86" s="38"/>
      <c r="H86" s="31"/>
      <c r="I86" s="38"/>
      <c r="J86" s="32">
        <f>J87</f>
        <v>0</v>
      </c>
      <c r="K86" s="32">
        <f>K87</f>
        <v>99</v>
      </c>
      <c r="L86" s="32">
        <f>L87</f>
        <v>99</v>
      </c>
      <c r="M86" s="33"/>
      <c r="N86" s="34"/>
    </row>
    <row r="87" spans="1:14" ht="25.5">
      <c r="A87" s="178" t="s">
        <v>184</v>
      </c>
      <c r="B87" s="24" t="s">
        <v>128</v>
      </c>
      <c r="C87" s="24" t="s">
        <v>20</v>
      </c>
      <c r="D87" s="24" t="s">
        <v>13</v>
      </c>
      <c r="E87" s="24" t="s">
        <v>350</v>
      </c>
      <c r="F87" s="24" t="s">
        <v>151</v>
      </c>
      <c r="G87" s="38"/>
      <c r="H87" s="31"/>
      <c r="I87" s="38"/>
      <c r="J87" s="32"/>
      <c r="K87" s="32">
        <f>99</f>
        <v>99</v>
      </c>
      <c r="L87" s="32">
        <f>J87+K87</f>
        <v>99</v>
      </c>
      <c r="M87" s="33"/>
      <c r="N87" s="34"/>
    </row>
    <row r="88" spans="1:14" ht="26.25">
      <c r="A88" s="29" t="s">
        <v>160</v>
      </c>
      <c r="B88" s="30" t="s">
        <v>128</v>
      </c>
      <c r="C88" s="30" t="s">
        <v>20</v>
      </c>
      <c r="D88" s="30" t="s">
        <v>17</v>
      </c>
      <c r="E88" s="30"/>
      <c r="F88" s="30"/>
      <c r="G88" s="22" t="e">
        <f>G89+#REF!</f>
        <v>#REF!</v>
      </c>
      <c r="H88" s="22" t="e">
        <f>H89+#REF!</f>
        <v>#REF!</v>
      </c>
      <c r="I88" s="22" t="e">
        <f>I89+#REF!</f>
        <v>#REF!</v>
      </c>
      <c r="J88" s="25">
        <f aca="true" t="shared" si="9" ref="J88:L89">J89</f>
        <v>200</v>
      </c>
      <c r="K88" s="25">
        <f t="shared" si="9"/>
        <v>200</v>
      </c>
      <c r="L88" s="25">
        <f t="shared" si="9"/>
        <v>400</v>
      </c>
      <c r="M88" s="47" t="e">
        <f>M89+#REF!</f>
        <v>#REF!</v>
      </c>
      <c r="N88" s="64" t="e">
        <f>N89+#REF!</f>
        <v>#REF!</v>
      </c>
    </row>
    <row r="89" spans="1:14" ht="26.25">
      <c r="A89" s="35" t="s">
        <v>104</v>
      </c>
      <c r="B89" s="24" t="s">
        <v>128</v>
      </c>
      <c r="C89" s="24" t="s">
        <v>20</v>
      </c>
      <c r="D89" s="24" t="s">
        <v>17</v>
      </c>
      <c r="E89" s="24" t="s">
        <v>105</v>
      </c>
      <c r="F89" s="24"/>
      <c r="G89" s="38">
        <f aca="true" t="shared" si="10" ref="G89:N90">G90</f>
        <v>-224</v>
      </c>
      <c r="H89" s="38">
        <f t="shared" si="10"/>
        <v>234.8</v>
      </c>
      <c r="I89" s="38">
        <f t="shared" si="10"/>
        <v>0</v>
      </c>
      <c r="J89" s="32">
        <f t="shared" si="9"/>
        <v>200</v>
      </c>
      <c r="K89" s="32">
        <f t="shared" si="9"/>
        <v>200</v>
      </c>
      <c r="L89" s="32">
        <f t="shared" si="9"/>
        <v>400</v>
      </c>
      <c r="M89" s="33">
        <f t="shared" si="10"/>
        <v>0</v>
      </c>
      <c r="N89" s="34">
        <f t="shared" si="10"/>
        <v>0</v>
      </c>
    </row>
    <row r="90" spans="1:14" ht="26.25">
      <c r="A90" s="35" t="s">
        <v>106</v>
      </c>
      <c r="B90" s="24" t="s">
        <v>128</v>
      </c>
      <c r="C90" s="24" t="s">
        <v>20</v>
      </c>
      <c r="D90" s="24" t="s">
        <v>17</v>
      </c>
      <c r="E90" s="24" t="s">
        <v>107</v>
      </c>
      <c r="F90" s="24"/>
      <c r="G90" s="38">
        <f t="shared" si="10"/>
        <v>-224</v>
      </c>
      <c r="H90" s="38">
        <f t="shared" si="10"/>
        <v>234.8</v>
      </c>
      <c r="I90" s="38">
        <f t="shared" si="10"/>
        <v>0</v>
      </c>
      <c r="J90" s="32">
        <f>J91+J92</f>
        <v>200</v>
      </c>
      <c r="K90" s="32">
        <f>K91+K92</f>
        <v>200</v>
      </c>
      <c r="L90" s="32">
        <f>L91+L92</f>
        <v>400</v>
      </c>
      <c r="M90" s="33">
        <f t="shared" si="10"/>
        <v>0</v>
      </c>
      <c r="N90" s="34">
        <f t="shared" si="10"/>
        <v>0</v>
      </c>
    </row>
    <row r="91" spans="1:14" ht="31.5" customHeight="1" hidden="1">
      <c r="A91" s="35" t="s">
        <v>116</v>
      </c>
      <c r="B91" s="24" t="s">
        <v>128</v>
      </c>
      <c r="C91" s="24" t="s">
        <v>20</v>
      </c>
      <c r="D91" s="24" t="s">
        <v>17</v>
      </c>
      <c r="E91" s="24" t="s">
        <v>107</v>
      </c>
      <c r="F91" s="24" t="s">
        <v>109</v>
      </c>
      <c r="G91" s="38">
        <v>-224</v>
      </c>
      <c r="H91" s="31">
        <v>234.8</v>
      </c>
      <c r="I91" s="38"/>
      <c r="J91" s="32"/>
      <c r="K91" s="32"/>
      <c r="L91" s="32">
        <f>J91+K91</f>
        <v>0</v>
      </c>
      <c r="M91" s="33"/>
      <c r="N91" s="34">
        <f>L91+M91</f>
        <v>0</v>
      </c>
    </row>
    <row r="92" spans="1:14" ht="18.75" customHeight="1">
      <c r="A92" s="67" t="s">
        <v>142</v>
      </c>
      <c r="B92" s="24" t="s">
        <v>128</v>
      </c>
      <c r="C92" s="24" t="s">
        <v>20</v>
      </c>
      <c r="D92" s="24" t="s">
        <v>17</v>
      </c>
      <c r="E92" s="24" t="s">
        <v>107</v>
      </c>
      <c r="F92" s="24" t="s">
        <v>143</v>
      </c>
      <c r="G92" s="31"/>
      <c r="H92" s="31"/>
      <c r="I92" s="31"/>
      <c r="J92" s="32">
        <v>200</v>
      </c>
      <c r="K92" s="32">
        <f>200</f>
        <v>200</v>
      </c>
      <c r="L92" s="32">
        <f>SUM(J92:K92)</f>
        <v>400</v>
      </c>
      <c r="M92" s="33"/>
      <c r="N92" s="34"/>
    </row>
    <row r="93" spans="1:14" ht="26.25">
      <c r="A93" s="29" t="s">
        <v>52</v>
      </c>
      <c r="B93" s="30" t="s">
        <v>128</v>
      </c>
      <c r="C93" s="30" t="s">
        <v>20</v>
      </c>
      <c r="D93" s="30" t="s">
        <v>20</v>
      </c>
      <c r="E93" s="30"/>
      <c r="F93" s="30"/>
      <c r="G93" s="22" t="e">
        <f aca="true" t="shared" si="11" ref="G93:N93">G94</f>
        <v>#REF!</v>
      </c>
      <c r="H93" s="22" t="e">
        <f t="shared" si="11"/>
        <v>#REF!</v>
      </c>
      <c r="I93" s="22" t="e">
        <f t="shared" si="11"/>
        <v>#REF!</v>
      </c>
      <c r="J93" s="25">
        <f>J94</f>
        <v>190.2</v>
      </c>
      <c r="K93" s="25">
        <f>K94</f>
        <v>1798.7</v>
      </c>
      <c r="L93" s="25">
        <f>L94</f>
        <v>1988.9</v>
      </c>
      <c r="M93" s="47" t="e">
        <f t="shared" si="11"/>
        <v>#REF!</v>
      </c>
      <c r="N93" s="64" t="e">
        <f t="shared" si="11"/>
        <v>#REF!</v>
      </c>
    </row>
    <row r="94" spans="1:14" ht="39">
      <c r="A94" s="35" t="s">
        <v>161</v>
      </c>
      <c r="B94" s="24" t="s">
        <v>128</v>
      </c>
      <c r="C94" s="24" t="s">
        <v>20</v>
      </c>
      <c r="D94" s="24" t="s">
        <v>20</v>
      </c>
      <c r="E94" s="24" t="s">
        <v>162</v>
      </c>
      <c r="F94" s="24"/>
      <c r="G94" s="38" t="e">
        <f>G95</f>
        <v>#REF!</v>
      </c>
      <c r="H94" s="38" t="e">
        <f>H95</f>
        <v>#REF!</v>
      </c>
      <c r="I94" s="38" t="e">
        <f>I95</f>
        <v>#REF!</v>
      </c>
      <c r="J94" s="32">
        <f>J95+J97+J99+J101</f>
        <v>190.2</v>
      </c>
      <c r="K94" s="32">
        <f>K95+K97+K99+K101</f>
        <v>1798.7</v>
      </c>
      <c r="L94" s="32">
        <f>L95+L97+L99+L101</f>
        <v>1988.9</v>
      </c>
      <c r="M94" s="33" t="e">
        <f>M95</f>
        <v>#REF!</v>
      </c>
      <c r="N94" s="34" t="e">
        <f>N95</f>
        <v>#REF!</v>
      </c>
    </row>
    <row r="95" spans="1:14" ht="26.25" hidden="1">
      <c r="A95" s="35" t="s">
        <v>451</v>
      </c>
      <c r="B95" s="24" t="s">
        <v>128</v>
      </c>
      <c r="C95" s="24" t="s">
        <v>20</v>
      </c>
      <c r="D95" s="24" t="s">
        <v>20</v>
      </c>
      <c r="E95" s="24" t="s">
        <v>163</v>
      </c>
      <c r="F95" s="24"/>
      <c r="G95" s="38" t="e">
        <f>G96+#REF!</f>
        <v>#REF!</v>
      </c>
      <c r="H95" s="38" t="e">
        <f>H96+#REF!</f>
        <v>#REF!</v>
      </c>
      <c r="I95" s="38" t="e">
        <f>I96+#REF!</f>
        <v>#REF!</v>
      </c>
      <c r="J95" s="32">
        <f>J96</f>
        <v>0</v>
      </c>
      <c r="K95" s="32">
        <f>K96</f>
        <v>0</v>
      </c>
      <c r="L95" s="32">
        <f>L96</f>
        <v>0</v>
      </c>
      <c r="M95" s="33" t="e">
        <f>M96+#REF!</f>
        <v>#REF!</v>
      </c>
      <c r="N95" s="34" t="e">
        <f>N96+#REF!</f>
        <v>#REF!</v>
      </c>
    </row>
    <row r="96" spans="1:14" ht="26.25" hidden="1">
      <c r="A96" s="35" t="s">
        <v>116</v>
      </c>
      <c r="B96" s="24" t="s">
        <v>128</v>
      </c>
      <c r="C96" s="24" t="s">
        <v>20</v>
      </c>
      <c r="D96" s="24" t="s">
        <v>20</v>
      </c>
      <c r="E96" s="24" t="s">
        <v>163</v>
      </c>
      <c r="F96" s="24" t="s">
        <v>151</v>
      </c>
      <c r="G96" s="38">
        <v>321</v>
      </c>
      <c r="H96" s="31">
        <v>650</v>
      </c>
      <c r="I96" s="38"/>
      <c r="J96" s="32"/>
      <c r="K96" s="32"/>
      <c r="L96" s="32">
        <f>J96+K96</f>
        <v>0</v>
      </c>
      <c r="M96" s="33"/>
      <c r="N96" s="34">
        <f>L96+M96</f>
        <v>0</v>
      </c>
    </row>
    <row r="97" spans="1:14" ht="26.25">
      <c r="A97" s="35" t="s">
        <v>449</v>
      </c>
      <c r="B97" s="24" t="s">
        <v>128</v>
      </c>
      <c r="C97" s="24" t="s">
        <v>20</v>
      </c>
      <c r="D97" s="24" t="s">
        <v>20</v>
      </c>
      <c r="E97" s="24" t="s">
        <v>167</v>
      </c>
      <c r="F97" s="24"/>
      <c r="G97" s="38"/>
      <c r="H97" s="31"/>
      <c r="I97" s="38"/>
      <c r="J97" s="32">
        <f>J98</f>
        <v>0</v>
      </c>
      <c r="K97" s="32">
        <f>K98</f>
        <v>1738.9</v>
      </c>
      <c r="L97" s="32">
        <f>L98</f>
        <v>1738.9</v>
      </c>
      <c r="M97" s="33"/>
      <c r="N97" s="34"/>
    </row>
    <row r="98" spans="1:14" ht="26.25">
      <c r="A98" s="35" t="s">
        <v>116</v>
      </c>
      <c r="B98" s="24" t="s">
        <v>128</v>
      </c>
      <c r="C98" s="24" t="s">
        <v>20</v>
      </c>
      <c r="D98" s="24" t="s">
        <v>20</v>
      </c>
      <c r="E98" s="24" t="s">
        <v>167</v>
      </c>
      <c r="F98" s="24" t="s">
        <v>151</v>
      </c>
      <c r="G98" s="38">
        <v>500</v>
      </c>
      <c r="H98" s="31"/>
      <c r="I98" s="38"/>
      <c r="J98" s="32"/>
      <c r="K98" s="32">
        <v>1738.9</v>
      </c>
      <c r="L98" s="32">
        <f>J98+K98</f>
        <v>1738.9</v>
      </c>
      <c r="M98" s="33">
        <v>670</v>
      </c>
      <c r="N98" s="34">
        <f>L98+M98</f>
        <v>2408.9</v>
      </c>
    </row>
    <row r="99" spans="1:14" ht="26.25">
      <c r="A99" s="35" t="s">
        <v>450</v>
      </c>
      <c r="B99" s="24" t="s">
        <v>128</v>
      </c>
      <c r="C99" s="24" t="s">
        <v>20</v>
      </c>
      <c r="D99" s="24" t="s">
        <v>20</v>
      </c>
      <c r="E99" s="24" t="s">
        <v>165</v>
      </c>
      <c r="F99" s="24" t="s">
        <v>151</v>
      </c>
      <c r="G99" s="38"/>
      <c r="H99" s="31"/>
      <c r="I99" s="38"/>
      <c r="J99" s="32"/>
      <c r="K99" s="32">
        <v>250</v>
      </c>
      <c r="L99" s="32">
        <f>J99+K99</f>
        <v>250</v>
      </c>
      <c r="M99" s="33"/>
      <c r="N99" s="34"/>
    </row>
    <row r="100" spans="1:14" ht="38.25" hidden="1">
      <c r="A100" s="67" t="s">
        <v>164</v>
      </c>
      <c r="B100" s="24" t="s">
        <v>128</v>
      </c>
      <c r="C100" s="24" t="s">
        <v>20</v>
      </c>
      <c r="D100" s="24" t="s">
        <v>20</v>
      </c>
      <c r="E100" s="24" t="s">
        <v>165</v>
      </c>
      <c r="F100" s="24" t="s">
        <v>166</v>
      </c>
      <c r="G100" s="38"/>
      <c r="H100" s="31"/>
      <c r="I100" s="38"/>
      <c r="J100" s="32"/>
      <c r="K100" s="32"/>
      <c r="L100" s="32">
        <f>SUM(J100:K100)</f>
        <v>0</v>
      </c>
      <c r="M100" s="33"/>
      <c r="N100" s="34"/>
    </row>
    <row r="101" spans="1:14" ht="31.5" customHeight="1">
      <c r="A101" s="67" t="s">
        <v>142</v>
      </c>
      <c r="B101" s="24" t="s">
        <v>128</v>
      </c>
      <c r="C101" s="24" t="s">
        <v>20</v>
      </c>
      <c r="D101" s="24" t="s">
        <v>20</v>
      </c>
      <c r="E101" s="24" t="s">
        <v>168</v>
      </c>
      <c r="F101" s="24" t="s">
        <v>143</v>
      </c>
      <c r="G101" s="38"/>
      <c r="H101" s="31"/>
      <c r="I101" s="38"/>
      <c r="J101" s="32">
        <v>190.2</v>
      </c>
      <c r="K101" s="32">
        <v>-190.2</v>
      </c>
      <c r="L101" s="32">
        <f>J101+K101</f>
        <v>0</v>
      </c>
      <c r="M101" s="39"/>
      <c r="N101" s="39"/>
    </row>
    <row r="102" spans="1:14" ht="22.5" customHeight="1">
      <c r="A102" s="29" t="s">
        <v>53</v>
      </c>
      <c r="B102" s="30" t="s">
        <v>128</v>
      </c>
      <c r="C102" s="30" t="s">
        <v>20</v>
      </c>
      <c r="D102" s="30" t="s">
        <v>34</v>
      </c>
      <c r="E102" s="30"/>
      <c r="F102" s="30"/>
      <c r="G102" s="25" t="e">
        <f>G103+G112+#REF!+#REF!+G107+G121</f>
        <v>#REF!</v>
      </c>
      <c r="H102" s="25" t="e">
        <f>H103+H112+#REF!+#REF!+H107+H121</f>
        <v>#REF!</v>
      </c>
      <c r="I102" s="25" t="e">
        <f>I103+I112+#REF!+#REF!+I107+I121</f>
        <v>#REF!</v>
      </c>
      <c r="J102" s="25">
        <f>J103+J107+J112+J121</f>
        <v>7238.982</v>
      </c>
      <c r="K102" s="25">
        <f>K103+K107+K112+K121</f>
        <v>180.071</v>
      </c>
      <c r="L102" s="25">
        <f>L103+L107+L112+L121</f>
        <v>7419.053</v>
      </c>
      <c r="M102" s="47" t="e">
        <f>M103+M112+#REF!+#REF!+M107+M121</f>
        <v>#REF!</v>
      </c>
      <c r="N102" s="71" t="e">
        <f>N103+N112+#REF!+#REF!+N107+N121</f>
        <v>#REF!</v>
      </c>
    </row>
    <row r="103" spans="1:14" ht="51.75">
      <c r="A103" s="35" t="s">
        <v>131</v>
      </c>
      <c r="B103" s="24" t="s">
        <v>128</v>
      </c>
      <c r="C103" s="24" t="s">
        <v>20</v>
      </c>
      <c r="D103" s="24" t="s">
        <v>34</v>
      </c>
      <c r="E103" s="24" t="s">
        <v>132</v>
      </c>
      <c r="F103" s="24"/>
      <c r="G103" s="38" t="e">
        <f aca="true" t="shared" si="12" ref="G103:N103">G104</f>
        <v>#REF!</v>
      </c>
      <c r="H103" s="38" t="e">
        <f t="shared" si="12"/>
        <v>#REF!</v>
      </c>
      <c r="I103" s="38" t="e">
        <f t="shared" si="12"/>
        <v>#REF!</v>
      </c>
      <c r="J103" s="32">
        <f t="shared" si="12"/>
        <v>1075.882</v>
      </c>
      <c r="K103" s="32">
        <f t="shared" si="12"/>
        <v>146.671</v>
      </c>
      <c r="L103" s="32">
        <f t="shared" si="12"/>
        <v>1222.553</v>
      </c>
      <c r="M103" s="33" t="e">
        <f t="shared" si="12"/>
        <v>#REF!</v>
      </c>
      <c r="N103" s="34" t="e">
        <f t="shared" si="12"/>
        <v>#REF!</v>
      </c>
    </row>
    <row r="104" spans="1:14" ht="15">
      <c r="A104" s="35" t="s">
        <v>133</v>
      </c>
      <c r="B104" s="24" t="s">
        <v>128</v>
      </c>
      <c r="C104" s="24" t="s">
        <v>20</v>
      </c>
      <c r="D104" s="24" t="s">
        <v>34</v>
      </c>
      <c r="E104" s="24" t="s">
        <v>134</v>
      </c>
      <c r="F104" s="24"/>
      <c r="G104" s="38" t="e">
        <f>#REF!+#REF!</f>
        <v>#REF!</v>
      </c>
      <c r="H104" s="32" t="e">
        <f>#REF!+#REF!</f>
        <v>#REF!</v>
      </c>
      <c r="I104" s="32" t="e">
        <f>#REF!+#REF!</f>
        <v>#REF!</v>
      </c>
      <c r="J104" s="32">
        <f>J105+J106</f>
        <v>1075.882</v>
      </c>
      <c r="K104" s="32">
        <f>K105+K106</f>
        <v>146.671</v>
      </c>
      <c r="L104" s="32">
        <f>L105+L106</f>
        <v>1222.553</v>
      </c>
      <c r="M104" s="33" t="e">
        <f>#REF!+#REF!</f>
        <v>#REF!</v>
      </c>
      <c r="N104" s="34" t="e">
        <f>#REF!+#REF!</f>
        <v>#REF!</v>
      </c>
    </row>
    <row r="105" spans="1:15" ht="25.5">
      <c r="A105" s="67" t="s">
        <v>170</v>
      </c>
      <c r="B105" s="24" t="s">
        <v>128</v>
      </c>
      <c r="C105" s="24" t="s">
        <v>20</v>
      </c>
      <c r="D105" s="24" t="s">
        <v>34</v>
      </c>
      <c r="E105" s="24" t="s">
        <v>134</v>
      </c>
      <c r="F105" s="24" t="s">
        <v>171</v>
      </c>
      <c r="G105" s="38"/>
      <c r="H105" s="31"/>
      <c r="I105" s="38"/>
      <c r="J105" s="32">
        <f>1049.99+25.892</f>
        <v>1075.882</v>
      </c>
      <c r="K105" s="32">
        <f>146.671</f>
        <v>146.671</v>
      </c>
      <c r="L105" s="32">
        <f>SUM(J105:K105)</f>
        <v>1222.553</v>
      </c>
      <c r="M105" s="33"/>
      <c r="N105" s="34"/>
      <c r="O105" s="96"/>
    </row>
    <row r="106" spans="1:15" ht="26.25" hidden="1">
      <c r="A106" s="35" t="s">
        <v>110</v>
      </c>
      <c r="B106" s="24" t="s">
        <v>128</v>
      </c>
      <c r="C106" s="24" t="s">
        <v>20</v>
      </c>
      <c r="D106" s="24" t="s">
        <v>34</v>
      </c>
      <c r="E106" s="24" t="s">
        <v>134</v>
      </c>
      <c r="F106" s="24" t="s">
        <v>109</v>
      </c>
      <c r="G106" s="38">
        <f>519.1+79</f>
        <v>598.1</v>
      </c>
      <c r="H106" s="31"/>
      <c r="I106" s="38"/>
      <c r="J106" s="32"/>
      <c r="K106" s="32"/>
      <c r="L106" s="32">
        <f>J106+K106</f>
        <v>0</v>
      </c>
      <c r="M106" s="33"/>
      <c r="N106" s="34">
        <f>L106+M106</f>
        <v>0</v>
      </c>
      <c r="O106" s="96" t="e">
        <f>L106-#REF!</f>
        <v>#REF!</v>
      </c>
    </row>
    <row r="107" spans="1:14" ht="89.25">
      <c r="A107" s="177" t="s">
        <v>446</v>
      </c>
      <c r="B107" s="24" t="s">
        <v>128</v>
      </c>
      <c r="C107" s="24" t="s">
        <v>20</v>
      </c>
      <c r="D107" s="24" t="s">
        <v>34</v>
      </c>
      <c r="E107" s="24" t="s">
        <v>172</v>
      </c>
      <c r="F107" s="24"/>
      <c r="G107" s="38"/>
      <c r="H107" s="31"/>
      <c r="I107" s="38"/>
      <c r="J107" s="32">
        <f>J108+J109+J110+J111</f>
        <v>665.8</v>
      </c>
      <c r="K107" s="32">
        <f>K108+K109+K110+K111</f>
        <v>0</v>
      </c>
      <c r="L107" s="32">
        <f>L108+L109+L110+L111</f>
        <v>665.8</v>
      </c>
      <c r="M107" s="33"/>
      <c r="N107" s="34"/>
    </row>
    <row r="108" spans="1:17" ht="25.5">
      <c r="A108" s="67" t="s">
        <v>170</v>
      </c>
      <c r="B108" s="24" t="s">
        <v>128</v>
      </c>
      <c r="C108" s="24" t="s">
        <v>20</v>
      </c>
      <c r="D108" s="24" t="s">
        <v>34</v>
      </c>
      <c r="E108" s="24" t="s">
        <v>172</v>
      </c>
      <c r="F108" s="24" t="s">
        <v>171</v>
      </c>
      <c r="G108" s="38"/>
      <c r="H108" s="31"/>
      <c r="I108" s="38"/>
      <c r="J108" s="32">
        <f>255+87.21+145.4</f>
        <v>487.61</v>
      </c>
      <c r="K108" s="32"/>
      <c r="L108" s="32">
        <f>SUM(J108:K108)</f>
        <v>487.61</v>
      </c>
      <c r="M108" s="33"/>
      <c r="N108" s="34"/>
      <c r="O108" s="172"/>
      <c r="Q108" s="96"/>
    </row>
    <row r="109" spans="1:17" ht="38.25">
      <c r="A109" s="67" t="s">
        <v>173</v>
      </c>
      <c r="B109" s="24" t="s">
        <v>128</v>
      </c>
      <c r="C109" s="24" t="s">
        <v>20</v>
      </c>
      <c r="D109" s="24" t="s">
        <v>34</v>
      </c>
      <c r="E109" s="24" t="s">
        <v>172</v>
      </c>
      <c r="F109" s="24" t="s">
        <v>174</v>
      </c>
      <c r="G109" s="38"/>
      <c r="H109" s="31"/>
      <c r="I109" s="38"/>
      <c r="J109" s="32">
        <v>10.2</v>
      </c>
      <c r="K109" s="32"/>
      <c r="L109" s="32">
        <f>SUM(J109:K109)</f>
        <v>10.2</v>
      </c>
      <c r="M109" s="33"/>
      <c r="N109" s="34"/>
      <c r="O109" s="172"/>
      <c r="Q109" s="96"/>
    </row>
    <row r="110" spans="1:17" ht="38.25">
      <c r="A110" s="67" t="s">
        <v>164</v>
      </c>
      <c r="B110" s="24" t="s">
        <v>128</v>
      </c>
      <c r="C110" s="24" t="s">
        <v>20</v>
      </c>
      <c r="D110" s="24" t="s">
        <v>34</v>
      </c>
      <c r="E110" s="24" t="s">
        <v>172</v>
      </c>
      <c r="F110" s="24" t="s">
        <v>166</v>
      </c>
      <c r="G110" s="38"/>
      <c r="H110" s="31"/>
      <c r="I110" s="38"/>
      <c r="J110" s="32">
        <v>167.99</v>
      </c>
      <c r="K110" s="32"/>
      <c r="L110" s="32">
        <f>SUM(J110:K110)</f>
        <v>167.99</v>
      </c>
      <c r="M110" s="33"/>
      <c r="N110" s="34"/>
      <c r="O110" s="172"/>
      <c r="Q110" s="96"/>
    </row>
    <row r="111" spans="1:17" ht="26.25" hidden="1">
      <c r="A111" s="35" t="s">
        <v>110</v>
      </c>
      <c r="B111" s="24" t="s">
        <v>128</v>
      </c>
      <c r="C111" s="24" t="s">
        <v>20</v>
      </c>
      <c r="D111" s="24" t="s">
        <v>34</v>
      </c>
      <c r="E111" s="24" t="s">
        <v>172</v>
      </c>
      <c r="F111" s="24" t="s">
        <v>109</v>
      </c>
      <c r="G111" s="38"/>
      <c r="H111" s="31"/>
      <c r="I111" s="38"/>
      <c r="J111" s="32"/>
      <c r="K111" s="32"/>
      <c r="L111" s="32">
        <f>J111+K111</f>
        <v>0</v>
      </c>
      <c r="M111" s="33"/>
      <c r="N111" s="34"/>
      <c r="O111" s="172">
        <v>515</v>
      </c>
      <c r="Q111" s="96">
        <f>L111-O111</f>
        <v>-515</v>
      </c>
    </row>
    <row r="112" spans="1:14" ht="77.25">
      <c r="A112" s="35" t="s">
        <v>175</v>
      </c>
      <c r="B112" s="24" t="s">
        <v>128</v>
      </c>
      <c r="C112" s="24" t="s">
        <v>20</v>
      </c>
      <c r="D112" s="24" t="s">
        <v>34</v>
      </c>
      <c r="E112" s="24" t="s">
        <v>120</v>
      </c>
      <c r="F112" s="24"/>
      <c r="G112" s="38">
        <f aca="true" t="shared" si="13" ref="G112:N113">G113</f>
        <v>80</v>
      </c>
      <c r="H112" s="38">
        <f t="shared" si="13"/>
        <v>5211</v>
      </c>
      <c r="I112" s="38">
        <f t="shared" si="13"/>
        <v>0</v>
      </c>
      <c r="J112" s="32">
        <f>J113</f>
        <v>5247.3</v>
      </c>
      <c r="K112" s="32">
        <f t="shared" si="13"/>
        <v>33.4</v>
      </c>
      <c r="L112" s="32">
        <f>L113</f>
        <v>5280.7</v>
      </c>
      <c r="M112" s="33">
        <f t="shared" si="13"/>
        <v>-2015.414</v>
      </c>
      <c r="N112" s="34">
        <f t="shared" si="13"/>
        <v>-2015.414</v>
      </c>
    </row>
    <row r="113" spans="1:16" ht="26.25">
      <c r="A113" s="35" t="s">
        <v>114</v>
      </c>
      <c r="B113" s="24" t="s">
        <v>128</v>
      </c>
      <c r="C113" s="24" t="s">
        <v>20</v>
      </c>
      <c r="D113" s="24" t="s">
        <v>34</v>
      </c>
      <c r="E113" s="24" t="s">
        <v>121</v>
      </c>
      <c r="F113" s="24"/>
      <c r="G113" s="38">
        <f t="shared" si="13"/>
        <v>80</v>
      </c>
      <c r="H113" s="38">
        <f t="shared" si="13"/>
        <v>5211</v>
      </c>
      <c r="I113" s="38">
        <f t="shared" si="13"/>
        <v>0</v>
      </c>
      <c r="J113" s="32">
        <f aca="true" t="shared" si="14" ref="J113:P113">J114+J115+J116+J118+J117+J119+J120</f>
        <v>5247.3</v>
      </c>
      <c r="K113" s="32">
        <f t="shared" si="14"/>
        <v>33.4</v>
      </c>
      <c r="L113" s="32">
        <f t="shared" si="14"/>
        <v>5280.7</v>
      </c>
      <c r="M113" s="33">
        <f t="shared" si="14"/>
        <v>-2015.414</v>
      </c>
      <c r="N113" s="33">
        <f t="shared" si="14"/>
        <v>-2015.414</v>
      </c>
      <c r="O113" s="33" t="e">
        <f t="shared" si="14"/>
        <v>#REF!</v>
      </c>
      <c r="P113" s="33">
        <f t="shared" si="14"/>
        <v>0</v>
      </c>
    </row>
    <row r="114" spans="1:15" ht="26.25" hidden="1">
      <c r="A114" s="35" t="s">
        <v>138</v>
      </c>
      <c r="B114" s="24" t="s">
        <v>128</v>
      </c>
      <c r="C114" s="24" t="s">
        <v>20</v>
      </c>
      <c r="D114" s="24" t="s">
        <v>34</v>
      </c>
      <c r="E114" s="24" t="s">
        <v>121</v>
      </c>
      <c r="F114" s="24" t="s">
        <v>113</v>
      </c>
      <c r="G114" s="38">
        <f>50+30</f>
        <v>80</v>
      </c>
      <c r="H114" s="31">
        <v>5211</v>
      </c>
      <c r="I114" s="38"/>
      <c r="J114" s="32"/>
      <c r="K114" s="32"/>
      <c r="L114" s="32">
        <f>J114+K114</f>
        <v>0</v>
      </c>
      <c r="M114" s="33">
        <v>-2015.414</v>
      </c>
      <c r="N114" s="34">
        <f>L114+M114</f>
        <v>-2015.414</v>
      </c>
      <c r="O114" s="172" t="e">
        <f>L114-#REF!</f>
        <v>#REF!</v>
      </c>
    </row>
    <row r="115" spans="1:14" ht="30" customHeight="1">
      <c r="A115" s="72" t="s">
        <v>170</v>
      </c>
      <c r="B115" s="24" t="s">
        <v>128</v>
      </c>
      <c r="C115" s="24" t="s">
        <v>20</v>
      </c>
      <c r="D115" s="24" t="s">
        <v>34</v>
      </c>
      <c r="E115" s="24" t="s">
        <v>121</v>
      </c>
      <c r="F115" s="24" t="s">
        <v>171</v>
      </c>
      <c r="G115" s="38"/>
      <c r="H115" s="31"/>
      <c r="I115" s="38"/>
      <c r="J115" s="32">
        <f>3000+906</f>
        <v>3906</v>
      </c>
      <c r="K115" s="32"/>
      <c r="L115" s="32">
        <f aca="true" t="shared" si="15" ref="L115:L120">SUM(J115:K115)</f>
        <v>3906</v>
      </c>
      <c r="M115" s="33"/>
      <c r="N115" s="34"/>
    </row>
    <row r="116" spans="1:14" ht="30" customHeight="1">
      <c r="A116" s="67" t="s">
        <v>173</v>
      </c>
      <c r="B116" s="24" t="s">
        <v>128</v>
      </c>
      <c r="C116" s="24" t="s">
        <v>20</v>
      </c>
      <c r="D116" s="24" t="s">
        <v>34</v>
      </c>
      <c r="E116" s="24" t="s">
        <v>121</v>
      </c>
      <c r="F116" s="24" t="s">
        <v>174</v>
      </c>
      <c r="G116" s="38"/>
      <c r="H116" s="31"/>
      <c r="I116" s="38"/>
      <c r="J116" s="32">
        <v>20</v>
      </c>
      <c r="K116" s="32">
        <f>12.9</f>
        <v>12.9</v>
      </c>
      <c r="L116" s="32">
        <f t="shared" si="15"/>
        <v>32.9</v>
      </c>
      <c r="M116" s="33"/>
      <c r="N116" s="34"/>
    </row>
    <row r="117" spans="1:14" ht="30" customHeight="1">
      <c r="A117" s="67" t="s">
        <v>177</v>
      </c>
      <c r="B117" s="24" t="s">
        <v>128</v>
      </c>
      <c r="C117" s="24" t="s">
        <v>20</v>
      </c>
      <c r="D117" s="24" t="s">
        <v>34</v>
      </c>
      <c r="E117" s="24" t="s">
        <v>121</v>
      </c>
      <c r="F117" s="24" t="s">
        <v>178</v>
      </c>
      <c r="G117" s="38"/>
      <c r="H117" s="31"/>
      <c r="I117" s="38"/>
      <c r="J117" s="32">
        <v>240</v>
      </c>
      <c r="K117" s="32">
        <v>33.4</v>
      </c>
      <c r="L117" s="32">
        <f t="shared" si="15"/>
        <v>273.4</v>
      </c>
      <c r="M117" s="33"/>
      <c r="N117" s="34"/>
    </row>
    <row r="118" spans="1:14" ht="30" customHeight="1">
      <c r="A118" s="67" t="s">
        <v>164</v>
      </c>
      <c r="B118" s="24" t="s">
        <v>128</v>
      </c>
      <c r="C118" s="24" t="s">
        <v>20</v>
      </c>
      <c r="D118" s="24" t="s">
        <v>34</v>
      </c>
      <c r="E118" s="24" t="s">
        <v>121</v>
      </c>
      <c r="F118" s="24" t="s">
        <v>166</v>
      </c>
      <c r="G118" s="38"/>
      <c r="H118" s="31"/>
      <c r="I118" s="38"/>
      <c r="J118" s="32">
        <f>1133.3-52</f>
        <v>1081.3</v>
      </c>
      <c r="K118" s="32">
        <f>-12.9</f>
        <v>-12.9</v>
      </c>
      <c r="L118" s="32">
        <f t="shared" si="15"/>
        <v>1068.3999999999999</v>
      </c>
      <c r="M118" s="33"/>
      <c r="N118" s="34"/>
    </row>
    <row r="119" spans="1:14" ht="30" customHeight="1" hidden="1">
      <c r="A119" s="67" t="s">
        <v>179</v>
      </c>
      <c r="B119" s="24" t="s">
        <v>128</v>
      </c>
      <c r="C119" s="24" t="s">
        <v>20</v>
      </c>
      <c r="D119" s="24" t="s">
        <v>34</v>
      </c>
      <c r="E119" s="24" t="s">
        <v>121</v>
      </c>
      <c r="F119" s="24" t="s">
        <v>180</v>
      </c>
      <c r="G119" s="38"/>
      <c r="H119" s="31"/>
      <c r="I119" s="38"/>
      <c r="J119" s="32"/>
      <c r="K119" s="32"/>
      <c r="L119" s="32">
        <f t="shared" si="15"/>
        <v>0</v>
      </c>
      <c r="M119" s="33"/>
      <c r="N119" s="34"/>
    </row>
    <row r="120" spans="1:14" ht="30" customHeight="1" hidden="1">
      <c r="A120" s="67" t="s">
        <v>181</v>
      </c>
      <c r="B120" s="24" t="s">
        <v>128</v>
      </c>
      <c r="C120" s="24" t="s">
        <v>20</v>
      </c>
      <c r="D120" s="24" t="s">
        <v>34</v>
      </c>
      <c r="E120" s="24" t="s">
        <v>121</v>
      </c>
      <c r="F120" s="24" t="s">
        <v>182</v>
      </c>
      <c r="G120" s="38"/>
      <c r="H120" s="31"/>
      <c r="I120" s="38"/>
      <c r="J120" s="32"/>
      <c r="K120" s="32"/>
      <c r="L120" s="32">
        <f t="shared" si="15"/>
        <v>0</v>
      </c>
      <c r="M120" s="33"/>
      <c r="N120" s="34"/>
    </row>
    <row r="121" spans="1:14" ht="40.5" customHeight="1">
      <c r="A121" s="67" t="s">
        <v>176</v>
      </c>
      <c r="B121" s="24" t="s">
        <v>128</v>
      </c>
      <c r="C121" s="24" t="s">
        <v>20</v>
      </c>
      <c r="D121" s="24" t="s">
        <v>34</v>
      </c>
      <c r="E121" s="24" t="s">
        <v>183</v>
      </c>
      <c r="F121" s="24"/>
      <c r="G121" s="38"/>
      <c r="H121" s="31"/>
      <c r="I121" s="38"/>
      <c r="J121" s="32">
        <f>J122</f>
        <v>250</v>
      </c>
      <c r="K121" s="32">
        <f>K122</f>
        <v>0</v>
      </c>
      <c r="L121" s="32">
        <f>L122</f>
        <v>250</v>
      </c>
      <c r="M121" s="39">
        <f>M122</f>
        <v>0</v>
      </c>
      <c r="N121" s="73">
        <f>N122</f>
        <v>0</v>
      </c>
    </row>
    <row r="122" spans="1:14" ht="30" customHeight="1">
      <c r="A122" s="67" t="s">
        <v>184</v>
      </c>
      <c r="B122" s="24" t="s">
        <v>128</v>
      </c>
      <c r="C122" s="24" t="s">
        <v>20</v>
      </c>
      <c r="D122" s="24" t="s">
        <v>34</v>
      </c>
      <c r="E122" s="24" t="s">
        <v>183</v>
      </c>
      <c r="F122" s="24" t="s">
        <v>151</v>
      </c>
      <c r="G122" s="38"/>
      <c r="H122" s="31"/>
      <c r="I122" s="38"/>
      <c r="J122" s="32">
        <v>250</v>
      </c>
      <c r="K122" s="32"/>
      <c r="L122" s="32">
        <f>J122+K122</f>
        <v>250</v>
      </c>
      <c r="M122" s="33"/>
      <c r="N122" s="34"/>
    </row>
    <row r="123" spans="1:14" ht="15">
      <c r="A123" s="29" t="s">
        <v>68</v>
      </c>
      <c r="B123" s="30" t="s">
        <v>128</v>
      </c>
      <c r="C123" s="30" t="s">
        <v>67</v>
      </c>
      <c r="D123" s="30"/>
      <c r="E123" s="30"/>
      <c r="F123" s="30"/>
      <c r="G123" s="22" t="e">
        <f aca="true" t="shared" si="16" ref="G123:N123">G124+G127</f>
        <v>#REF!</v>
      </c>
      <c r="H123" s="22" t="e">
        <f t="shared" si="16"/>
        <v>#REF!</v>
      </c>
      <c r="I123" s="22" t="e">
        <f t="shared" si="16"/>
        <v>#REF!</v>
      </c>
      <c r="J123" s="25">
        <f t="shared" si="16"/>
        <v>17830.7</v>
      </c>
      <c r="K123" s="25">
        <f t="shared" si="16"/>
        <v>0</v>
      </c>
      <c r="L123" s="25">
        <f t="shared" si="16"/>
        <v>17830.7</v>
      </c>
      <c r="M123" s="36" t="e">
        <f t="shared" si="16"/>
        <v>#REF!</v>
      </c>
      <c r="N123" s="37" t="e">
        <f t="shared" si="16"/>
        <v>#REF!</v>
      </c>
    </row>
    <row r="124" spans="1:14" ht="15" hidden="1">
      <c r="A124" s="29" t="s">
        <v>185</v>
      </c>
      <c r="B124" s="30" t="s">
        <v>128</v>
      </c>
      <c r="C124" s="30" t="s">
        <v>67</v>
      </c>
      <c r="D124" s="30" t="s">
        <v>14</v>
      </c>
      <c r="E124" s="30"/>
      <c r="F124" s="30"/>
      <c r="G124" s="22" t="e">
        <f aca="true" t="shared" si="17" ref="G124:N125">G125</f>
        <v>#REF!</v>
      </c>
      <c r="H124" s="22" t="e">
        <f t="shared" si="17"/>
        <v>#REF!</v>
      </c>
      <c r="I124" s="22" t="e">
        <f t="shared" si="17"/>
        <v>#REF!</v>
      </c>
      <c r="J124" s="25">
        <f t="shared" si="17"/>
        <v>0</v>
      </c>
      <c r="K124" s="25">
        <f t="shared" si="17"/>
        <v>0</v>
      </c>
      <c r="L124" s="25">
        <f t="shared" si="17"/>
        <v>0</v>
      </c>
      <c r="M124" s="47" t="e">
        <f t="shared" si="17"/>
        <v>#REF!</v>
      </c>
      <c r="N124" s="64" t="e">
        <f t="shared" si="17"/>
        <v>#REF!</v>
      </c>
    </row>
    <row r="125" spans="1:14" ht="77.25" hidden="1">
      <c r="A125" s="35" t="s">
        <v>186</v>
      </c>
      <c r="B125" s="24" t="s">
        <v>128</v>
      </c>
      <c r="C125" s="24" t="s">
        <v>67</v>
      </c>
      <c r="D125" s="24" t="s">
        <v>14</v>
      </c>
      <c r="E125" s="24" t="s">
        <v>187</v>
      </c>
      <c r="F125" s="24"/>
      <c r="G125" s="38" t="e">
        <f>#REF!+G126</f>
        <v>#REF!</v>
      </c>
      <c r="H125" s="38" t="e">
        <f>#REF!+H126</f>
        <v>#REF!</v>
      </c>
      <c r="I125" s="38" t="e">
        <f>#REF!+I126</f>
        <v>#REF!</v>
      </c>
      <c r="J125" s="32">
        <f>J126</f>
        <v>0</v>
      </c>
      <c r="K125" s="32">
        <f t="shared" si="17"/>
        <v>0</v>
      </c>
      <c r="L125" s="32">
        <f t="shared" si="17"/>
        <v>0</v>
      </c>
      <c r="M125" s="33" t="e">
        <f>#REF!+M126</f>
        <v>#REF!</v>
      </c>
      <c r="N125" s="34" t="e">
        <f>#REF!+N126</f>
        <v>#REF!</v>
      </c>
    </row>
    <row r="126" spans="1:17" ht="15" hidden="1">
      <c r="A126" s="35" t="s">
        <v>188</v>
      </c>
      <c r="B126" s="24" t="s">
        <v>128</v>
      </c>
      <c r="C126" s="24" t="s">
        <v>67</v>
      </c>
      <c r="D126" s="24" t="s">
        <v>14</v>
      </c>
      <c r="E126" s="24" t="s">
        <v>190</v>
      </c>
      <c r="F126" s="24" t="s">
        <v>189</v>
      </c>
      <c r="G126" s="38">
        <v>2819.6</v>
      </c>
      <c r="H126" s="31"/>
      <c r="I126" s="38"/>
      <c r="J126" s="32"/>
      <c r="K126" s="32"/>
      <c r="L126" s="32">
        <f>J126+K126</f>
        <v>0</v>
      </c>
      <c r="M126" s="33"/>
      <c r="N126" s="34">
        <f>L126+M126</f>
        <v>0</v>
      </c>
      <c r="O126" s="172">
        <v>925</v>
      </c>
      <c r="Q126" s="96">
        <f>L126-O126</f>
        <v>-925</v>
      </c>
    </row>
    <row r="127" spans="1:14" ht="15">
      <c r="A127" s="29" t="s">
        <v>191</v>
      </c>
      <c r="B127" s="30" t="s">
        <v>128</v>
      </c>
      <c r="C127" s="30" t="s">
        <v>67</v>
      </c>
      <c r="D127" s="30" t="s">
        <v>15</v>
      </c>
      <c r="E127" s="30"/>
      <c r="F127" s="30"/>
      <c r="G127" s="25" t="e">
        <f>#REF!+G133+#REF!+#REF!</f>
        <v>#REF!</v>
      </c>
      <c r="H127" s="25" t="e">
        <f>#REF!+H133+#REF!+#REF!</f>
        <v>#REF!</v>
      </c>
      <c r="I127" s="25" t="e">
        <f>#REF!+I133+#REF!+#REF!</f>
        <v>#REF!</v>
      </c>
      <c r="J127" s="25">
        <f>J128+J133</f>
        <v>17830.7</v>
      </c>
      <c r="K127" s="25">
        <f>K128+K133</f>
        <v>0</v>
      </c>
      <c r="L127" s="25">
        <f>L128+L133</f>
        <v>17830.7</v>
      </c>
      <c r="M127" s="47" t="e">
        <f>#REF!+M133+#REF!+#REF!+M129</f>
        <v>#REF!</v>
      </c>
      <c r="N127" s="71" t="e">
        <f>#REF!+N133+#REF!+#REF!+N129</f>
        <v>#REF!</v>
      </c>
    </row>
    <row r="128" spans="1:14" ht="15">
      <c r="A128" s="179" t="s">
        <v>270</v>
      </c>
      <c r="B128" s="24" t="s">
        <v>128</v>
      </c>
      <c r="C128" s="24" t="s">
        <v>67</v>
      </c>
      <c r="D128" s="24" t="s">
        <v>15</v>
      </c>
      <c r="E128" s="24" t="s">
        <v>271</v>
      </c>
      <c r="F128" s="24"/>
      <c r="G128" s="32"/>
      <c r="H128" s="32"/>
      <c r="I128" s="32"/>
      <c r="J128" s="32">
        <f>J129+J131</f>
        <v>3664.6</v>
      </c>
      <c r="K128" s="32">
        <f>K129+K131</f>
        <v>0</v>
      </c>
      <c r="L128" s="32">
        <f>L129+L131</f>
        <v>3664.6</v>
      </c>
      <c r="M128" s="47"/>
      <c r="N128" s="71"/>
    </row>
    <row r="129" spans="1:14" ht="71.25" customHeight="1">
      <c r="A129" s="35" t="s">
        <v>186</v>
      </c>
      <c r="B129" s="24" t="s">
        <v>128</v>
      </c>
      <c r="C129" s="24" t="s">
        <v>67</v>
      </c>
      <c r="D129" s="24" t="s">
        <v>15</v>
      </c>
      <c r="E129" s="24" t="s">
        <v>192</v>
      </c>
      <c r="F129" s="24"/>
      <c r="G129" s="38"/>
      <c r="H129" s="31"/>
      <c r="I129" s="38"/>
      <c r="J129" s="32">
        <f>J130</f>
        <v>3432</v>
      </c>
      <c r="K129" s="32">
        <f>K130</f>
        <v>0</v>
      </c>
      <c r="L129" s="32">
        <f>L130</f>
        <v>3432</v>
      </c>
      <c r="M129" s="33">
        <f>M130</f>
        <v>0</v>
      </c>
      <c r="N129" s="65">
        <f>N130</f>
        <v>0</v>
      </c>
    </row>
    <row r="130" spans="1:14" ht="43.5" customHeight="1">
      <c r="A130" s="35" t="s">
        <v>193</v>
      </c>
      <c r="B130" s="24" t="s">
        <v>128</v>
      </c>
      <c r="C130" s="24" t="s">
        <v>67</v>
      </c>
      <c r="D130" s="24" t="s">
        <v>15</v>
      </c>
      <c r="E130" s="24" t="s">
        <v>192</v>
      </c>
      <c r="F130" s="24" t="s">
        <v>194</v>
      </c>
      <c r="G130" s="38"/>
      <c r="H130" s="31"/>
      <c r="I130" s="38"/>
      <c r="J130" s="32">
        <v>3432</v>
      </c>
      <c r="K130" s="32"/>
      <c r="L130" s="32">
        <f>SUM(J130:K130)</f>
        <v>3432</v>
      </c>
      <c r="M130" s="33"/>
      <c r="N130" s="34"/>
    </row>
    <row r="131" spans="1:14" ht="43.5" customHeight="1">
      <c r="A131" s="67" t="s">
        <v>195</v>
      </c>
      <c r="B131" s="74" t="s">
        <v>128</v>
      </c>
      <c r="C131" s="74" t="s">
        <v>67</v>
      </c>
      <c r="D131" s="74" t="s">
        <v>15</v>
      </c>
      <c r="E131" s="74" t="s">
        <v>196</v>
      </c>
      <c r="F131" s="24"/>
      <c r="G131" s="38"/>
      <c r="H131" s="31"/>
      <c r="I131" s="38"/>
      <c r="J131" s="32">
        <f>J132</f>
        <v>232.6</v>
      </c>
      <c r="K131" s="32">
        <f>K132</f>
        <v>0</v>
      </c>
      <c r="L131" s="32">
        <f>L132</f>
        <v>232.6</v>
      </c>
      <c r="M131" s="39">
        <f>M132</f>
        <v>0</v>
      </c>
      <c r="N131" s="73">
        <f>N132</f>
        <v>0</v>
      </c>
    </row>
    <row r="132" spans="1:14" ht="43.5" customHeight="1">
      <c r="A132" s="35" t="s">
        <v>193</v>
      </c>
      <c r="B132" s="74" t="s">
        <v>128</v>
      </c>
      <c r="C132" s="74" t="s">
        <v>67</v>
      </c>
      <c r="D132" s="74" t="s">
        <v>15</v>
      </c>
      <c r="E132" s="74" t="s">
        <v>196</v>
      </c>
      <c r="F132" s="24" t="s">
        <v>194</v>
      </c>
      <c r="G132" s="38"/>
      <c r="H132" s="31"/>
      <c r="I132" s="38"/>
      <c r="J132" s="32">
        <v>232.6</v>
      </c>
      <c r="K132" s="32"/>
      <c r="L132" s="32">
        <f>J132+K132</f>
        <v>232.6</v>
      </c>
      <c r="M132" s="33"/>
      <c r="N132" s="34"/>
    </row>
    <row r="133" spans="1:14" ht="26.25">
      <c r="A133" s="35" t="s">
        <v>117</v>
      </c>
      <c r="B133" s="24" t="s">
        <v>128</v>
      </c>
      <c r="C133" s="24" t="s">
        <v>67</v>
      </c>
      <c r="D133" s="24" t="s">
        <v>15</v>
      </c>
      <c r="E133" s="24" t="s">
        <v>118</v>
      </c>
      <c r="F133" s="24"/>
      <c r="G133" s="32" t="e">
        <f aca="true" t="shared" si="18" ref="G133:M133">G137+G134</f>
        <v>#REF!</v>
      </c>
      <c r="H133" s="32" t="e">
        <f t="shared" si="18"/>
        <v>#REF!</v>
      </c>
      <c r="I133" s="32" t="e">
        <f t="shared" si="18"/>
        <v>#REF!</v>
      </c>
      <c r="J133" s="32">
        <f>J134+J137</f>
        <v>14166.1</v>
      </c>
      <c r="K133" s="32">
        <f>K134+K137</f>
        <v>0</v>
      </c>
      <c r="L133" s="32">
        <f>L134+L137</f>
        <v>14166.1</v>
      </c>
      <c r="M133" s="33" t="e">
        <f t="shared" si="18"/>
        <v>#REF!</v>
      </c>
      <c r="N133" s="34" t="e">
        <f>N137+N134</f>
        <v>#REF!</v>
      </c>
    </row>
    <row r="134" spans="1:14" ht="76.5" customHeight="1">
      <c r="A134" s="35" t="s">
        <v>197</v>
      </c>
      <c r="B134" s="24" t="s">
        <v>128</v>
      </c>
      <c r="C134" s="24" t="s">
        <v>67</v>
      </c>
      <c r="D134" s="24" t="s">
        <v>15</v>
      </c>
      <c r="E134" s="24" t="s">
        <v>198</v>
      </c>
      <c r="F134" s="24"/>
      <c r="G134" s="38">
        <f aca="true" t="shared" si="19" ref="G134:N134">G135</f>
        <v>1011.2162</v>
      </c>
      <c r="H134" s="32">
        <f t="shared" si="19"/>
        <v>0</v>
      </c>
      <c r="I134" s="38">
        <f t="shared" si="19"/>
        <v>0</v>
      </c>
      <c r="J134" s="32">
        <f>J135+J136</f>
        <v>1372.6</v>
      </c>
      <c r="K134" s="32">
        <f>K135+K136</f>
        <v>0</v>
      </c>
      <c r="L134" s="32">
        <f>L135+L136</f>
        <v>1372.6</v>
      </c>
      <c r="M134" s="33">
        <f t="shared" si="19"/>
        <v>0</v>
      </c>
      <c r="N134" s="34">
        <f t="shared" si="19"/>
        <v>0</v>
      </c>
    </row>
    <row r="135" spans="1:17" ht="15" customHeight="1" hidden="1">
      <c r="A135" s="35" t="s">
        <v>188</v>
      </c>
      <c r="B135" s="24" t="s">
        <v>128</v>
      </c>
      <c r="C135" s="24" t="s">
        <v>67</v>
      </c>
      <c r="D135" s="24" t="s">
        <v>15</v>
      </c>
      <c r="E135" s="24" t="s">
        <v>198</v>
      </c>
      <c r="F135" s="24" t="s">
        <v>189</v>
      </c>
      <c r="G135" s="38">
        <f>11.2162+1000</f>
        <v>1011.2162</v>
      </c>
      <c r="H135" s="31"/>
      <c r="I135" s="38"/>
      <c r="J135" s="32"/>
      <c r="K135" s="32"/>
      <c r="L135" s="32">
        <f>J135+K135</f>
        <v>0</v>
      </c>
      <c r="M135" s="33"/>
      <c r="N135" s="34">
        <f>L135+M135</f>
        <v>0</v>
      </c>
      <c r="O135" s="172">
        <v>1955.1</v>
      </c>
      <c r="Q135" s="96">
        <f>L135-O135</f>
        <v>-1955.1</v>
      </c>
    </row>
    <row r="136" spans="1:17" ht="15" customHeight="1">
      <c r="A136" s="67" t="s">
        <v>199</v>
      </c>
      <c r="B136" s="24" t="s">
        <v>128</v>
      </c>
      <c r="C136" s="24" t="s">
        <v>67</v>
      </c>
      <c r="D136" s="24" t="s">
        <v>15</v>
      </c>
      <c r="E136" s="24" t="s">
        <v>198</v>
      </c>
      <c r="F136" s="24" t="s">
        <v>200</v>
      </c>
      <c r="G136" s="38"/>
      <c r="H136" s="31"/>
      <c r="I136" s="38"/>
      <c r="J136" s="32">
        <v>1372.6</v>
      </c>
      <c r="K136" s="32"/>
      <c r="L136" s="32">
        <f>SUM(J136:K136)</f>
        <v>1372.6</v>
      </c>
      <c r="M136" s="33"/>
      <c r="N136" s="34"/>
      <c r="O136" s="172"/>
      <c r="Q136" s="96"/>
    </row>
    <row r="137" spans="1:14" ht="39">
      <c r="A137" s="35" t="s">
        <v>201</v>
      </c>
      <c r="B137" s="24" t="s">
        <v>128</v>
      </c>
      <c r="C137" s="24" t="s">
        <v>67</v>
      </c>
      <c r="D137" s="24" t="s">
        <v>15</v>
      </c>
      <c r="E137" s="24" t="s">
        <v>202</v>
      </c>
      <c r="F137" s="24"/>
      <c r="G137" s="32" t="e">
        <f>#REF!+G138+G139</f>
        <v>#REF!</v>
      </c>
      <c r="H137" s="32" t="e">
        <f>#REF!+H138+H139</f>
        <v>#REF!</v>
      </c>
      <c r="I137" s="32" t="e">
        <f>#REF!+I138+I139</f>
        <v>#REF!</v>
      </c>
      <c r="J137" s="32">
        <f>J138+J139+J140+J141</f>
        <v>12793.5</v>
      </c>
      <c r="K137" s="32">
        <f>K138+K139+K140+K141</f>
        <v>0</v>
      </c>
      <c r="L137" s="32">
        <f>L138+L139+L140+L141</f>
        <v>12793.5</v>
      </c>
      <c r="M137" s="33" t="e">
        <f>#REF!+M138+M139</f>
        <v>#REF!</v>
      </c>
      <c r="N137" s="34" t="e">
        <f>#REF!+N138+N139</f>
        <v>#REF!</v>
      </c>
    </row>
    <row r="138" spans="1:14" ht="45" customHeight="1" hidden="1">
      <c r="A138" s="35" t="s">
        <v>203</v>
      </c>
      <c r="B138" s="24" t="s">
        <v>128</v>
      </c>
      <c r="C138" s="24" t="s">
        <v>67</v>
      </c>
      <c r="D138" s="24" t="s">
        <v>15</v>
      </c>
      <c r="E138" s="24" t="s">
        <v>204</v>
      </c>
      <c r="F138" s="24" t="s">
        <v>113</v>
      </c>
      <c r="G138" s="38">
        <v>-94.76</v>
      </c>
      <c r="H138" s="31"/>
      <c r="I138" s="38"/>
      <c r="J138" s="32">
        <v>0</v>
      </c>
      <c r="K138" s="32"/>
      <c r="L138" s="32">
        <f>J138+K138</f>
        <v>0</v>
      </c>
      <c r="M138" s="33"/>
      <c r="N138" s="34">
        <f>L138+M138</f>
        <v>0</v>
      </c>
    </row>
    <row r="139" spans="1:17" ht="39" hidden="1">
      <c r="A139" s="75" t="s">
        <v>203</v>
      </c>
      <c r="B139" s="24" t="s">
        <v>128</v>
      </c>
      <c r="C139" s="24" t="s">
        <v>67</v>
      </c>
      <c r="D139" s="24" t="s">
        <v>15</v>
      </c>
      <c r="E139" s="24" t="s">
        <v>204</v>
      </c>
      <c r="F139" s="24" t="s">
        <v>189</v>
      </c>
      <c r="G139" s="38">
        <f>94.76+6519.9</f>
        <v>6614.66</v>
      </c>
      <c r="H139" s="31"/>
      <c r="I139" s="38"/>
      <c r="J139" s="32"/>
      <c r="K139" s="32"/>
      <c r="L139" s="32">
        <f>J139+K139</f>
        <v>0</v>
      </c>
      <c r="M139" s="33"/>
      <c r="N139" s="34">
        <f>L139+M139</f>
        <v>0</v>
      </c>
      <c r="O139" s="172">
        <v>9778</v>
      </c>
      <c r="Q139" s="96">
        <f>L139-O139</f>
        <v>-9778</v>
      </c>
    </row>
    <row r="140" spans="1:14" ht="32.25" customHeight="1">
      <c r="A140" s="67" t="s">
        <v>205</v>
      </c>
      <c r="B140" s="24" t="s">
        <v>128</v>
      </c>
      <c r="C140" s="24" t="s">
        <v>67</v>
      </c>
      <c r="D140" s="24" t="s">
        <v>15</v>
      </c>
      <c r="E140" s="24" t="s">
        <v>204</v>
      </c>
      <c r="F140" s="24" t="s">
        <v>206</v>
      </c>
      <c r="G140" s="38"/>
      <c r="H140" s="31"/>
      <c r="I140" s="38"/>
      <c r="J140" s="32">
        <v>12793.5</v>
      </c>
      <c r="K140" s="32"/>
      <c r="L140" s="32">
        <f>SUM(J140:K140)</f>
        <v>12793.5</v>
      </c>
      <c r="M140" s="33"/>
      <c r="N140" s="65"/>
    </row>
    <row r="141" spans="1:14" ht="42.75" customHeight="1" hidden="1" thickBot="1">
      <c r="A141" s="35" t="s">
        <v>193</v>
      </c>
      <c r="B141" s="24" t="s">
        <v>128</v>
      </c>
      <c r="C141" s="24" t="s">
        <v>67</v>
      </c>
      <c r="D141" s="24" t="s">
        <v>15</v>
      </c>
      <c r="E141" s="24" t="s">
        <v>204</v>
      </c>
      <c r="F141" s="24" t="s">
        <v>194</v>
      </c>
      <c r="G141" s="38"/>
      <c r="H141" s="31"/>
      <c r="I141" s="38"/>
      <c r="J141" s="32"/>
      <c r="K141" s="32"/>
      <c r="L141" s="32">
        <f>SUM(J141:K141)</f>
        <v>0</v>
      </c>
      <c r="M141" s="54"/>
      <c r="N141" s="76"/>
    </row>
    <row r="142" spans="1:15" ht="27" thickBot="1">
      <c r="A142" s="249" t="s">
        <v>207</v>
      </c>
      <c r="B142" s="247" t="s">
        <v>0</v>
      </c>
      <c r="C142" s="247"/>
      <c r="D142" s="247"/>
      <c r="E142" s="247"/>
      <c r="F142" s="247"/>
      <c r="G142" s="251" t="e">
        <f>G143+G184+#REF!+#REF!</f>
        <v>#REF!</v>
      </c>
      <c r="H142" s="252" t="e">
        <f>H143+H184+#REF!+#REF!+H199</f>
        <v>#REF!</v>
      </c>
      <c r="I142" s="252" t="e">
        <f>I143+I184+#REF!+#REF!+I199</f>
        <v>#REF!</v>
      </c>
      <c r="J142" s="248">
        <f>J143+J184+J199+J175+J222+J228+J170+J207+J214+J218</f>
        <v>41104.356</v>
      </c>
      <c r="K142" s="248">
        <f>K143+K184+K199+K175+K222+K228+K170+K207+K214+K218</f>
        <v>8066.411</v>
      </c>
      <c r="L142" s="248">
        <f>L143+L184+L199+L175+L222+L228+L170+L207+L214+L218</f>
        <v>49170.767</v>
      </c>
      <c r="M142" s="78" t="e">
        <f>M143+M184+#REF!+#REF!+M199+M175</f>
        <v>#REF!</v>
      </c>
      <c r="N142" s="79" t="e">
        <f>N143+N184+#REF!+#REF!+N199+N175</f>
        <v>#REF!</v>
      </c>
      <c r="O142" s="154">
        <f>K187+K189+K192+K210+K213+K217+K221+K239</f>
        <v>6791.3099999999995</v>
      </c>
    </row>
    <row r="143" spans="1:14" ht="15">
      <c r="A143" s="29" t="s">
        <v>208</v>
      </c>
      <c r="B143" s="30" t="s">
        <v>0</v>
      </c>
      <c r="C143" s="30" t="s">
        <v>12</v>
      </c>
      <c r="D143" s="24"/>
      <c r="E143" s="24"/>
      <c r="F143" s="24"/>
      <c r="G143" s="22" t="e">
        <f>G150+#REF!+#REF!+G170+G144</f>
        <v>#REF!</v>
      </c>
      <c r="H143" s="22" t="e">
        <f>H150+#REF!+#REF!+H170+H144</f>
        <v>#REF!</v>
      </c>
      <c r="I143" s="22" t="e">
        <f>I150+#REF!+#REF!+I170+I144</f>
        <v>#REF!</v>
      </c>
      <c r="J143" s="25">
        <f>J144+J150+J159+J164</f>
        <v>4216.956</v>
      </c>
      <c r="K143" s="25">
        <f>K144+K150+K159+K164</f>
        <v>406.43699999999995</v>
      </c>
      <c r="L143" s="25">
        <f>L144+L150+L159+L164</f>
        <v>4623.393</v>
      </c>
      <c r="M143" s="80" t="e">
        <f>M150+#REF!+#REF!+M144+M159+M164</f>
        <v>#REF!</v>
      </c>
      <c r="N143" s="81" t="e">
        <f>N150+#REF!+#REF!+N144+N159+N164</f>
        <v>#REF!</v>
      </c>
    </row>
    <row r="144" spans="1:14" ht="64.5">
      <c r="A144" s="82" t="s">
        <v>209</v>
      </c>
      <c r="B144" s="30" t="s">
        <v>0</v>
      </c>
      <c r="C144" s="30" t="s">
        <v>12</v>
      </c>
      <c r="D144" s="30" t="s">
        <v>15</v>
      </c>
      <c r="E144" s="24"/>
      <c r="F144" s="24"/>
      <c r="G144" s="22">
        <f>G145</f>
        <v>0.4</v>
      </c>
      <c r="H144" s="26" t="e">
        <f>H145+#REF!</f>
        <v>#REF!</v>
      </c>
      <c r="I144" s="26" t="e">
        <f>I145+#REF!</f>
        <v>#REF!</v>
      </c>
      <c r="J144" s="25">
        <f>J145+J147</f>
        <v>729.762</v>
      </c>
      <c r="K144" s="25">
        <f>K145+K147</f>
        <v>91.201</v>
      </c>
      <c r="L144" s="25">
        <f>L145+L147</f>
        <v>820.963</v>
      </c>
      <c r="M144" s="36" t="e">
        <f>M145+#REF!+M147+#REF!</f>
        <v>#REF!</v>
      </c>
      <c r="N144" s="37" t="e">
        <f>N145+#REF!+N147+#REF!</f>
        <v>#REF!</v>
      </c>
    </row>
    <row r="145" spans="1:14" ht="51.75" hidden="1">
      <c r="A145" s="35" t="s">
        <v>210</v>
      </c>
      <c r="B145" s="24" t="s">
        <v>0</v>
      </c>
      <c r="C145" s="24" t="s">
        <v>12</v>
      </c>
      <c r="D145" s="24" t="s">
        <v>15</v>
      </c>
      <c r="E145" s="24" t="s">
        <v>211</v>
      </c>
      <c r="F145" s="24"/>
      <c r="G145" s="22">
        <f>G146</f>
        <v>0.4</v>
      </c>
      <c r="H145" s="22">
        <f aca="true" t="shared" si="20" ref="H145:N145">H146</f>
        <v>0</v>
      </c>
      <c r="I145" s="22">
        <f t="shared" si="20"/>
        <v>0</v>
      </c>
      <c r="J145" s="32">
        <f t="shared" si="20"/>
        <v>0</v>
      </c>
      <c r="K145" s="32">
        <f t="shared" si="20"/>
        <v>0</v>
      </c>
      <c r="L145" s="32">
        <f t="shared" si="20"/>
        <v>0</v>
      </c>
      <c r="M145" s="36">
        <f t="shared" si="20"/>
        <v>0</v>
      </c>
      <c r="N145" s="37">
        <f t="shared" si="20"/>
        <v>0</v>
      </c>
    </row>
    <row r="146" spans="1:15" ht="26.25" hidden="1">
      <c r="A146" s="83" t="s">
        <v>112</v>
      </c>
      <c r="B146" s="24" t="s">
        <v>0</v>
      </c>
      <c r="C146" s="24" t="s">
        <v>12</v>
      </c>
      <c r="D146" s="24" t="s">
        <v>15</v>
      </c>
      <c r="E146" s="24" t="s">
        <v>211</v>
      </c>
      <c r="F146" s="24" t="s">
        <v>113</v>
      </c>
      <c r="G146" s="22">
        <v>0.4</v>
      </c>
      <c r="H146" s="31"/>
      <c r="I146" s="22"/>
      <c r="J146" s="32"/>
      <c r="K146" s="25"/>
      <c r="L146" s="32">
        <f>J146+K146</f>
        <v>0</v>
      </c>
      <c r="M146" s="36"/>
      <c r="N146" s="34">
        <f>L146+M146</f>
        <v>0</v>
      </c>
      <c r="O146" s="20">
        <v>0.5</v>
      </c>
    </row>
    <row r="147" spans="1:14" ht="51.75">
      <c r="A147" s="40" t="s">
        <v>213</v>
      </c>
      <c r="B147" s="24" t="s">
        <v>0</v>
      </c>
      <c r="C147" s="24" t="s">
        <v>12</v>
      </c>
      <c r="D147" s="24" t="s">
        <v>15</v>
      </c>
      <c r="E147" s="24" t="s">
        <v>132</v>
      </c>
      <c r="F147" s="24"/>
      <c r="G147" s="22"/>
      <c r="H147" s="31"/>
      <c r="I147" s="22"/>
      <c r="J147" s="32">
        <f>J148+J149</f>
        <v>729.762</v>
      </c>
      <c r="K147" s="32">
        <f>K148+K149</f>
        <v>91.201</v>
      </c>
      <c r="L147" s="32">
        <f>L148+L149</f>
        <v>820.963</v>
      </c>
      <c r="M147" s="33" t="e">
        <f>#REF!</f>
        <v>#REF!</v>
      </c>
      <c r="N147" s="34" t="e">
        <f>#REF!</f>
        <v>#REF!</v>
      </c>
    </row>
    <row r="148" spans="1:14" ht="25.5">
      <c r="A148" s="67" t="s">
        <v>170</v>
      </c>
      <c r="B148" s="24" t="s">
        <v>0</v>
      </c>
      <c r="C148" s="24" t="s">
        <v>12</v>
      </c>
      <c r="D148" s="24" t="s">
        <v>15</v>
      </c>
      <c r="E148" s="24" t="s">
        <v>134</v>
      </c>
      <c r="F148" s="24" t="s">
        <v>171</v>
      </c>
      <c r="G148" s="22"/>
      <c r="H148" s="31"/>
      <c r="I148" s="22"/>
      <c r="J148" s="32">
        <v>729.762</v>
      </c>
      <c r="K148" s="32">
        <f>91.201</f>
        <v>91.201</v>
      </c>
      <c r="L148" s="32">
        <f>SUM(J148:K148)</f>
        <v>820.963</v>
      </c>
      <c r="M148" s="36"/>
      <c r="N148" s="34"/>
    </row>
    <row r="149" spans="1:15" ht="26.25" hidden="1">
      <c r="A149" s="83" t="s">
        <v>110</v>
      </c>
      <c r="B149" s="24" t="s">
        <v>0</v>
      </c>
      <c r="C149" s="24" t="s">
        <v>12</v>
      </c>
      <c r="D149" s="24" t="s">
        <v>15</v>
      </c>
      <c r="E149" s="24" t="s">
        <v>134</v>
      </c>
      <c r="F149" s="24" t="s">
        <v>109</v>
      </c>
      <c r="G149" s="22"/>
      <c r="H149" s="31"/>
      <c r="I149" s="22"/>
      <c r="J149" s="32"/>
      <c r="K149" s="25"/>
      <c r="L149" s="32">
        <f>J149+K149</f>
        <v>0</v>
      </c>
      <c r="M149" s="36">
        <f>-50</f>
        <v>-50</v>
      </c>
      <c r="N149" s="34">
        <f>L149+M149</f>
        <v>-50</v>
      </c>
      <c r="O149" s="96" t="e">
        <f>L149-#REF!</f>
        <v>#REF!</v>
      </c>
    </row>
    <row r="150" spans="1:14" s="148" customFormat="1" ht="38.25">
      <c r="A150" s="84" t="s">
        <v>212</v>
      </c>
      <c r="B150" s="30" t="s">
        <v>0</v>
      </c>
      <c r="C150" s="30" t="s">
        <v>12</v>
      </c>
      <c r="D150" s="30" t="s">
        <v>18</v>
      </c>
      <c r="E150" s="30"/>
      <c r="F150" s="30"/>
      <c r="G150" s="22" t="e">
        <f aca="true" t="shared" si="21" ref="G150:N150">G151</f>
        <v>#REF!</v>
      </c>
      <c r="H150" s="22" t="e">
        <f t="shared" si="21"/>
        <v>#REF!</v>
      </c>
      <c r="I150" s="22" t="e">
        <f t="shared" si="21"/>
        <v>#REF!</v>
      </c>
      <c r="J150" s="25">
        <f t="shared" si="21"/>
        <v>3189.5939999999996</v>
      </c>
      <c r="K150" s="25">
        <f t="shared" si="21"/>
        <v>305.536</v>
      </c>
      <c r="L150" s="25">
        <f t="shared" si="21"/>
        <v>3495.1299999999997</v>
      </c>
      <c r="M150" s="47" t="e">
        <f t="shared" si="21"/>
        <v>#REF!</v>
      </c>
      <c r="N150" s="64" t="e">
        <f t="shared" si="21"/>
        <v>#REF!</v>
      </c>
    </row>
    <row r="151" spans="1:14" ht="51.75">
      <c r="A151" s="40" t="s">
        <v>213</v>
      </c>
      <c r="B151" s="24" t="s">
        <v>0</v>
      </c>
      <c r="C151" s="24" t="s">
        <v>12</v>
      </c>
      <c r="D151" s="24" t="s">
        <v>18</v>
      </c>
      <c r="E151" s="24" t="s">
        <v>132</v>
      </c>
      <c r="F151" s="24"/>
      <c r="G151" s="38" t="e">
        <f>#REF!+#REF!</f>
        <v>#REF!</v>
      </c>
      <c r="H151" s="38" t="e">
        <f>#REF!+#REF!</f>
        <v>#REF!</v>
      </c>
      <c r="I151" s="38" t="e">
        <f>#REF!+#REF!</f>
        <v>#REF!</v>
      </c>
      <c r="J151" s="32">
        <f>J152+J153+J154+J155+J156+J157+J158</f>
        <v>3189.5939999999996</v>
      </c>
      <c r="K151" s="32">
        <f>K152+K153+K154+K155+K156+K157+K158</f>
        <v>305.536</v>
      </c>
      <c r="L151" s="32">
        <f>L152+L153+L154+L155+L156+L157+L158</f>
        <v>3495.1299999999997</v>
      </c>
      <c r="M151" s="33" t="e">
        <f>#REF!+#REF!+M152+M153+M155+M157+M154+M158</f>
        <v>#REF!</v>
      </c>
      <c r="N151" s="33" t="e">
        <f>#REF!+#REF!+N152+N153+N155+N157+N154+N158</f>
        <v>#REF!</v>
      </c>
    </row>
    <row r="152" spans="1:15" ht="25.5">
      <c r="A152" s="67" t="s">
        <v>170</v>
      </c>
      <c r="B152" s="24" t="s">
        <v>0</v>
      </c>
      <c r="C152" s="24" t="s">
        <v>12</v>
      </c>
      <c r="D152" s="24" t="s">
        <v>18</v>
      </c>
      <c r="E152" s="24" t="s">
        <v>134</v>
      </c>
      <c r="F152" s="24" t="s">
        <v>171</v>
      </c>
      <c r="G152" s="38"/>
      <c r="H152" s="31"/>
      <c r="I152" s="38"/>
      <c r="J152" s="32">
        <f>1888.736+570.398</f>
        <v>2459.134</v>
      </c>
      <c r="K152" s="32">
        <f>305.536</f>
        <v>305.536</v>
      </c>
      <c r="L152" s="32">
        <f>SUM(J152:K152)</f>
        <v>2764.67</v>
      </c>
      <c r="M152" s="33"/>
      <c r="N152" s="34"/>
      <c r="O152" s="96"/>
    </row>
    <row r="153" spans="1:15" ht="38.25">
      <c r="A153" s="67" t="s">
        <v>173</v>
      </c>
      <c r="B153" s="24" t="s">
        <v>0</v>
      </c>
      <c r="C153" s="24" t="s">
        <v>12</v>
      </c>
      <c r="D153" s="24" t="s">
        <v>18</v>
      </c>
      <c r="E153" s="24" t="s">
        <v>134</v>
      </c>
      <c r="F153" s="24" t="s">
        <v>174</v>
      </c>
      <c r="G153" s="38"/>
      <c r="H153" s="31"/>
      <c r="I153" s="38"/>
      <c r="J153" s="32">
        <v>20.2</v>
      </c>
      <c r="K153" s="32"/>
      <c r="L153" s="32">
        <f>SUM(J153:K153)</f>
        <v>20.2</v>
      </c>
      <c r="M153" s="33"/>
      <c r="N153" s="34"/>
      <c r="O153" s="96"/>
    </row>
    <row r="154" spans="1:15" ht="51">
      <c r="A154" s="67" t="s">
        <v>177</v>
      </c>
      <c r="B154" s="24" t="s">
        <v>0</v>
      </c>
      <c r="C154" s="24" t="s">
        <v>12</v>
      </c>
      <c r="D154" s="24" t="s">
        <v>18</v>
      </c>
      <c r="E154" s="24" t="s">
        <v>134</v>
      </c>
      <c r="F154" s="24" t="s">
        <v>178</v>
      </c>
      <c r="G154" s="38"/>
      <c r="H154" s="31"/>
      <c r="I154" s="38"/>
      <c r="J154" s="32">
        <f>166.6</f>
        <v>166.6</v>
      </c>
      <c r="K154" s="32"/>
      <c r="L154" s="32">
        <f>SUM(J154:K154)</f>
        <v>166.6</v>
      </c>
      <c r="M154" s="33"/>
      <c r="N154" s="34"/>
      <c r="O154" s="96"/>
    </row>
    <row r="155" spans="1:15" ht="38.25">
      <c r="A155" s="67" t="s">
        <v>164</v>
      </c>
      <c r="B155" s="24" t="s">
        <v>0</v>
      </c>
      <c r="C155" s="24" t="s">
        <v>12</v>
      </c>
      <c r="D155" s="24" t="s">
        <v>18</v>
      </c>
      <c r="E155" s="24" t="s">
        <v>134</v>
      </c>
      <c r="F155" s="24" t="s">
        <v>166</v>
      </c>
      <c r="G155" s="38"/>
      <c r="H155" s="31"/>
      <c r="I155" s="38"/>
      <c r="J155" s="32">
        <v>528.16</v>
      </c>
      <c r="K155" s="32"/>
      <c r="L155" s="32">
        <f>SUM(J155:K155)</f>
        <v>528.16</v>
      </c>
      <c r="M155" s="33"/>
      <c r="N155" s="34"/>
      <c r="O155" s="96"/>
    </row>
    <row r="156" spans="1:15" ht="26.25" hidden="1">
      <c r="A156" s="83" t="s">
        <v>110</v>
      </c>
      <c r="B156" s="24" t="s">
        <v>0</v>
      </c>
      <c r="C156" s="24" t="s">
        <v>12</v>
      </c>
      <c r="D156" s="24" t="s">
        <v>18</v>
      </c>
      <c r="E156" s="24" t="s">
        <v>134</v>
      </c>
      <c r="F156" s="24" t="s">
        <v>109</v>
      </c>
      <c r="G156" s="38">
        <f>50+360+80+3.47-0.01-80-3.47+2.72</f>
        <v>412.71000000000004</v>
      </c>
      <c r="H156" s="31"/>
      <c r="I156" s="38"/>
      <c r="J156" s="32"/>
      <c r="K156" s="32"/>
      <c r="L156" s="32">
        <f>J156+K156</f>
        <v>0</v>
      </c>
      <c r="M156" s="33">
        <f>-205.496</f>
        <v>-205.496</v>
      </c>
      <c r="N156" s="34">
        <f>L156+M156</f>
        <v>-205.496</v>
      </c>
      <c r="O156" s="96" t="e">
        <f>L156-#REF!</f>
        <v>#REF!</v>
      </c>
    </row>
    <row r="157" spans="1:14" ht="38.25">
      <c r="A157" s="67" t="s">
        <v>179</v>
      </c>
      <c r="B157" s="24" t="s">
        <v>0</v>
      </c>
      <c r="C157" s="24" t="s">
        <v>12</v>
      </c>
      <c r="D157" s="24" t="s">
        <v>18</v>
      </c>
      <c r="E157" s="24" t="s">
        <v>134</v>
      </c>
      <c r="F157" s="24" t="s">
        <v>180</v>
      </c>
      <c r="G157" s="38"/>
      <c r="H157" s="31"/>
      <c r="I157" s="38"/>
      <c r="J157" s="32">
        <f>17-5-7</f>
        <v>5</v>
      </c>
      <c r="K157" s="32"/>
      <c r="L157" s="32">
        <f>K157+J157</f>
        <v>5</v>
      </c>
      <c r="M157" s="33"/>
      <c r="N157" s="34"/>
    </row>
    <row r="158" spans="1:14" ht="25.5">
      <c r="A158" s="67" t="s">
        <v>181</v>
      </c>
      <c r="B158" s="24" t="s">
        <v>0</v>
      </c>
      <c r="C158" s="24" t="s">
        <v>12</v>
      </c>
      <c r="D158" s="24" t="s">
        <v>18</v>
      </c>
      <c r="E158" s="24" t="s">
        <v>134</v>
      </c>
      <c r="F158" s="24" t="s">
        <v>182</v>
      </c>
      <c r="G158" s="38"/>
      <c r="H158" s="31"/>
      <c r="I158" s="38"/>
      <c r="J158" s="32">
        <v>10.5</v>
      </c>
      <c r="K158" s="32"/>
      <c r="L158" s="32">
        <f>K158+J158</f>
        <v>10.5</v>
      </c>
      <c r="M158" s="33"/>
      <c r="N158" s="34"/>
    </row>
    <row r="159" spans="1:14" ht="15">
      <c r="A159" s="40" t="s">
        <v>21</v>
      </c>
      <c r="B159" s="30" t="s">
        <v>0</v>
      </c>
      <c r="C159" s="30" t="s">
        <v>12</v>
      </c>
      <c r="D159" s="30" t="s">
        <v>22</v>
      </c>
      <c r="E159" s="30"/>
      <c r="F159" s="30"/>
      <c r="G159" s="38"/>
      <c r="H159" s="31"/>
      <c r="I159" s="38"/>
      <c r="J159" s="25">
        <f aca="true" t="shared" si="22" ref="J159:L160">J160</f>
        <v>110</v>
      </c>
      <c r="K159" s="25">
        <f t="shared" si="22"/>
        <v>0</v>
      </c>
      <c r="L159" s="25">
        <f t="shared" si="22"/>
        <v>110</v>
      </c>
      <c r="M159" s="33"/>
      <c r="N159" s="34"/>
    </row>
    <row r="160" spans="1:14" ht="15">
      <c r="A160" s="40" t="s">
        <v>21</v>
      </c>
      <c r="B160" s="24" t="s">
        <v>0</v>
      </c>
      <c r="C160" s="24" t="s">
        <v>12</v>
      </c>
      <c r="D160" s="24" t="s">
        <v>22</v>
      </c>
      <c r="E160" s="24" t="s">
        <v>219</v>
      </c>
      <c r="F160" s="24"/>
      <c r="G160" s="38"/>
      <c r="H160" s="31"/>
      <c r="I160" s="38"/>
      <c r="J160" s="32">
        <f t="shared" si="22"/>
        <v>110</v>
      </c>
      <c r="K160" s="32">
        <f t="shared" si="22"/>
        <v>0</v>
      </c>
      <c r="L160" s="32">
        <f t="shared" si="22"/>
        <v>110</v>
      </c>
      <c r="M160" s="33"/>
      <c r="N160" s="34"/>
    </row>
    <row r="161" spans="1:14" ht="26.25">
      <c r="A161" s="40" t="s">
        <v>220</v>
      </c>
      <c r="B161" s="24" t="s">
        <v>0</v>
      </c>
      <c r="C161" s="24" t="s">
        <v>12</v>
      </c>
      <c r="D161" s="24" t="s">
        <v>22</v>
      </c>
      <c r="E161" s="24" t="s">
        <v>221</v>
      </c>
      <c r="F161" s="24"/>
      <c r="G161" s="38"/>
      <c r="H161" s="31"/>
      <c r="I161" s="38"/>
      <c r="J161" s="32">
        <f>J162+J163</f>
        <v>110</v>
      </c>
      <c r="K161" s="32">
        <f>K162+K163</f>
        <v>0</v>
      </c>
      <c r="L161" s="32">
        <f>L162+L163</f>
        <v>110</v>
      </c>
      <c r="M161" s="33"/>
      <c r="N161" s="34"/>
    </row>
    <row r="162" spans="1:14" ht="15" hidden="1">
      <c r="A162" s="40" t="s">
        <v>217</v>
      </c>
      <c r="B162" s="24" t="s">
        <v>0</v>
      </c>
      <c r="C162" s="24" t="s">
        <v>12</v>
      </c>
      <c r="D162" s="24" t="s">
        <v>22</v>
      </c>
      <c r="E162" s="24" t="s">
        <v>221</v>
      </c>
      <c r="F162" s="24" t="s">
        <v>218</v>
      </c>
      <c r="G162" s="38"/>
      <c r="H162" s="31"/>
      <c r="I162" s="38"/>
      <c r="J162" s="32"/>
      <c r="K162" s="32"/>
      <c r="L162" s="32">
        <f>J162+K162</f>
        <v>0</v>
      </c>
      <c r="M162" s="33"/>
      <c r="N162" s="34"/>
    </row>
    <row r="163" spans="1:14" ht="15">
      <c r="A163" s="40" t="s">
        <v>222</v>
      </c>
      <c r="B163" s="24" t="s">
        <v>0</v>
      </c>
      <c r="C163" s="24" t="s">
        <v>12</v>
      </c>
      <c r="D163" s="24" t="s">
        <v>22</v>
      </c>
      <c r="E163" s="24" t="s">
        <v>221</v>
      </c>
      <c r="F163" s="24" t="s">
        <v>223</v>
      </c>
      <c r="G163" s="38"/>
      <c r="H163" s="31"/>
      <c r="I163" s="38"/>
      <c r="J163" s="32">
        <v>110</v>
      </c>
      <c r="K163" s="32">
        <f>50-50</f>
        <v>0</v>
      </c>
      <c r="L163" s="32">
        <f>J163+K163</f>
        <v>110</v>
      </c>
      <c r="M163" s="33"/>
      <c r="N163" s="34"/>
    </row>
    <row r="164" spans="1:14" ht="15">
      <c r="A164" s="85" t="s">
        <v>25</v>
      </c>
      <c r="B164" s="86" t="s">
        <v>0</v>
      </c>
      <c r="C164" s="86" t="s">
        <v>12</v>
      </c>
      <c r="D164" s="86" t="s">
        <v>24</v>
      </c>
      <c r="E164" s="24"/>
      <c r="F164" s="24"/>
      <c r="G164" s="38"/>
      <c r="H164" s="31"/>
      <c r="I164" s="38"/>
      <c r="J164" s="32">
        <f>J165</f>
        <v>187.6</v>
      </c>
      <c r="K164" s="32">
        <f>K165</f>
        <v>9.7</v>
      </c>
      <c r="L164" s="32">
        <f>L165</f>
        <v>197.29999999999998</v>
      </c>
      <c r="M164" s="39">
        <f>M168</f>
        <v>0</v>
      </c>
      <c r="N164" s="73">
        <f>N168</f>
        <v>0</v>
      </c>
    </row>
    <row r="165" spans="1:14" ht="25.5">
      <c r="A165" s="177" t="s">
        <v>275</v>
      </c>
      <c r="B165" s="86" t="s">
        <v>0</v>
      </c>
      <c r="C165" s="86" t="s">
        <v>12</v>
      </c>
      <c r="D165" s="86" t="s">
        <v>24</v>
      </c>
      <c r="E165" s="24" t="s">
        <v>452</v>
      </c>
      <c r="F165" s="24"/>
      <c r="G165" s="38"/>
      <c r="H165" s="31"/>
      <c r="I165" s="38"/>
      <c r="J165" s="32">
        <f>J166+J168</f>
        <v>187.6</v>
      </c>
      <c r="K165" s="32">
        <f>K166+K168</f>
        <v>9.7</v>
      </c>
      <c r="L165" s="32">
        <f>L166+L168</f>
        <v>197.29999999999998</v>
      </c>
      <c r="M165" s="39"/>
      <c r="N165" s="39"/>
    </row>
    <row r="166" spans="1:14" ht="51.75">
      <c r="A166" s="35" t="s">
        <v>210</v>
      </c>
      <c r="B166" s="24" t="s">
        <v>0</v>
      </c>
      <c r="C166" s="24" t="s">
        <v>12</v>
      </c>
      <c r="D166" s="24" t="s">
        <v>24</v>
      </c>
      <c r="E166" s="24" t="s">
        <v>211</v>
      </c>
      <c r="F166" s="24"/>
      <c r="G166" s="22">
        <f aca="true" t="shared" si="23" ref="G166:N166">G167</f>
        <v>0</v>
      </c>
      <c r="H166" s="22">
        <f t="shared" si="23"/>
        <v>0</v>
      </c>
      <c r="I166" s="22">
        <f t="shared" si="23"/>
        <v>0</v>
      </c>
      <c r="J166" s="32">
        <f t="shared" si="23"/>
        <v>0.5</v>
      </c>
      <c r="K166" s="32">
        <f t="shared" si="23"/>
        <v>9.7</v>
      </c>
      <c r="L166" s="32">
        <f t="shared" si="23"/>
        <v>10.2</v>
      </c>
      <c r="M166" s="36">
        <f t="shared" si="23"/>
        <v>0</v>
      </c>
      <c r="N166" s="37">
        <f t="shared" si="23"/>
        <v>0</v>
      </c>
    </row>
    <row r="167" spans="1:14" ht="38.25">
      <c r="A167" s="67" t="s">
        <v>164</v>
      </c>
      <c r="B167" s="24" t="s">
        <v>0</v>
      </c>
      <c r="C167" s="24" t="s">
        <v>12</v>
      </c>
      <c r="D167" s="24" t="s">
        <v>24</v>
      </c>
      <c r="E167" s="24" t="s">
        <v>211</v>
      </c>
      <c r="F167" s="24" t="s">
        <v>166</v>
      </c>
      <c r="G167" s="22"/>
      <c r="H167" s="31"/>
      <c r="I167" s="22"/>
      <c r="J167" s="32">
        <v>0.5</v>
      </c>
      <c r="K167" s="32">
        <f>9.7</f>
        <v>9.7</v>
      </c>
      <c r="L167" s="32">
        <f>SUM(J167:K167)</f>
        <v>10.2</v>
      </c>
      <c r="M167" s="36"/>
      <c r="N167" s="34"/>
    </row>
    <row r="168" spans="1:14" ht="76.5">
      <c r="A168" s="87" t="s">
        <v>224</v>
      </c>
      <c r="B168" s="74" t="s">
        <v>0</v>
      </c>
      <c r="C168" s="74" t="s">
        <v>12</v>
      </c>
      <c r="D168" s="74" t="s">
        <v>24</v>
      </c>
      <c r="E168" s="74" t="s">
        <v>225</v>
      </c>
      <c r="F168" s="24"/>
      <c r="G168" s="38"/>
      <c r="H168" s="31"/>
      <c r="I168" s="38"/>
      <c r="J168" s="32">
        <f>J169</f>
        <v>187.1</v>
      </c>
      <c r="K168" s="32">
        <f>K169</f>
        <v>0</v>
      </c>
      <c r="L168" s="32">
        <f>L169</f>
        <v>187.1</v>
      </c>
      <c r="M168" s="33">
        <f>M169</f>
        <v>0</v>
      </c>
      <c r="N168" s="65">
        <f>N169</f>
        <v>0</v>
      </c>
    </row>
    <row r="169" spans="1:14" ht="25.5">
      <c r="A169" s="67" t="s">
        <v>170</v>
      </c>
      <c r="B169" s="74" t="s">
        <v>0</v>
      </c>
      <c r="C169" s="74" t="s">
        <v>12</v>
      </c>
      <c r="D169" s="74" t="s">
        <v>24</v>
      </c>
      <c r="E169" s="74" t="s">
        <v>225</v>
      </c>
      <c r="F169" s="24" t="s">
        <v>171</v>
      </c>
      <c r="G169" s="38"/>
      <c r="H169" s="31"/>
      <c r="I169" s="38"/>
      <c r="J169" s="32">
        <v>187.1</v>
      </c>
      <c r="K169" s="32"/>
      <c r="L169" s="32">
        <f>J169+K169</f>
        <v>187.1</v>
      </c>
      <c r="M169" s="33"/>
      <c r="N169" s="34"/>
    </row>
    <row r="170" spans="1:15" s="148" customFormat="1" ht="14.25" customHeight="1">
      <c r="A170" s="84" t="s">
        <v>27</v>
      </c>
      <c r="B170" s="30" t="s">
        <v>0</v>
      </c>
      <c r="C170" s="30" t="s">
        <v>13</v>
      </c>
      <c r="D170" s="30" t="s">
        <v>227</v>
      </c>
      <c r="E170" s="30"/>
      <c r="F170" s="30"/>
      <c r="G170" s="22">
        <f aca="true" t="shared" si="24" ref="G170:N172">G171</f>
        <v>-1000</v>
      </c>
      <c r="H170" s="22">
        <f t="shared" si="24"/>
        <v>1548</v>
      </c>
      <c r="I170" s="22">
        <f t="shared" si="24"/>
        <v>0</v>
      </c>
      <c r="J170" s="25">
        <f t="shared" si="24"/>
        <v>543.1</v>
      </c>
      <c r="K170" s="25">
        <f t="shared" si="24"/>
        <v>0</v>
      </c>
      <c r="L170" s="25">
        <f t="shared" si="24"/>
        <v>543.1</v>
      </c>
      <c r="M170" s="47" t="e">
        <f t="shared" si="24"/>
        <v>#REF!</v>
      </c>
      <c r="N170" s="64" t="e">
        <f t="shared" si="24"/>
        <v>#REF!</v>
      </c>
      <c r="O170" s="180">
        <f>L170+L187+L189+L192+L210+L213+L217+L221+L233+L236+L239</f>
        <v>42936.51</v>
      </c>
    </row>
    <row r="171" spans="1:14" ht="26.25" customHeight="1">
      <c r="A171" s="35" t="s">
        <v>228</v>
      </c>
      <c r="B171" s="24" t="s">
        <v>0</v>
      </c>
      <c r="C171" s="24" t="s">
        <v>13</v>
      </c>
      <c r="D171" s="24" t="s">
        <v>14</v>
      </c>
      <c r="E171" s="24"/>
      <c r="F171" s="24"/>
      <c r="G171" s="38">
        <f t="shared" si="24"/>
        <v>-1000</v>
      </c>
      <c r="H171" s="38">
        <f t="shared" si="24"/>
        <v>1548</v>
      </c>
      <c r="I171" s="38">
        <f t="shared" si="24"/>
        <v>0</v>
      </c>
      <c r="J171" s="32">
        <f t="shared" si="24"/>
        <v>543.1</v>
      </c>
      <c r="K171" s="32">
        <f t="shared" si="24"/>
        <v>0</v>
      </c>
      <c r="L171" s="32">
        <f t="shared" si="24"/>
        <v>543.1</v>
      </c>
      <c r="M171" s="33" t="e">
        <f t="shared" si="24"/>
        <v>#REF!</v>
      </c>
      <c r="N171" s="34" t="e">
        <f t="shared" si="24"/>
        <v>#REF!</v>
      </c>
    </row>
    <row r="172" spans="1:14" ht="43.5" customHeight="1">
      <c r="A172" s="35" t="s">
        <v>229</v>
      </c>
      <c r="B172" s="24" t="s">
        <v>0</v>
      </c>
      <c r="C172" s="24" t="s">
        <v>13</v>
      </c>
      <c r="D172" s="24" t="s">
        <v>14</v>
      </c>
      <c r="E172" s="24" t="s">
        <v>230</v>
      </c>
      <c r="F172" s="24"/>
      <c r="G172" s="38">
        <f t="shared" si="24"/>
        <v>-1000</v>
      </c>
      <c r="H172" s="38">
        <f t="shared" si="24"/>
        <v>1548</v>
      </c>
      <c r="I172" s="38">
        <f t="shared" si="24"/>
        <v>0</v>
      </c>
      <c r="J172" s="32">
        <f>J173+J174</f>
        <v>543.1</v>
      </c>
      <c r="K172" s="32">
        <f>K173+K174</f>
        <v>0</v>
      </c>
      <c r="L172" s="32">
        <f>L173+L174</f>
        <v>543.1</v>
      </c>
      <c r="M172" s="34" t="e">
        <f>M173+#REF!</f>
        <v>#REF!</v>
      </c>
      <c r="N172" s="34" t="e">
        <f>N173+#REF!</f>
        <v>#REF!</v>
      </c>
    </row>
    <row r="173" spans="1:14" ht="15" customHeight="1">
      <c r="A173" s="83" t="s">
        <v>231</v>
      </c>
      <c r="B173" s="24" t="s">
        <v>0</v>
      </c>
      <c r="C173" s="24" t="s">
        <v>13</v>
      </c>
      <c r="D173" s="24" t="s">
        <v>14</v>
      </c>
      <c r="E173" s="24" t="s">
        <v>230</v>
      </c>
      <c r="F173" s="24" t="s">
        <v>232</v>
      </c>
      <c r="G173" s="38">
        <v>-1000</v>
      </c>
      <c r="H173" s="31">
        <v>1548</v>
      </c>
      <c r="I173" s="38"/>
      <c r="J173" s="32"/>
      <c r="K173" s="32"/>
      <c r="L173" s="32">
        <f>J173+K173</f>
        <v>0</v>
      </c>
      <c r="M173" s="33"/>
      <c r="N173" s="34">
        <f>L173+M173</f>
        <v>0</v>
      </c>
    </row>
    <row r="174" spans="1:14" ht="15">
      <c r="A174" s="88" t="s">
        <v>226</v>
      </c>
      <c r="B174" s="24" t="s">
        <v>0</v>
      </c>
      <c r="C174" s="24" t="s">
        <v>13</v>
      </c>
      <c r="D174" s="24" t="s">
        <v>14</v>
      </c>
      <c r="E174" s="24" t="s">
        <v>230</v>
      </c>
      <c r="F174" s="24" t="s">
        <v>233</v>
      </c>
      <c r="G174" s="38"/>
      <c r="H174" s="31"/>
      <c r="I174" s="38"/>
      <c r="J174" s="32">
        <v>543.1</v>
      </c>
      <c r="K174" s="32"/>
      <c r="L174" s="32">
        <f>J174+K174</f>
        <v>543.1</v>
      </c>
      <c r="M174" s="90"/>
      <c r="N174" s="89"/>
    </row>
    <row r="175" spans="1:14" ht="26.25">
      <c r="A175" s="82" t="s">
        <v>30</v>
      </c>
      <c r="B175" s="30" t="s">
        <v>0</v>
      </c>
      <c r="C175" s="30" t="s">
        <v>14</v>
      </c>
      <c r="D175" s="24"/>
      <c r="E175" s="24"/>
      <c r="F175" s="24"/>
      <c r="G175" s="22">
        <f aca="true" t="shared" si="25" ref="G175:N175">G176</f>
        <v>0</v>
      </c>
      <c r="H175" s="22">
        <f t="shared" si="25"/>
        <v>526.1</v>
      </c>
      <c r="I175" s="22">
        <f t="shared" si="25"/>
        <v>0</v>
      </c>
      <c r="J175" s="25">
        <f>J176</f>
        <v>200</v>
      </c>
      <c r="K175" s="25">
        <f t="shared" si="25"/>
        <v>-200</v>
      </c>
      <c r="L175" s="25">
        <f>L176</f>
        <v>0</v>
      </c>
      <c r="M175" s="27">
        <f t="shared" si="25"/>
        <v>0</v>
      </c>
      <c r="N175" s="28">
        <f t="shared" si="25"/>
        <v>0</v>
      </c>
    </row>
    <row r="176" spans="1:14" s="148" customFormat="1" ht="14.25">
      <c r="A176" s="82" t="s">
        <v>32</v>
      </c>
      <c r="B176" s="30" t="s">
        <v>0</v>
      </c>
      <c r="C176" s="30" t="s">
        <v>14</v>
      </c>
      <c r="D176" s="30" t="s">
        <v>13</v>
      </c>
      <c r="E176" s="30"/>
      <c r="F176" s="30"/>
      <c r="G176" s="22">
        <f aca="true" t="shared" si="26" ref="G176:M176">G178+G181</f>
        <v>0</v>
      </c>
      <c r="H176" s="22">
        <f t="shared" si="26"/>
        <v>526.1</v>
      </c>
      <c r="I176" s="22">
        <f t="shared" si="26"/>
        <v>0</v>
      </c>
      <c r="J176" s="25">
        <f>J178+J181</f>
        <v>200</v>
      </c>
      <c r="K176" s="25">
        <f t="shared" si="26"/>
        <v>-200</v>
      </c>
      <c r="L176" s="25">
        <f t="shared" si="26"/>
        <v>0</v>
      </c>
      <c r="M176" s="47">
        <f t="shared" si="26"/>
        <v>0</v>
      </c>
      <c r="N176" s="64">
        <f>N178+N181</f>
        <v>0</v>
      </c>
    </row>
    <row r="177" spans="1:14" ht="15">
      <c r="A177" s="83" t="s">
        <v>348</v>
      </c>
      <c r="B177" s="24" t="s">
        <v>0</v>
      </c>
      <c r="C177" s="24" t="s">
        <v>14</v>
      </c>
      <c r="D177" s="24" t="s">
        <v>13</v>
      </c>
      <c r="E177" s="24" t="s">
        <v>277</v>
      </c>
      <c r="F177" s="24"/>
      <c r="G177" s="38"/>
      <c r="H177" s="38"/>
      <c r="I177" s="38"/>
      <c r="J177" s="32">
        <f>J178+J181</f>
        <v>200</v>
      </c>
      <c r="K177" s="32">
        <f>K178+K181</f>
        <v>-200</v>
      </c>
      <c r="L177" s="32">
        <f>L178+L181</f>
        <v>0</v>
      </c>
      <c r="M177" s="33"/>
      <c r="N177" s="34"/>
    </row>
    <row r="178" spans="1:14" ht="38.25">
      <c r="A178" s="91" t="s">
        <v>234</v>
      </c>
      <c r="B178" s="24" t="s">
        <v>0</v>
      </c>
      <c r="C178" s="24" t="s">
        <v>14</v>
      </c>
      <c r="D178" s="24" t="s">
        <v>13</v>
      </c>
      <c r="E178" s="24" t="s">
        <v>235</v>
      </c>
      <c r="F178" s="24"/>
      <c r="G178" s="38">
        <f aca="true" t="shared" si="27" ref="G178:N178">G179</f>
        <v>0</v>
      </c>
      <c r="H178" s="38">
        <f t="shared" si="27"/>
        <v>316.5</v>
      </c>
      <c r="I178" s="38">
        <f t="shared" si="27"/>
        <v>0</v>
      </c>
      <c r="J178" s="32">
        <f>J179+J180</f>
        <v>100</v>
      </c>
      <c r="K178" s="32">
        <f>K179+K180</f>
        <v>-100</v>
      </c>
      <c r="L178" s="32">
        <f>L179+L180</f>
        <v>0</v>
      </c>
      <c r="M178" s="33">
        <f t="shared" si="27"/>
        <v>0</v>
      </c>
      <c r="N178" s="34">
        <f t="shared" si="27"/>
        <v>0</v>
      </c>
    </row>
    <row r="179" spans="1:14" ht="26.25" hidden="1">
      <c r="A179" s="83" t="s">
        <v>110</v>
      </c>
      <c r="B179" s="24" t="s">
        <v>0</v>
      </c>
      <c r="C179" s="24" t="s">
        <v>14</v>
      </c>
      <c r="D179" s="24" t="s">
        <v>13</v>
      </c>
      <c r="E179" s="24" t="s">
        <v>235</v>
      </c>
      <c r="F179" s="24" t="s">
        <v>109</v>
      </c>
      <c r="G179" s="38"/>
      <c r="H179" s="31">
        <v>316.5</v>
      </c>
      <c r="I179" s="38"/>
      <c r="J179" s="32"/>
      <c r="K179" s="32"/>
      <c r="L179" s="32">
        <f>J179+K179</f>
        <v>0</v>
      </c>
      <c r="M179" s="33"/>
      <c r="N179" s="34">
        <f>L179+M179</f>
        <v>0</v>
      </c>
    </row>
    <row r="180" spans="1:14" ht="38.25">
      <c r="A180" s="67" t="s">
        <v>164</v>
      </c>
      <c r="B180" s="24" t="s">
        <v>0</v>
      </c>
      <c r="C180" s="24" t="s">
        <v>14</v>
      </c>
      <c r="D180" s="24" t="s">
        <v>13</v>
      </c>
      <c r="E180" s="24" t="s">
        <v>235</v>
      </c>
      <c r="F180" s="24" t="s">
        <v>166</v>
      </c>
      <c r="G180" s="38"/>
      <c r="H180" s="31"/>
      <c r="I180" s="38"/>
      <c r="J180" s="32">
        <v>100</v>
      </c>
      <c r="K180" s="32">
        <v>-100</v>
      </c>
      <c r="L180" s="32">
        <f>J180+K180</f>
        <v>0</v>
      </c>
      <c r="M180" s="33"/>
      <c r="N180" s="34"/>
    </row>
    <row r="181" spans="1:14" ht="43.5" customHeight="1">
      <c r="A181" s="35" t="s">
        <v>236</v>
      </c>
      <c r="B181" s="24" t="s">
        <v>0</v>
      </c>
      <c r="C181" s="24" t="s">
        <v>14</v>
      </c>
      <c r="D181" s="24" t="s">
        <v>13</v>
      </c>
      <c r="E181" s="24" t="s">
        <v>237</v>
      </c>
      <c r="F181" s="24"/>
      <c r="G181" s="38">
        <f aca="true" t="shared" si="28" ref="G181:N181">G182</f>
        <v>0</v>
      </c>
      <c r="H181" s="38">
        <f t="shared" si="28"/>
        <v>209.6</v>
      </c>
      <c r="I181" s="38">
        <f t="shared" si="28"/>
        <v>0</v>
      </c>
      <c r="J181" s="32">
        <f>J182+J183</f>
        <v>100</v>
      </c>
      <c r="K181" s="32">
        <f>K182+K183</f>
        <v>-100</v>
      </c>
      <c r="L181" s="32">
        <f>L182+L183</f>
        <v>0</v>
      </c>
      <c r="M181" s="33">
        <f t="shared" si="28"/>
        <v>0</v>
      </c>
      <c r="N181" s="34">
        <f t="shared" si="28"/>
        <v>0</v>
      </c>
    </row>
    <row r="182" spans="1:14" ht="26.25" hidden="1">
      <c r="A182" s="83" t="s">
        <v>110</v>
      </c>
      <c r="B182" s="24" t="s">
        <v>0</v>
      </c>
      <c r="C182" s="24" t="s">
        <v>14</v>
      </c>
      <c r="D182" s="24" t="s">
        <v>13</v>
      </c>
      <c r="E182" s="24" t="s">
        <v>237</v>
      </c>
      <c r="F182" s="24" t="s">
        <v>109</v>
      </c>
      <c r="G182" s="38"/>
      <c r="H182" s="31">
        <v>209.6</v>
      </c>
      <c r="I182" s="38"/>
      <c r="J182" s="32"/>
      <c r="K182" s="32"/>
      <c r="L182" s="32">
        <f>J182+K182</f>
        <v>0</v>
      </c>
      <c r="M182" s="41"/>
      <c r="N182" s="42">
        <f>L182+M182</f>
        <v>0</v>
      </c>
    </row>
    <row r="183" spans="1:14" ht="39" thickBot="1">
      <c r="A183" s="67" t="s">
        <v>164</v>
      </c>
      <c r="B183" s="24" t="s">
        <v>0</v>
      </c>
      <c r="C183" s="24" t="s">
        <v>14</v>
      </c>
      <c r="D183" s="24" t="s">
        <v>13</v>
      </c>
      <c r="E183" s="24" t="s">
        <v>237</v>
      </c>
      <c r="F183" s="24" t="s">
        <v>166</v>
      </c>
      <c r="G183" s="38"/>
      <c r="H183" s="31"/>
      <c r="I183" s="38"/>
      <c r="J183" s="32">
        <v>100</v>
      </c>
      <c r="K183" s="32">
        <v>-100</v>
      </c>
      <c r="L183" s="32">
        <f>J183+K183</f>
        <v>0</v>
      </c>
      <c r="M183" s="54"/>
      <c r="N183" s="76"/>
    </row>
    <row r="184" spans="1:14" ht="15">
      <c r="A184" s="82" t="s">
        <v>36</v>
      </c>
      <c r="B184" s="30" t="s">
        <v>0</v>
      </c>
      <c r="C184" s="30" t="s">
        <v>15</v>
      </c>
      <c r="D184" s="30"/>
      <c r="E184" s="30"/>
      <c r="F184" s="30"/>
      <c r="G184" s="22" t="e">
        <f>#REF!+G190</f>
        <v>#REF!</v>
      </c>
      <c r="H184" s="22" t="e">
        <f>#REF!+H190</f>
        <v>#REF!</v>
      </c>
      <c r="I184" s="22" t="e">
        <f>#REF!+I190</f>
        <v>#REF!</v>
      </c>
      <c r="J184" s="25">
        <f>J190+J185</f>
        <v>400</v>
      </c>
      <c r="K184" s="25">
        <f>K190+K185</f>
        <v>5581.414000000001</v>
      </c>
      <c r="L184" s="25">
        <f>L190+L185</f>
        <v>5981.414000000001</v>
      </c>
      <c r="M184" s="27" t="e">
        <f>#REF!+M190</f>
        <v>#REF!</v>
      </c>
      <c r="N184" s="28" t="e">
        <f>#REF!+N190</f>
        <v>#REF!</v>
      </c>
    </row>
    <row r="185" spans="1:14" ht="15">
      <c r="A185" s="82" t="s">
        <v>512</v>
      </c>
      <c r="B185" s="30" t="s">
        <v>0</v>
      </c>
      <c r="C185" s="30" t="s">
        <v>15</v>
      </c>
      <c r="D185" s="30" t="s">
        <v>34</v>
      </c>
      <c r="E185" s="30"/>
      <c r="F185" s="30"/>
      <c r="G185" s="22"/>
      <c r="H185" s="22"/>
      <c r="I185" s="22"/>
      <c r="J185" s="25">
        <f>J186+J188</f>
        <v>0</v>
      </c>
      <c r="K185" s="25">
        <f>K186+K188</f>
        <v>3949.65</v>
      </c>
      <c r="L185" s="25">
        <f>L186+L188</f>
        <v>3949.65</v>
      </c>
      <c r="M185" s="27"/>
      <c r="N185" s="28"/>
    </row>
    <row r="186" spans="1:14" ht="51.75">
      <c r="A186" s="40" t="s">
        <v>482</v>
      </c>
      <c r="B186" s="24" t="s">
        <v>0</v>
      </c>
      <c r="C186" s="24" t="s">
        <v>15</v>
      </c>
      <c r="D186" s="24" t="s">
        <v>34</v>
      </c>
      <c r="E186" s="24" t="s">
        <v>483</v>
      </c>
      <c r="F186" s="24"/>
      <c r="G186" s="22"/>
      <c r="H186" s="22"/>
      <c r="I186" s="22"/>
      <c r="J186" s="32">
        <f>J187</f>
        <v>0</v>
      </c>
      <c r="K186" s="32">
        <f>K187</f>
        <v>70</v>
      </c>
      <c r="L186" s="32">
        <f>L187</f>
        <v>70</v>
      </c>
      <c r="M186" s="27"/>
      <c r="N186" s="28"/>
    </row>
    <row r="187" spans="1:14" ht="15">
      <c r="A187" s="40" t="s">
        <v>485</v>
      </c>
      <c r="B187" s="24" t="s">
        <v>0</v>
      </c>
      <c r="C187" s="24" t="s">
        <v>15</v>
      </c>
      <c r="D187" s="24" t="s">
        <v>34</v>
      </c>
      <c r="E187" s="24" t="s">
        <v>483</v>
      </c>
      <c r="F187" s="24" t="s">
        <v>484</v>
      </c>
      <c r="G187" s="22"/>
      <c r="H187" s="22"/>
      <c r="I187" s="22"/>
      <c r="J187" s="32"/>
      <c r="K187" s="32">
        <v>70</v>
      </c>
      <c r="L187" s="32">
        <f>J187+K187</f>
        <v>70</v>
      </c>
      <c r="M187" s="27"/>
      <c r="N187" s="28"/>
    </row>
    <row r="188" spans="1:14" ht="64.5">
      <c r="A188" s="83" t="s">
        <v>514</v>
      </c>
      <c r="B188" s="24" t="s">
        <v>0</v>
      </c>
      <c r="C188" s="24" t="s">
        <v>15</v>
      </c>
      <c r="D188" s="24" t="s">
        <v>34</v>
      </c>
      <c r="E188" s="24" t="s">
        <v>513</v>
      </c>
      <c r="F188" s="24"/>
      <c r="G188" s="22"/>
      <c r="H188" s="22"/>
      <c r="I188" s="22"/>
      <c r="J188" s="32">
        <f>J189</f>
        <v>0</v>
      </c>
      <c r="K188" s="32">
        <f>K189</f>
        <v>3879.65</v>
      </c>
      <c r="L188" s="32">
        <f>L189</f>
        <v>3879.65</v>
      </c>
      <c r="M188" s="27"/>
      <c r="N188" s="28"/>
    </row>
    <row r="189" spans="1:14" ht="15">
      <c r="A189" s="40" t="s">
        <v>485</v>
      </c>
      <c r="B189" s="24" t="s">
        <v>0</v>
      </c>
      <c r="C189" s="24" t="s">
        <v>15</v>
      </c>
      <c r="D189" s="24" t="s">
        <v>34</v>
      </c>
      <c r="E189" s="24" t="s">
        <v>513</v>
      </c>
      <c r="F189" s="24" t="s">
        <v>484</v>
      </c>
      <c r="G189" s="22"/>
      <c r="H189" s="22"/>
      <c r="I189" s="22"/>
      <c r="J189" s="32"/>
      <c r="K189" s="32">
        <v>3879.65</v>
      </c>
      <c r="L189" s="32">
        <f>J189+K189</f>
        <v>3879.65</v>
      </c>
      <c r="M189" s="27"/>
      <c r="N189" s="28"/>
    </row>
    <row r="190" spans="1:14" s="148" customFormat="1" ht="25.5">
      <c r="A190" s="84" t="s">
        <v>41</v>
      </c>
      <c r="B190" s="30" t="s">
        <v>0</v>
      </c>
      <c r="C190" s="30" t="s">
        <v>15</v>
      </c>
      <c r="D190" s="30" t="s">
        <v>23</v>
      </c>
      <c r="E190" s="30"/>
      <c r="F190" s="30"/>
      <c r="G190" s="22">
        <f>G197</f>
        <v>0</v>
      </c>
      <c r="H190" s="22">
        <f>H197</f>
        <v>235.5</v>
      </c>
      <c r="I190" s="22">
        <f>I197</f>
        <v>0</v>
      </c>
      <c r="J190" s="25">
        <f>J196+J193+J191</f>
        <v>400</v>
      </c>
      <c r="K190" s="25">
        <f>K196+K193+K191</f>
        <v>1631.7640000000001</v>
      </c>
      <c r="L190" s="25">
        <f>L196+L193+L191</f>
        <v>2031.7640000000001</v>
      </c>
      <c r="M190" s="47">
        <f>M197</f>
        <v>0</v>
      </c>
      <c r="N190" s="64">
        <f>N197</f>
        <v>0</v>
      </c>
    </row>
    <row r="191" spans="1:14" s="148" customFormat="1" ht="51">
      <c r="A191" s="40" t="s">
        <v>482</v>
      </c>
      <c r="B191" s="24" t="s">
        <v>0</v>
      </c>
      <c r="C191" s="24" t="s">
        <v>15</v>
      </c>
      <c r="D191" s="24" t="s">
        <v>23</v>
      </c>
      <c r="E191" s="24" t="s">
        <v>483</v>
      </c>
      <c r="F191" s="24"/>
      <c r="G191" s="22"/>
      <c r="H191" s="22"/>
      <c r="I191" s="22"/>
      <c r="J191" s="32">
        <f>J192</f>
        <v>0</v>
      </c>
      <c r="K191" s="32">
        <f>K192</f>
        <v>700</v>
      </c>
      <c r="L191" s="32">
        <f>L192</f>
        <v>700</v>
      </c>
      <c r="M191" s="243">
        <f>M192</f>
        <v>0</v>
      </c>
      <c r="N191" s="243">
        <f>N192</f>
        <v>0</v>
      </c>
    </row>
    <row r="192" spans="1:14" s="148" customFormat="1" ht="14.25">
      <c r="A192" s="40" t="s">
        <v>485</v>
      </c>
      <c r="B192" s="24" t="s">
        <v>0</v>
      </c>
      <c r="C192" s="24" t="s">
        <v>15</v>
      </c>
      <c r="D192" s="24" t="s">
        <v>23</v>
      </c>
      <c r="E192" s="24" t="s">
        <v>483</v>
      </c>
      <c r="F192" s="24" t="s">
        <v>484</v>
      </c>
      <c r="G192" s="22"/>
      <c r="H192" s="22"/>
      <c r="I192" s="22"/>
      <c r="J192" s="32"/>
      <c r="K192" s="32">
        <v>700</v>
      </c>
      <c r="L192" s="32">
        <f>J192+K192</f>
        <v>700</v>
      </c>
      <c r="M192" s="47"/>
      <c r="N192" s="64"/>
    </row>
    <row r="193" spans="1:14" s="148" customFormat="1" ht="38.25">
      <c r="A193" s="35" t="s">
        <v>511</v>
      </c>
      <c r="B193" s="24" t="s">
        <v>0</v>
      </c>
      <c r="C193" s="24" t="s">
        <v>15</v>
      </c>
      <c r="D193" s="24" t="s">
        <v>23</v>
      </c>
      <c r="E193" s="24" t="s">
        <v>510</v>
      </c>
      <c r="F193" s="24"/>
      <c r="G193" s="22"/>
      <c r="H193" s="22"/>
      <c r="I193" s="22"/>
      <c r="J193" s="32">
        <f>J194+J195</f>
        <v>0</v>
      </c>
      <c r="K193" s="32">
        <f>K194+K195</f>
        <v>931.764</v>
      </c>
      <c r="L193" s="32">
        <f>L194+L195</f>
        <v>931.764</v>
      </c>
      <c r="M193" s="47"/>
      <c r="N193" s="64"/>
    </row>
    <row r="194" spans="1:14" s="148" customFormat="1" ht="51">
      <c r="A194" s="67" t="s">
        <v>241</v>
      </c>
      <c r="B194" s="24" t="s">
        <v>0</v>
      </c>
      <c r="C194" s="24" t="s">
        <v>15</v>
      </c>
      <c r="D194" s="24" t="s">
        <v>23</v>
      </c>
      <c r="E194" s="24" t="s">
        <v>510</v>
      </c>
      <c r="F194" s="24" t="s">
        <v>242</v>
      </c>
      <c r="G194" s="22"/>
      <c r="H194" s="22"/>
      <c r="I194" s="22"/>
      <c r="J194" s="32"/>
      <c r="K194" s="32">
        <v>931.764</v>
      </c>
      <c r="L194" s="32">
        <f>J194+K194</f>
        <v>931.764</v>
      </c>
      <c r="M194" s="47"/>
      <c r="N194" s="64"/>
    </row>
    <row r="195" spans="1:14" s="148" customFormat="1" ht="51" hidden="1">
      <c r="A195" s="67" t="s">
        <v>241</v>
      </c>
      <c r="B195" s="24" t="s">
        <v>0</v>
      </c>
      <c r="C195" s="24" t="s">
        <v>15</v>
      </c>
      <c r="D195" s="24" t="s">
        <v>23</v>
      </c>
      <c r="E195" s="24" t="s">
        <v>240</v>
      </c>
      <c r="F195" s="24" t="s">
        <v>242</v>
      </c>
      <c r="G195" s="22"/>
      <c r="H195" s="22"/>
      <c r="I195" s="22"/>
      <c r="J195" s="32"/>
      <c r="K195" s="32"/>
      <c r="L195" s="32">
        <f>J195+K195</f>
        <v>0</v>
      </c>
      <c r="M195" s="47"/>
      <c r="N195" s="64"/>
    </row>
    <row r="196" spans="1:14" s="148" customFormat="1" ht="14.25">
      <c r="A196" s="67" t="s">
        <v>348</v>
      </c>
      <c r="B196" s="24" t="s">
        <v>0</v>
      </c>
      <c r="C196" s="24" t="s">
        <v>15</v>
      </c>
      <c r="D196" s="24" t="s">
        <v>23</v>
      </c>
      <c r="E196" s="24" t="s">
        <v>277</v>
      </c>
      <c r="F196" s="24"/>
      <c r="G196" s="22"/>
      <c r="H196" s="22"/>
      <c r="I196" s="22"/>
      <c r="J196" s="32">
        <f>J197</f>
        <v>400</v>
      </c>
      <c r="K196" s="32">
        <f>K197</f>
        <v>0</v>
      </c>
      <c r="L196" s="32">
        <f>L197</f>
        <v>400</v>
      </c>
      <c r="M196" s="47"/>
      <c r="N196" s="64"/>
    </row>
    <row r="197" spans="1:14" ht="39">
      <c r="A197" s="92" t="s">
        <v>243</v>
      </c>
      <c r="B197" s="24" t="s">
        <v>0</v>
      </c>
      <c r="C197" s="24" t="s">
        <v>15</v>
      </c>
      <c r="D197" s="24" t="s">
        <v>23</v>
      </c>
      <c r="E197" s="24" t="s">
        <v>244</v>
      </c>
      <c r="F197" s="24"/>
      <c r="G197" s="38">
        <f aca="true" t="shared" si="29" ref="G197:N197">G198</f>
        <v>0</v>
      </c>
      <c r="H197" s="38">
        <f t="shared" si="29"/>
        <v>235.5</v>
      </c>
      <c r="I197" s="38">
        <f t="shared" si="29"/>
        <v>0</v>
      </c>
      <c r="J197" s="32">
        <f>J198+J205+J206</f>
        <v>400</v>
      </c>
      <c r="K197" s="32">
        <f>K198+K205+K206</f>
        <v>0</v>
      </c>
      <c r="L197" s="32">
        <f>L198+L205+L206</f>
        <v>400</v>
      </c>
      <c r="M197" s="33">
        <f t="shared" si="29"/>
        <v>0</v>
      </c>
      <c r="N197" s="34">
        <f t="shared" si="29"/>
        <v>0</v>
      </c>
    </row>
    <row r="198" spans="1:14" ht="26.25" hidden="1">
      <c r="A198" s="83" t="s">
        <v>110</v>
      </c>
      <c r="B198" s="24" t="s">
        <v>0</v>
      </c>
      <c r="C198" s="24" t="s">
        <v>15</v>
      </c>
      <c r="D198" s="24" t="s">
        <v>23</v>
      </c>
      <c r="E198" s="24" t="s">
        <v>244</v>
      </c>
      <c r="F198" s="24" t="s">
        <v>109</v>
      </c>
      <c r="G198" s="38"/>
      <c r="H198" s="31">
        <v>235.5</v>
      </c>
      <c r="I198" s="38"/>
      <c r="J198" s="32"/>
      <c r="K198" s="32"/>
      <c r="L198" s="32">
        <f>J198+K198</f>
        <v>0</v>
      </c>
      <c r="M198" s="33"/>
      <c r="N198" s="34">
        <f>L198+M198</f>
        <v>0</v>
      </c>
    </row>
    <row r="199" spans="1:14" ht="15" customHeight="1" hidden="1">
      <c r="A199" s="35" t="s">
        <v>245</v>
      </c>
      <c r="B199" s="24" t="s">
        <v>0</v>
      </c>
      <c r="C199" s="24" t="s">
        <v>15</v>
      </c>
      <c r="D199" s="24" t="s">
        <v>23</v>
      </c>
      <c r="E199" s="24" t="s">
        <v>244</v>
      </c>
      <c r="F199" s="24"/>
      <c r="G199" s="93"/>
      <c r="H199" s="93">
        <f aca="true" t="shared" si="30" ref="H199:N199">H200</f>
        <v>0</v>
      </c>
      <c r="I199" s="93">
        <f t="shared" si="30"/>
        <v>31353.699999999997</v>
      </c>
      <c r="J199" s="32">
        <f t="shared" si="30"/>
        <v>0</v>
      </c>
      <c r="K199" s="32">
        <f t="shared" si="30"/>
        <v>0</v>
      </c>
      <c r="L199" s="32">
        <f t="shared" si="30"/>
        <v>0</v>
      </c>
      <c r="M199" s="33">
        <f t="shared" si="30"/>
        <v>0</v>
      </c>
      <c r="N199" s="34">
        <f t="shared" si="30"/>
        <v>0</v>
      </c>
    </row>
    <row r="200" spans="1:14" ht="15" customHeight="1" hidden="1">
      <c r="A200" s="35" t="s">
        <v>44</v>
      </c>
      <c r="B200" s="24" t="s">
        <v>0</v>
      </c>
      <c r="C200" s="24" t="s">
        <v>15</v>
      </c>
      <c r="D200" s="24" t="s">
        <v>23</v>
      </c>
      <c r="E200" s="24" t="s">
        <v>244</v>
      </c>
      <c r="F200" s="24"/>
      <c r="G200" s="93"/>
      <c r="H200" s="93">
        <f>H201+H203</f>
        <v>0</v>
      </c>
      <c r="I200" s="93">
        <f>I201+I203</f>
        <v>31353.699999999997</v>
      </c>
      <c r="J200" s="32">
        <f>J203+J201</f>
        <v>0</v>
      </c>
      <c r="K200" s="32">
        <f>K203+K201</f>
        <v>0</v>
      </c>
      <c r="L200" s="32">
        <f>L203+L201</f>
        <v>0</v>
      </c>
      <c r="M200" s="33">
        <f>M203+M201</f>
        <v>0</v>
      </c>
      <c r="N200" s="34">
        <f>N203+N201</f>
        <v>0</v>
      </c>
    </row>
    <row r="201" spans="1:14" ht="75" customHeight="1" hidden="1">
      <c r="A201" s="35" t="s">
        <v>246</v>
      </c>
      <c r="B201" s="24" t="s">
        <v>0</v>
      </c>
      <c r="C201" s="24" t="s">
        <v>15</v>
      </c>
      <c r="D201" s="24" t="s">
        <v>23</v>
      </c>
      <c r="E201" s="24" t="s">
        <v>244</v>
      </c>
      <c r="F201" s="24"/>
      <c r="G201" s="93"/>
      <c r="H201" s="93">
        <f aca="true" t="shared" si="31" ref="H201:N201">H202</f>
        <v>0</v>
      </c>
      <c r="I201" s="93">
        <f t="shared" si="31"/>
        <v>23145.3</v>
      </c>
      <c r="J201" s="32">
        <f t="shared" si="31"/>
        <v>0</v>
      </c>
      <c r="K201" s="32">
        <f t="shared" si="31"/>
        <v>0</v>
      </c>
      <c r="L201" s="32">
        <f t="shared" si="31"/>
        <v>0</v>
      </c>
      <c r="M201" s="33">
        <f t="shared" si="31"/>
        <v>0</v>
      </c>
      <c r="N201" s="34">
        <f t="shared" si="31"/>
        <v>0</v>
      </c>
    </row>
    <row r="202" spans="1:14" ht="75" customHeight="1" hidden="1">
      <c r="A202" s="35" t="s">
        <v>247</v>
      </c>
      <c r="B202" s="24" t="s">
        <v>0</v>
      </c>
      <c r="C202" s="24" t="s">
        <v>15</v>
      </c>
      <c r="D202" s="24" t="s">
        <v>23</v>
      </c>
      <c r="E202" s="24" t="s">
        <v>244</v>
      </c>
      <c r="F202" s="24" t="s">
        <v>239</v>
      </c>
      <c r="G202" s="93"/>
      <c r="H202" s="93"/>
      <c r="I202" s="93">
        <v>23145.3</v>
      </c>
      <c r="J202" s="32"/>
      <c r="K202" s="32"/>
      <c r="L202" s="32">
        <f>J202+K202</f>
        <v>0</v>
      </c>
      <c r="M202" s="33"/>
      <c r="N202" s="34">
        <f>L202+M202</f>
        <v>0</v>
      </c>
    </row>
    <row r="203" spans="1:14" ht="75" customHeight="1" hidden="1">
      <c r="A203" s="35" t="s">
        <v>246</v>
      </c>
      <c r="B203" s="24" t="s">
        <v>0</v>
      </c>
      <c r="C203" s="24" t="s">
        <v>15</v>
      </c>
      <c r="D203" s="24" t="s">
        <v>23</v>
      </c>
      <c r="E203" s="24" t="s">
        <v>244</v>
      </c>
      <c r="F203" s="24"/>
      <c r="G203" s="93"/>
      <c r="H203" s="93">
        <f aca="true" t="shared" si="32" ref="H203:N203">H204</f>
        <v>0</v>
      </c>
      <c r="I203" s="93">
        <f t="shared" si="32"/>
        <v>8208.4</v>
      </c>
      <c r="J203" s="32">
        <f t="shared" si="32"/>
        <v>0</v>
      </c>
      <c r="K203" s="32">
        <f t="shared" si="32"/>
        <v>0</v>
      </c>
      <c r="L203" s="32">
        <f t="shared" si="32"/>
        <v>0</v>
      </c>
      <c r="M203" s="33">
        <f t="shared" si="32"/>
        <v>0</v>
      </c>
      <c r="N203" s="34">
        <f t="shared" si="32"/>
        <v>0</v>
      </c>
    </row>
    <row r="204" spans="1:14" ht="75" customHeight="1" hidden="1">
      <c r="A204" s="35" t="s">
        <v>247</v>
      </c>
      <c r="B204" s="24" t="s">
        <v>0</v>
      </c>
      <c r="C204" s="24" t="s">
        <v>15</v>
      </c>
      <c r="D204" s="24" t="s">
        <v>23</v>
      </c>
      <c r="E204" s="24" t="s">
        <v>244</v>
      </c>
      <c r="F204" s="24" t="s">
        <v>239</v>
      </c>
      <c r="G204" s="93"/>
      <c r="H204" s="93"/>
      <c r="I204" s="93">
        <v>8208.4</v>
      </c>
      <c r="J204" s="32"/>
      <c r="K204" s="32"/>
      <c r="L204" s="32">
        <f>J204+K204</f>
        <v>0</v>
      </c>
      <c r="M204" s="33"/>
      <c r="N204" s="34">
        <f>L204+M204</f>
        <v>0</v>
      </c>
    </row>
    <row r="205" spans="1:14" ht="28.5" customHeight="1">
      <c r="A205" s="67" t="s">
        <v>164</v>
      </c>
      <c r="B205" s="24" t="s">
        <v>0</v>
      </c>
      <c r="C205" s="24" t="s">
        <v>15</v>
      </c>
      <c r="D205" s="24" t="s">
        <v>23</v>
      </c>
      <c r="E205" s="24" t="s">
        <v>244</v>
      </c>
      <c r="F205" s="24" t="s">
        <v>166</v>
      </c>
      <c r="G205" s="93"/>
      <c r="H205" s="93"/>
      <c r="I205" s="93"/>
      <c r="J205" s="32">
        <v>400</v>
      </c>
      <c r="K205" s="32"/>
      <c r="L205" s="32">
        <f>J205+K205</f>
        <v>400</v>
      </c>
      <c r="M205" s="33"/>
      <c r="N205" s="34"/>
    </row>
    <row r="206" spans="1:14" ht="51">
      <c r="A206" s="67" t="s">
        <v>241</v>
      </c>
      <c r="B206" s="24" t="s">
        <v>0</v>
      </c>
      <c r="C206" s="24" t="s">
        <v>15</v>
      </c>
      <c r="D206" s="24" t="s">
        <v>23</v>
      </c>
      <c r="E206" s="24" t="s">
        <v>244</v>
      </c>
      <c r="F206" s="24" t="s">
        <v>242</v>
      </c>
      <c r="G206" s="93"/>
      <c r="H206" s="93"/>
      <c r="I206" s="93"/>
      <c r="J206" s="32"/>
      <c r="K206" s="32"/>
      <c r="L206" s="32">
        <f>J206+K206</f>
        <v>0</v>
      </c>
      <c r="M206" s="33"/>
      <c r="N206" s="34"/>
    </row>
    <row r="207" spans="1:14" s="148" customFormat="1" ht="14.25">
      <c r="A207" s="85" t="s">
        <v>245</v>
      </c>
      <c r="B207" s="30" t="s">
        <v>0</v>
      </c>
      <c r="C207" s="30" t="s">
        <v>17</v>
      </c>
      <c r="D207" s="30"/>
      <c r="E207" s="30"/>
      <c r="F207" s="30"/>
      <c r="G207" s="77"/>
      <c r="H207" s="77"/>
      <c r="I207" s="77"/>
      <c r="J207" s="25">
        <f>J208+J211</f>
        <v>0</v>
      </c>
      <c r="K207" s="25">
        <f>K208+K211</f>
        <v>440</v>
      </c>
      <c r="L207" s="25">
        <f>L208+L211</f>
        <v>440</v>
      </c>
      <c r="M207" s="263"/>
      <c r="N207" s="264"/>
    </row>
    <row r="208" spans="1:14" s="148" customFormat="1" ht="14.25">
      <c r="A208" s="85" t="s">
        <v>45</v>
      </c>
      <c r="B208" s="30" t="s">
        <v>0</v>
      </c>
      <c r="C208" s="30" t="s">
        <v>17</v>
      </c>
      <c r="D208" s="30" t="s">
        <v>13</v>
      </c>
      <c r="E208" s="30"/>
      <c r="F208" s="30"/>
      <c r="G208" s="77"/>
      <c r="H208" s="77"/>
      <c r="I208" s="77"/>
      <c r="J208" s="25">
        <f aca="true" t="shared" si="33" ref="J208:L209">J209</f>
        <v>0</v>
      </c>
      <c r="K208" s="25">
        <f t="shared" si="33"/>
        <v>0</v>
      </c>
      <c r="L208" s="25">
        <f t="shared" si="33"/>
        <v>0</v>
      </c>
      <c r="M208" s="263"/>
      <c r="N208" s="264"/>
    </row>
    <row r="209" spans="1:14" ht="51.75">
      <c r="A209" s="40" t="s">
        <v>482</v>
      </c>
      <c r="B209" s="24" t="s">
        <v>0</v>
      </c>
      <c r="C209" s="24" t="s">
        <v>17</v>
      </c>
      <c r="D209" s="24" t="s">
        <v>13</v>
      </c>
      <c r="E209" s="24" t="s">
        <v>483</v>
      </c>
      <c r="F209" s="24"/>
      <c r="G209" s="93"/>
      <c r="H209" s="93"/>
      <c r="I209" s="93"/>
      <c r="J209" s="32">
        <f t="shared" si="33"/>
        <v>0</v>
      </c>
      <c r="K209" s="32">
        <f t="shared" si="33"/>
        <v>0</v>
      </c>
      <c r="L209" s="32">
        <f t="shared" si="33"/>
        <v>0</v>
      </c>
      <c r="M209" s="58"/>
      <c r="N209" s="94"/>
    </row>
    <row r="210" spans="1:14" ht="15">
      <c r="A210" s="40" t="s">
        <v>485</v>
      </c>
      <c r="B210" s="24" t="s">
        <v>0</v>
      </c>
      <c r="C210" s="24" t="s">
        <v>17</v>
      </c>
      <c r="D210" s="24" t="s">
        <v>13</v>
      </c>
      <c r="E210" s="24" t="s">
        <v>483</v>
      </c>
      <c r="F210" s="24" t="s">
        <v>484</v>
      </c>
      <c r="G210" s="93"/>
      <c r="H210" s="93"/>
      <c r="I210" s="93"/>
      <c r="J210" s="32"/>
      <c r="K210" s="32">
        <f>500-500</f>
        <v>0</v>
      </c>
      <c r="L210" s="32">
        <f>J210+K210</f>
        <v>0</v>
      </c>
      <c r="M210" s="58"/>
      <c r="N210" s="94"/>
    </row>
    <row r="211" spans="1:14" s="148" customFormat="1" ht="14.25">
      <c r="A211" s="85" t="s">
        <v>46</v>
      </c>
      <c r="B211" s="30" t="s">
        <v>0</v>
      </c>
      <c r="C211" s="30" t="s">
        <v>17</v>
      </c>
      <c r="D211" s="30" t="s">
        <v>14</v>
      </c>
      <c r="E211" s="30"/>
      <c r="F211" s="30"/>
      <c r="G211" s="77"/>
      <c r="H211" s="77"/>
      <c r="I211" s="77"/>
      <c r="J211" s="25">
        <f aca="true" t="shared" si="34" ref="J211:L212">J212</f>
        <v>0</v>
      </c>
      <c r="K211" s="25">
        <f t="shared" si="34"/>
        <v>440</v>
      </c>
      <c r="L211" s="25">
        <f t="shared" si="34"/>
        <v>440</v>
      </c>
      <c r="M211" s="263"/>
      <c r="N211" s="264"/>
    </row>
    <row r="212" spans="1:14" ht="51.75">
      <c r="A212" s="40" t="s">
        <v>482</v>
      </c>
      <c r="B212" s="24" t="s">
        <v>0</v>
      </c>
      <c r="C212" s="24" t="s">
        <v>17</v>
      </c>
      <c r="D212" s="24" t="s">
        <v>14</v>
      </c>
      <c r="E212" s="24" t="s">
        <v>483</v>
      </c>
      <c r="F212" s="24"/>
      <c r="G212" s="93"/>
      <c r="H212" s="93"/>
      <c r="I212" s="93"/>
      <c r="J212" s="32">
        <f t="shared" si="34"/>
        <v>0</v>
      </c>
      <c r="K212" s="32">
        <f t="shared" si="34"/>
        <v>440</v>
      </c>
      <c r="L212" s="32">
        <f t="shared" si="34"/>
        <v>440</v>
      </c>
      <c r="M212" s="58"/>
      <c r="N212" s="94"/>
    </row>
    <row r="213" spans="1:14" ht="15">
      <c r="A213" s="40" t="s">
        <v>485</v>
      </c>
      <c r="B213" s="24" t="s">
        <v>0</v>
      </c>
      <c r="C213" s="24" t="s">
        <v>17</v>
      </c>
      <c r="D213" s="24" t="s">
        <v>14</v>
      </c>
      <c r="E213" s="24" t="s">
        <v>483</v>
      </c>
      <c r="F213" s="24" t="s">
        <v>484</v>
      </c>
      <c r="G213" s="93"/>
      <c r="H213" s="93"/>
      <c r="I213" s="93"/>
      <c r="J213" s="32"/>
      <c r="K213" s="32">
        <f>390+50</f>
        <v>440</v>
      </c>
      <c r="L213" s="32">
        <f>J213+K213</f>
        <v>440</v>
      </c>
      <c r="M213" s="58"/>
      <c r="N213" s="94"/>
    </row>
    <row r="214" spans="1:14" s="148" customFormat="1" ht="14.25">
      <c r="A214" s="84" t="s">
        <v>466</v>
      </c>
      <c r="B214" s="30" t="s">
        <v>0</v>
      </c>
      <c r="C214" s="30" t="s">
        <v>40</v>
      </c>
      <c r="D214" s="30"/>
      <c r="E214" s="30"/>
      <c r="F214" s="30"/>
      <c r="G214" s="77"/>
      <c r="H214" s="77"/>
      <c r="I214" s="77"/>
      <c r="J214" s="25">
        <f>J215</f>
        <v>0</v>
      </c>
      <c r="K214" s="25">
        <f aca="true" t="shared" si="35" ref="K214:L216">K215</f>
        <v>513.76</v>
      </c>
      <c r="L214" s="25">
        <f t="shared" si="35"/>
        <v>513.76</v>
      </c>
      <c r="M214" s="263"/>
      <c r="N214" s="264"/>
    </row>
    <row r="215" spans="1:14" s="148" customFormat="1" ht="14.25">
      <c r="A215" s="84" t="s">
        <v>515</v>
      </c>
      <c r="B215" s="30" t="s">
        <v>0</v>
      </c>
      <c r="C215" s="30" t="s">
        <v>40</v>
      </c>
      <c r="D215" s="30" t="s">
        <v>12</v>
      </c>
      <c r="E215" s="30"/>
      <c r="F215" s="30"/>
      <c r="G215" s="77"/>
      <c r="H215" s="77"/>
      <c r="I215" s="77"/>
      <c r="J215" s="25">
        <f>J216</f>
        <v>0</v>
      </c>
      <c r="K215" s="25">
        <f t="shared" si="35"/>
        <v>513.76</v>
      </c>
      <c r="L215" s="25">
        <f t="shared" si="35"/>
        <v>513.76</v>
      </c>
      <c r="M215" s="263"/>
      <c r="N215" s="264"/>
    </row>
    <row r="216" spans="1:14" ht="51.75">
      <c r="A216" s="40" t="s">
        <v>482</v>
      </c>
      <c r="B216" s="24" t="s">
        <v>0</v>
      </c>
      <c r="C216" s="24" t="s">
        <v>40</v>
      </c>
      <c r="D216" s="24" t="s">
        <v>12</v>
      </c>
      <c r="E216" s="24" t="s">
        <v>483</v>
      </c>
      <c r="F216" s="24"/>
      <c r="G216" s="93"/>
      <c r="H216" s="93"/>
      <c r="I216" s="93"/>
      <c r="J216" s="32">
        <f>J217</f>
        <v>0</v>
      </c>
      <c r="K216" s="32">
        <f t="shared" si="35"/>
        <v>513.76</v>
      </c>
      <c r="L216" s="32">
        <f t="shared" si="35"/>
        <v>513.76</v>
      </c>
      <c r="M216" s="58"/>
      <c r="N216" s="94"/>
    </row>
    <row r="217" spans="1:14" ht="15">
      <c r="A217" s="40" t="s">
        <v>485</v>
      </c>
      <c r="B217" s="24" t="s">
        <v>0</v>
      </c>
      <c r="C217" s="24" t="s">
        <v>40</v>
      </c>
      <c r="D217" s="24" t="s">
        <v>12</v>
      </c>
      <c r="E217" s="24" t="s">
        <v>483</v>
      </c>
      <c r="F217" s="24" t="s">
        <v>484</v>
      </c>
      <c r="G217" s="93"/>
      <c r="H217" s="93"/>
      <c r="I217" s="93"/>
      <c r="J217" s="32"/>
      <c r="K217" s="32">
        <v>513.76</v>
      </c>
      <c r="L217" s="32">
        <f>J217+K217</f>
        <v>513.76</v>
      </c>
      <c r="M217" s="58"/>
      <c r="N217" s="94"/>
    </row>
    <row r="218" spans="1:14" s="148" customFormat="1" ht="14.25">
      <c r="A218" s="84" t="s">
        <v>64</v>
      </c>
      <c r="B218" s="30" t="s">
        <v>0</v>
      </c>
      <c r="C218" s="30" t="s">
        <v>22</v>
      </c>
      <c r="D218" s="30"/>
      <c r="E218" s="30"/>
      <c r="F218" s="30"/>
      <c r="G218" s="77"/>
      <c r="H218" s="77"/>
      <c r="I218" s="77"/>
      <c r="J218" s="25">
        <f aca="true" t="shared" si="36" ref="J218:L220">J219</f>
        <v>0</v>
      </c>
      <c r="K218" s="25">
        <f t="shared" si="36"/>
        <v>60</v>
      </c>
      <c r="L218" s="25">
        <f t="shared" si="36"/>
        <v>60</v>
      </c>
      <c r="M218" s="263"/>
      <c r="N218" s="264"/>
    </row>
    <row r="219" spans="1:14" s="148" customFormat="1" ht="14.25">
      <c r="A219" s="84" t="s">
        <v>76</v>
      </c>
      <c r="B219" s="30" t="s">
        <v>0</v>
      </c>
      <c r="C219" s="30" t="s">
        <v>22</v>
      </c>
      <c r="D219" s="30" t="s">
        <v>12</v>
      </c>
      <c r="E219" s="30"/>
      <c r="F219" s="30"/>
      <c r="G219" s="77"/>
      <c r="H219" s="77"/>
      <c r="I219" s="77"/>
      <c r="J219" s="25">
        <f t="shared" si="36"/>
        <v>0</v>
      </c>
      <c r="K219" s="25">
        <f t="shared" si="36"/>
        <v>60</v>
      </c>
      <c r="L219" s="25">
        <f t="shared" si="36"/>
        <v>60</v>
      </c>
      <c r="M219" s="263"/>
      <c r="N219" s="264"/>
    </row>
    <row r="220" spans="1:14" ht="51.75">
      <c r="A220" s="40" t="s">
        <v>482</v>
      </c>
      <c r="B220" s="24" t="s">
        <v>0</v>
      </c>
      <c r="C220" s="24" t="s">
        <v>22</v>
      </c>
      <c r="D220" s="24" t="s">
        <v>12</v>
      </c>
      <c r="E220" s="24" t="s">
        <v>483</v>
      </c>
      <c r="F220" s="24"/>
      <c r="G220" s="93"/>
      <c r="H220" s="93"/>
      <c r="I220" s="93"/>
      <c r="J220" s="32">
        <f t="shared" si="36"/>
        <v>0</v>
      </c>
      <c r="K220" s="32">
        <f t="shared" si="36"/>
        <v>60</v>
      </c>
      <c r="L220" s="32">
        <f t="shared" si="36"/>
        <v>60</v>
      </c>
      <c r="M220" s="58"/>
      <c r="N220" s="94"/>
    </row>
    <row r="221" spans="1:14" ht="15">
      <c r="A221" s="40" t="s">
        <v>485</v>
      </c>
      <c r="B221" s="24" t="s">
        <v>0</v>
      </c>
      <c r="C221" s="24" t="s">
        <v>22</v>
      </c>
      <c r="D221" s="24" t="s">
        <v>12</v>
      </c>
      <c r="E221" s="24" t="s">
        <v>483</v>
      </c>
      <c r="F221" s="24" t="s">
        <v>484</v>
      </c>
      <c r="G221" s="93"/>
      <c r="H221" s="93"/>
      <c r="I221" s="93"/>
      <c r="J221" s="32"/>
      <c r="K221" s="32">
        <v>60</v>
      </c>
      <c r="L221" s="32">
        <f>J221+K221</f>
        <v>60</v>
      </c>
      <c r="M221" s="58"/>
      <c r="N221" s="94"/>
    </row>
    <row r="222" spans="1:14" ht="26.25">
      <c r="A222" s="84" t="s">
        <v>79</v>
      </c>
      <c r="B222" s="30" t="s">
        <v>0</v>
      </c>
      <c r="C222" s="30" t="s">
        <v>24</v>
      </c>
      <c r="D222" s="30"/>
      <c r="E222" s="24"/>
      <c r="F222" s="24"/>
      <c r="G222" s="38" t="e">
        <f>#REF!</f>
        <v>#REF!</v>
      </c>
      <c r="H222" s="31" t="e">
        <f>#REF!+H224</f>
        <v>#REF!</v>
      </c>
      <c r="I222" s="31" t="e">
        <f>#REF!+I224</f>
        <v>#REF!</v>
      </c>
      <c r="J222" s="25">
        <f>J224</f>
        <v>142.2</v>
      </c>
      <c r="K222" s="25">
        <f>K224</f>
        <v>136.9</v>
      </c>
      <c r="L222" s="25">
        <f>L224</f>
        <v>279.1</v>
      </c>
      <c r="M222" s="58"/>
      <c r="N222" s="94"/>
    </row>
    <row r="223" spans="1:14" ht="27.75" customHeight="1">
      <c r="A223" s="84" t="s">
        <v>81</v>
      </c>
      <c r="B223" s="30" t="s">
        <v>0</v>
      </c>
      <c r="C223" s="30" t="s">
        <v>24</v>
      </c>
      <c r="D223" s="30" t="s">
        <v>12</v>
      </c>
      <c r="E223" s="24"/>
      <c r="F223" s="24"/>
      <c r="G223" s="38"/>
      <c r="H223" s="31"/>
      <c r="I223" s="31"/>
      <c r="J223" s="25">
        <f aca="true" t="shared" si="37" ref="J223:L224">J224</f>
        <v>142.2</v>
      </c>
      <c r="K223" s="25">
        <f t="shared" si="37"/>
        <v>136.9</v>
      </c>
      <c r="L223" s="25">
        <f t="shared" si="37"/>
        <v>279.1</v>
      </c>
      <c r="M223" s="58"/>
      <c r="N223" s="94"/>
    </row>
    <row r="224" spans="1:14" ht="26.25" customHeight="1">
      <c r="A224" s="40" t="s">
        <v>215</v>
      </c>
      <c r="B224" s="24" t="s">
        <v>0</v>
      </c>
      <c r="C224" s="24" t="s">
        <v>24</v>
      </c>
      <c r="D224" s="24" t="s">
        <v>12</v>
      </c>
      <c r="E224" s="24" t="s">
        <v>254</v>
      </c>
      <c r="F224" s="24"/>
      <c r="G224" s="38" t="e">
        <f>#REF!</f>
        <v>#REF!</v>
      </c>
      <c r="H224" s="31" t="e">
        <f>#REF!+H225</f>
        <v>#REF!</v>
      </c>
      <c r="I224" s="31" t="e">
        <f>#REF!+I225</f>
        <v>#REF!</v>
      </c>
      <c r="J224" s="32">
        <f t="shared" si="37"/>
        <v>142.2</v>
      </c>
      <c r="K224" s="32">
        <f t="shared" si="37"/>
        <v>136.9</v>
      </c>
      <c r="L224" s="32">
        <f t="shared" si="37"/>
        <v>279.1</v>
      </c>
      <c r="M224" s="90" t="e">
        <f>#REF!+M225</f>
        <v>#REF!</v>
      </c>
      <c r="N224" s="39" t="e">
        <f>#REF!+N225</f>
        <v>#REF!</v>
      </c>
    </row>
    <row r="225" spans="1:14" ht="29.25" customHeight="1">
      <c r="A225" s="40" t="s">
        <v>216</v>
      </c>
      <c r="B225" s="24" t="s">
        <v>0</v>
      </c>
      <c r="C225" s="24" t="s">
        <v>24</v>
      </c>
      <c r="D225" s="24" t="s">
        <v>12</v>
      </c>
      <c r="E225" s="24" t="s">
        <v>255</v>
      </c>
      <c r="F225" s="24"/>
      <c r="G225" s="38"/>
      <c r="H225" s="31">
        <f aca="true" t="shared" si="38" ref="H225:N225">H226</f>
        <v>0</v>
      </c>
      <c r="I225" s="31">
        <f t="shared" si="38"/>
        <v>0</v>
      </c>
      <c r="J225" s="32">
        <f>J226+J227</f>
        <v>142.2</v>
      </c>
      <c r="K225" s="32">
        <f>K226+K227</f>
        <v>136.9</v>
      </c>
      <c r="L225" s="32">
        <f>L226+L227</f>
        <v>279.1</v>
      </c>
      <c r="M225" s="33">
        <f t="shared" si="38"/>
        <v>0</v>
      </c>
      <c r="N225" s="39">
        <f t="shared" si="38"/>
        <v>0</v>
      </c>
    </row>
    <row r="226" spans="1:14" ht="15.75" customHeight="1" hidden="1">
      <c r="A226" s="40" t="s">
        <v>217</v>
      </c>
      <c r="B226" s="24" t="s">
        <v>0</v>
      </c>
      <c r="C226" s="24" t="s">
        <v>24</v>
      </c>
      <c r="D226" s="24" t="s">
        <v>12</v>
      </c>
      <c r="E226" s="24" t="s">
        <v>255</v>
      </c>
      <c r="F226" s="24" t="s">
        <v>218</v>
      </c>
      <c r="G226" s="38"/>
      <c r="H226" s="31"/>
      <c r="I226" s="38"/>
      <c r="J226" s="32"/>
      <c r="K226" s="32"/>
      <c r="L226" s="32">
        <f>J226+K226</f>
        <v>0</v>
      </c>
      <c r="M226" s="33"/>
      <c r="N226" s="34">
        <f>L226+M226</f>
        <v>0</v>
      </c>
    </row>
    <row r="227" spans="1:15" ht="15.75" customHeight="1">
      <c r="A227" s="67" t="s">
        <v>256</v>
      </c>
      <c r="B227" s="24" t="s">
        <v>0</v>
      </c>
      <c r="C227" s="24" t="s">
        <v>24</v>
      </c>
      <c r="D227" s="24" t="s">
        <v>12</v>
      </c>
      <c r="E227" s="24" t="s">
        <v>255</v>
      </c>
      <c r="F227" s="24" t="s">
        <v>257</v>
      </c>
      <c r="G227" s="38"/>
      <c r="H227" s="31"/>
      <c r="I227" s="38"/>
      <c r="J227" s="32">
        <v>142.2</v>
      </c>
      <c r="K227" s="32">
        <f>136.9</f>
        <v>136.9</v>
      </c>
      <c r="L227" s="32">
        <f>J227+K227</f>
        <v>279.1</v>
      </c>
      <c r="M227" s="33"/>
      <c r="N227" s="39"/>
      <c r="O227" s="20">
        <v>7.22</v>
      </c>
    </row>
    <row r="228" spans="1:14" ht="39">
      <c r="A228" s="84" t="s">
        <v>258</v>
      </c>
      <c r="B228" s="30" t="s">
        <v>0</v>
      </c>
      <c r="C228" s="30" t="s">
        <v>26</v>
      </c>
      <c r="D228" s="30" t="s">
        <v>227</v>
      </c>
      <c r="E228" s="30"/>
      <c r="F228" s="30"/>
      <c r="G228" s="22"/>
      <c r="H228" s="26"/>
      <c r="I228" s="22"/>
      <c r="J228" s="25">
        <f>J229+J237</f>
        <v>35602.1</v>
      </c>
      <c r="K228" s="25">
        <f>K229+K237</f>
        <v>1127.9</v>
      </c>
      <c r="L228" s="25">
        <f>L229+L237</f>
        <v>36730</v>
      </c>
      <c r="M228" s="33"/>
      <c r="N228" s="39"/>
    </row>
    <row r="229" spans="1:14" ht="39">
      <c r="A229" s="84" t="s">
        <v>259</v>
      </c>
      <c r="B229" s="30" t="s">
        <v>0</v>
      </c>
      <c r="C229" s="30" t="s">
        <v>26</v>
      </c>
      <c r="D229" s="30" t="s">
        <v>12</v>
      </c>
      <c r="E229" s="30"/>
      <c r="F229" s="30"/>
      <c r="G229" s="22"/>
      <c r="H229" s="26"/>
      <c r="I229" s="22"/>
      <c r="J229" s="25">
        <f>J230</f>
        <v>30877.1</v>
      </c>
      <c r="K229" s="25">
        <f>K230</f>
        <v>0</v>
      </c>
      <c r="L229" s="25">
        <f>L230</f>
        <v>30877.1</v>
      </c>
      <c r="M229" s="33"/>
      <c r="N229" s="39"/>
    </row>
    <row r="230" spans="1:14" ht="18" customHeight="1">
      <c r="A230" s="35" t="s">
        <v>260</v>
      </c>
      <c r="B230" s="24" t="s">
        <v>0</v>
      </c>
      <c r="C230" s="24" t="s">
        <v>26</v>
      </c>
      <c r="D230" s="24" t="s">
        <v>12</v>
      </c>
      <c r="E230" s="24" t="s">
        <v>261</v>
      </c>
      <c r="F230" s="24"/>
      <c r="G230" s="38"/>
      <c r="H230" s="31"/>
      <c r="I230" s="38"/>
      <c r="J230" s="32">
        <f>J231+J234</f>
        <v>30877.1</v>
      </c>
      <c r="K230" s="32">
        <f>K231+K234</f>
        <v>0</v>
      </c>
      <c r="L230" s="32">
        <f>J230+K230</f>
        <v>30877.1</v>
      </c>
      <c r="M230" s="33"/>
      <c r="N230" s="39"/>
    </row>
    <row r="231" spans="1:14" ht="38.25" customHeight="1">
      <c r="A231" s="35" t="s">
        <v>262</v>
      </c>
      <c r="B231" s="24" t="s">
        <v>0</v>
      </c>
      <c r="C231" s="24" t="s">
        <v>26</v>
      </c>
      <c r="D231" s="24" t="s">
        <v>12</v>
      </c>
      <c r="E231" s="24" t="s">
        <v>251</v>
      </c>
      <c r="F231" s="24"/>
      <c r="G231" s="38"/>
      <c r="H231" s="31"/>
      <c r="I231" s="38"/>
      <c r="J231" s="32">
        <f>J232+J233</f>
        <v>9883.1</v>
      </c>
      <c r="K231" s="32">
        <f>K232+K233</f>
        <v>0</v>
      </c>
      <c r="L231" s="32">
        <f>L232+L233</f>
        <v>9883.1</v>
      </c>
      <c r="M231" s="33"/>
      <c r="N231" s="39"/>
    </row>
    <row r="232" spans="1:14" ht="14.25" customHeight="1" hidden="1">
      <c r="A232" s="35" t="s">
        <v>263</v>
      </c>
      <c r="B232" s="24" t="s">
        <v>0</v>
      </c>
      <c r="C232" s="24" t="s">
        <v>26</v>
      </c>
      <c r="D232" s="24" t="s">
        <v>12</v>
      </c>
      <c r="E232" s="24" t="s">
        <v>251</v>
      </c>
      <c r="F232" s="24" t="s">
        <v>252</v>
      </c>
      <c r="G232" s="38"/>
      <c r="H232" s="31"/>
      <c r="I232" s="38"/>
      <c r="J232" s="32"/>
      <c r="K232" s="32"/>
      <c r="L232" s="32">
        <f>J232+K232</f>
        <v>0</v>
      </c>
      <c r="M232" s="33"/>
      <c r="N232" s="34"/>
    </row>
    <row r="233" spans="1:14" ht="43.5" customHeight="1">
      <c r="A233" s="67" t="s">
        <v>264</v>
      </c>
      <c r="B233" s="24" t="s">
        <v>0</v>
      </c>
      <c r="C233" s="24" t="s">
        <v>26</v>
      </c>
      <c r="D233" s="24" t="s">
        <v>12</v>
      </c>
      <c r="E233" s="24" t="s">
        <v>251</v>
      </c>
      <c r="F233" s="24" t="s">
        <v>265</v>
      </c>
      <c r="G233" s="38"/>
      <c r="H233" s="31"/>
      <c r="I233" s="38"/>
      <c r="J233" s="32">
        <v>9883.1</v>
      </c>
      <c r="K233" s="32"/>
      <c r="L233" s="32">
        <f>J233+K233</f>
        <v>9883.1</v>
      </c>
      <c r="M233" s="33"/>
      <c r="N233" s="34"/>
    </row>
    <row r="234" spans="1:14" ht="36.75" customHeight="1">
      <c r="A234" s="35" t="s">
        <v>266</v>
      </c>
      <c r="B234" s="24" t="s">
        <v>0</v>
      </c>
      <c r="C234" s="24" t="s">
        <v>26</v>
      </c>
      <c r="D234" s="24" t="s">
        <v>12</v>
      </c>
      <c r="E234" s="24" t="s">
        <v>253</v>
      </c>
      <c r="F234" s="24"/>
      <c r="G234" s="38"/>
      <c r="H234" s="31"/>
      <c r="I234" s="38"/>
      <c r="J234" s="32">
        <f>J235+J236</f>
        <v>20994</v>
      </c>
      <c r="K234" s="32">
        <f>K235+K236</f>
        <v>0</v>
      </c>
      <c r="L234" s="32">
        <f>L235+L236</f>
        <v>20994</v>
      </c>
      <c r="M234" s="33"/>
      <c r="N234" s="34"/>
    </row>
    <row r="235" spans="1:17" ht="16.5" customHeight="1" hidden="1">
      <c r="A235" s="35" t="s">
        <v>263</v>
      </c>
      <c r="B235" s="24" t="s">
        <v>0</v>
      </c>
      <c r="C235" s="24" t="s">
        <v>26</v>
      </c>
      <c r="D235" s="24" t="s">
        <v>12</v>
      </c>
      <c r="E235" s="24" t="s">
        <v>253</v>
      </c>
      <c r="F235" s="24" t="s">
        <v>252</v>
      </c>
      <c r="G235" s="38"/>
      <c r="H235" s="31"/>
      <c r="I235" s="38"/>
      <c r="J235" s="32"/>
      <c r="K235" s="32"/>
      <c r="L235" s="32">
        <f>J235+K235</f>
        <v>0</v>
      </c>
      <c r="M235" s="33"/>
      <c r="N235" s="34"/>
      <c r="O235" s="20">
        <v>17873.26</v>
      </c>
      <c r="Q235" s="96">
        <f>L235-O235</f>
        <v>-17873.26</v>
      </c>
    </row>
    <row r="236" spans="1:17" ht="41.25" customHeight="1">
      <c r="A236" s="67" t="s">
        <v>264</v>
      </c>
      <c r="B236" s="24" t="s">
        <v>0</v>
      </c>
      <c r="C236" s="24" t="s">
        <v>26</v>
      </c>
      <c r="D236" s="24" t="s">
        <v>12</v>
      </c>
      <c r="E236" s="24" t="s">
        <v>253</v>
      </c>
      <c r="F236" s="24" t="s">
        <v>265</v>
      </c>
      <c r="G236" s="38"/>
      <c r="H236" s="31"/>
      <c r="I236" s="38"/>
      <c r="J236" s="32">
        <v>20994</v>
      </c>
      <c r="K236" s="32"/>
      <c r="L236" s="32">
        <f>J236+K236</f>
        <v>20994</v>
      </c>
      <c r="M236" s="33"/>
      <c r="N236" s="34"/>
      <c r="Q236" s="96"/>
    </row>
    <row r="237" spans="1:14" ht="56.25" customHeight="1">
      <c r="A237" s="84" t="s">
        <v>85</v>
      </c>
      <c r="B237" s="30" t="s">
        <v>0</v>
      </c>
      <c r="C237" s="30" t="s">
        <v>26</v>
      </c>
      <c r="D237" s="30" t="s">
        <v>14</v>
      </c>
      <c r="E237" s="30"/>
      <c r="F237" s="30"/>
      <c r="G237" s="22"/>
      <c r="H237" s="26"/>
      <c r="I237" s="22"/>
      <c r="J237" s="25">
        <f aca="true" t="shared" si="39" ref="J237:L238">J238</f>
        <v>4725</v>
      </c>
      <c r="K237" s="25">
        <f t="shared" si="39"/>
        <v>1127.9</v>
      </c>
      <c r="L237" s="25">
        <f t="shared" si="39"/>
        <v>5852.9</v>
      </c>
      <c r="M237" s="33"/>
      <c r="N237" s="34"/>
    </row>
    <row r="238" spans="1:14" ht="51.75" customHeight="1">
      <c r="A238" s="40" t="s">
        <v>482</v>
      </c>
      <c r="B238" s="24" t="s">
        <v>0</v>
      </c>
      <c r="C238" s="24" t="s">
        <v>26</v>
      </c>
      <c r="D238" s="24" t="s">
        <v>14</v>
      </c>
      <c r="E238" s="24" t="s">
        <v>483</v>
      </c>
      <c r="F238" s="24"/>
      <c r="G238" s="38"/>
      <c r="H238" s="31"/>
      <c r="I238" s="38"/>
      <c r="J238" s="32">
        <f t="shared" si="39"/>
        <v>4725</v>
      </c>
      <c r="K238" s="32">
        <f t="shared" si="39"/>
        <v>1127.9</v>
      </c>
      <c r="L238" s="32">
        <f t="shared" si="39"/>
        <v>5852.9</v>
      </c>
      <c r="M238" s="33"/>
      <c r="N238" s="34"/>
    </row>
    <row r="239" spans="1:14" ht="15.75" thickBot="1">
      <c r="A239" s="40" t="s">
        <v>485</v>
      </c>
      <c r="B239" s="24" t="s">
        <v>0</v>
      </c>
      <c r="C239" s="24" t="s">
        <v>26</v>
      </c>
      <c r="D239" s="24" t="s">
        <v>14</v>
      </c>
      <c r="E239" s="24" t="s">
        <v>483</v>
      </c>
      <c r="F239" s="24" t="s">
        <v>484</v>
      </c>
      <c r="G239" s="38"/>
      <c r="H239" s="31"/>
      <c r="I239" s="38"/>
      <c r="J239" s="32">
        <v>4725</v>
      </c>
      <c r="K239" s="32">
        <f>774+353.9</f>
        <v>1127.9</v>
      </c>
      <c r="L239" s="32">
        <f>J239+K239</f>
        <v>5852.9</v>
      </c>
      <c r="M239" s="58"/>
      <c r="N239" s="95"/>
    </row>
    <row r="240" spans="1:14" ht="15.75" customHeight="1" hidden="1" thickBot="1">
      <c r="A240" s="60" t="s">
        <v>282</v>
      </c>
      <c r="B240" s="30" t="s">
        <v>283</v>
      </c>
      <c r="C240" s="30"/>
      <c r="D240" s="30"/>
      <c r="E240" s="30"/>
      <c r="F240" s="30"/>
      <c r="G240" s="25">
        <f aca="true" t="shared" si="40" ref="G240:N241">G241</f>
        <v>0</v>
      </c>
      <c r="H240" s="25">
        <f t="shared" si="40"/>
        <v>526.1</v>
      </c>
      <c r="I240" s="25">
        <f t="shared" si="40"/>
        <v>0</v>
      </c>
      <c r="J240" s="25">
        <f t="shared" si="40"/>
        <v>0</v>
      </c>
      <c r="K240" s="25">
        <f t="shared" si="40"/>
        <v>0</v>
      </c>
      <c r="L240" s="25">
        <f t="shared" si="40"/>
        <v>0</v>
      </c>
      <c r="M240" s="78">
        <f t="shared" si="40"/>
        <v>0</v>
      </c>
      <c r="N240" s="79">
        <f t="shared" si="40"/>
        <v>0</v>
      </c>
    </row>
    <row r="241" spans="1:14" ht="44.25" customHeight="1" hidden="1">
      <c r="A241" s="82" t="s">
        <v>30</v>
      </c>
      <c r="B241" s="30" t="s">
        <v>283</v>
      </c>
      <c r="C241" s="30" t="s">
        <v>14</v>
      </c>
      <c r="D241" s="24"/>
      <c r="E241" s="24"/>
      <c r="F241" s="24"/>
      <c r="G241" s="22">
        <f t="shared" si="40"/>
        <v>0</v>
      </c>
      <c r="H241" s="22">
        <f t="shared" si="40"/>
        <v>526.1</v>
      </c>
      <c r="I241" s="22">
        <f t="shared" si="40"/>
        <v>0</v>
      </c>
      <c r="J241" s="25">
        <f t="shared" si="40"/>
        <v>0</v>
      </c>
      <c r="K241" s="25">
        <f t="shared" si="40"/>
        <v>0</v>
      </c>
      <c r="L241" s="25">
        <f t="shared" si="40"/>
        <v>0</v>
      </c>
      <c r="M241" s="27">
        <f t="shared" si="40"/>
        <v>0</v>
      </c>
      <c r="N241" s="28">
        <f t="shared" si="40"/>
        <v>0</v>
      </c>
    </row>
    <row r="242" spans="1:14" s="148" customFormat="1" ht="15" customHeight="1" hidden="1">
      <c r="A242" s="82" t="s">
        <v>32</v>
      </c>
      <c r="B242" s="30" t="s">
        <v>283</v>
      </c>
      <c r="C242" s="30" t="s">
        <v>14</v>
      </c>
      <c r="D242" s="30" t="s">
        <v>13</v>
      </c>
      <c r="E242" s="30"/>
      <c r="F242" s="30"/>
      <c r="G242" s="22">
        <f aca="true" t="shared" si="41" ref="G242:M242">G243+G245</f>
        <v>0</v>
      </c>
      <c r="H242" s="22">
        <f t="shared" si="41"/>
        <v>526.1</v>
      </c>
      <c r="I242" s="22">
        <f t="shared" si="41"/>
        <v>0</v>
      </c>
      <c r="J242" s="25">
        <f t="shared" si="41"/>
        <v>0</v>
      </c>
      <c r="K242" s="25">
        <f t="shared" si="41"/>
        <v>0</v>
      </c>
      <c r="L242" s="25">
        <f t="shared" si="41"/>
        <v>0</v>
      </c>
      <c r="M242" s="47">
        <f t="shared" si="41"/>
        <v>0</v>
      </c>
      <c r="N242" s="64">
        <f>N243+N245</f>
        <v>0</v>
      </c>
    </row>
    <row r="243" spans="1:14" ht="60.75" customHeight="1" hidden="1">
      <c r="A243" s="83" t="s">
        <v>284</v>
      </c>
      <c r="B243" s="24" t="s">
        <v>283</v>
      </c>
      <c r="C243" s="24" t="s">
        <v>14</v>
      </c>
      <c r="D243" s="24" t="s">
        <v>13</v>
      </c>
      <c r="E243" s="24" t="s">
        <v>235</v>
      </c>
      <c r="F243" s="24"/>
      <c r="G243" s="38">
        <f aca="true" t="shared" si="42" ref="G243:N243">G244</f>
        <v>0</v>
      </c>
      <c r="H243" s="38">
        <f t="shared" si="42"/>
        <v>316.5</v>
      </c>
      <c r="I243" s="38">
        <f t="shared" si="42"/>
        <v>0</v>
      </c>
      <c r="J243" s="32">
        <f t="shared" si="42"/>
        <v>0</v>
      </c>
      <c r="K243" s="32">
        <f t="shared" si="42"/>
        <v>0</v>
      </c>
      <c r="L243" s="32">
        <f t="shared" si="42"/>
        <v>0</v>
      </c>
      <c r="M243" s="33">
        <f t="shared" si="42"/>
        <v>0</v>
      </c>
      <c r="N243" s="34">
        <f t="shared" si="42"/>
        <v>0</v>
      </c>
    </row>
    <row r="244" spans="1:14" ht="30.75" customHeight="1" hidden="1">
      <c r="A244" s="83" t="s">
        <v>110</v>
      </c>
      <c r="B244" s="24" t="s">
        <v>283</v>
      </c>
      <c r="C244" s="24" t="s">
        <v>14</v>
      </c>
      <c r="D244" s="24" t="s">
        <v>13</v>
      </c>
      <c r="E244" s="24" t="s">
        <v>235</v>
      </c>
      <c r="F244" s="24" t="s">
        <v>109</v>
      </c>
      <c r="G244" s="38"/>
      <c r="H244" s="31">
        <v>316.5</v>
      </c>
      <c r="I244" s="38"/>
      <c r="J244" s="32"/>
      <c r="K244" s="32"/>
      <c r="L244" s="32">
        <f>J244+K244</f>
        <v>0</v>
      </c>
      <c r="M244" s="33"/>
      <c r="N244" s="34">
        <f>L244+M244</f>
        <v>0</v>
      </c>
    </row>
    <row r="245" spans="1:14" ht="60.75" customHeight="1" hidden="1">
      <c r="A245" s="83" t="s">
        <v>285</v>
      </c>
      <c r="B245" s="24" t="s">
        <v>283</v>
      </c>
      <c r="C245" s="24" t="s">
        <v>14</v>
      </c>
      <c r="D245" s="24" t="s">
        <v>13</v>
      </c>
      <c r="E245" s="24" t="s">
        <v>237</v>
      </c>
      <c r="F245" s="24"/>
      <c r="G245" s="38">
        <f aca="true" t="shared" si="43" ref="G245:N245">G246</f>
        <v>0</v>
      </c>
      <c r="H245" s="38">
        <f t="shared" si="43"/>
        <v>209.6</v>
      </c>
      <c r="I245" s="38">
        <f t="shared" si="43"/>
        <v>0</v>
      </c>
      <c r="J245" s="32">
        <f t="shared" si="43"/>
        <v>0</v>
      </c>
      <c r="K245" s="32">
        <f t="shared" si="43"/>
        <v>0</v>
      </c>
      <c r="L245" s="32">
        <f t="shared" si="43"/>
        <v>0</v>
      </c>
      <c r="M245" s="33">
        <f t="shared" si="43"/>
        <v>0</v>
      </c>
      <c r="N245" s="34">
        <f t="shared" si="43"/>
        <v>0</v>
      </c>
    </row>
    <row r="246" spans="1:14" ht="30.75" customHeight="1" hidden="1">
      <c r="A246" s="83" t="s">
        <v>110</v>
      </c>
      <c r="B246" s="24" t="s">
        <v>283</v>
      </c>
      <c r="C246" s="24" t="s">
        <v>14</v>
      </c>
      <c r="D246" s="24" t="s">
        <v>13</v>
      </c>
      <c r="E246" s="24" t="s">
        <v>237</v>
      </c>
      <c r="F246" s="24" t="s">
        <v>109</v>
      </c>
      <c r="G246" s="38"/>
      <c r="H246" s="31">
        <v>209.6</v>
      </c>
      <c r="I246" s="38"/>
      <c r="J246" s="32"/>
      <c r="K246" s="32"/>
      <c r="L246" s="32">
        <f>J246+K246</f>
        <v>0</v>
      </c>
      <c r="M246" s="41"/>
      <c r="N246" s="42">
        <f>L246+M246</f>
        <v>0</v>
      </c>
    </row>
    <row r="247" spans="1:17" ht="27" thickBot="1">
      <c r="A247" s="249" t="s">
        <v>286</v>
      </c>
      <c r="B247" s="247" t="s">
        <v>287</v>
      </c>
      <c r="C247" s="247"/>
      <c r="D247" s="247"/>
      <c r="E247" s="247"/>
      <c r="F247" s="247"/>
      <c r="G247" s="248" t="e">
        <f>G248+G323+G346+G376+G413+#REF!+#REF!+G311</f>
        <v>#REF!</v>
      </c>
      <c r="H247" s="248" t="e">
        <f>H248+H323+H346+H376+H413+#REF!+#REF!+H311</f>
        <v>#REF!</v>
      </c>
      <c r="I247" s="250" t="e">
        <f>I248+I323+I346+I376+I413+#REF!+#REF!+I311</f>
        <v>#REF!</v>
      </c>
      <c r="J247" s="266">
        <f>J248+J311+J323+J346+J376+J413+J428+J455+J422</f>
        <v>82060.87700000001</v>
      </c>
      <c r="K247" s="266">
        <f>K248+K311+K323+K346+K376+K413+K428+K455+K422</f>
        <v>27723.01467</v>
      </c>
      <c r="L247" s="266">
        <f>L248+L311+L323+L346+L376+L413+L428+L455+L422</f>
        <v>109783.89167</v>
      </c>
      <c r="M247" s="181" t="e">
        <f>M248+M323+M346+M376+M413+#REF!+#REF!+M311+M455+M428</f>
        <v>#REF!</v>
      </c>
      <c r="N247" s="181" t="e">
        <f>N248+N323+N346+N376+N413+#REF!+#REF!+N311+N455+N428</f>
        <v>#REF!</v>
      </c>
      <c r="O247" s="172">
        <f>L252+L253+L257+L258+L259+L260+L262+L263+L275+L276+L277+L278+L279+L280+L281+L288+L291+L308+L310+L316+L320+L322+L328+L332+L334+L340+L352+L356+L363+L366+L371+L375+L380+L386+L390+L394+L412+L416+L421+L426+L431+L434+L445+L448+L452+L460</f>
        <v>43212.62246999999</v>
      </c>
      <c r="Q247" s="172"/>
    </row>
    <row r="248" spans="1:15" s="183" customFormat="1" ht="14.25">
      <c r="A248" s="82" t="s">
        <v>10</v>
      </c>
      <c r="B248" s="30" t="s">
        <v>287</v>
      </c>
      <c r="C248" s="30" t="s">
        <v>12</v>
      </c>
      <c r="D248" s="30"/>
      <c r="E248" s="30"/>
      <c r="F248" s="30"/>
      <c r="G248" s="25" t="e">
        <f>G249+G254+G264+#REF!+G292+#REF!</f>
        <v>#REF!</v>
      </c>
      <c r="H248" s="25" t="e">
        <f>H249+H254+H264+H292+#REF!+H284</f>
        <v>#REF!</v>
      </c>
      <c r="I248" s="25" t="e">
        <f>I249+I254+I264+I292+#REF!+I284</f>
        <v>#REF!</v>
      </c>
      <c r="J248" s="25">
        <f>J249+J254+J264+J282+J292+J297+J286</f>
        <v>18380.135000000002</v>
      </c>
      <c r="K248" s="25">
        <f>K249+K254+K264+K282+K292+K297+K286</f>
        <v>1561.067</v>
      </c>
      <c r="L248" s="25">
        <f>L249+L254+L264+L282+L292+L297+L286</f>
        <v>19941.201999999997</v>
      </c>
      <c r="M248" s="27" t="e">
        <f>M249+M254+M264+M292+#REF!+M284</f>
        <v>#REF!</v>
      </c>
      <c r="N248" s="28" t="e">
        <f>N249+N254+N264+N292+#REF!+N284</f>
        <v>#REF!</v>
      </c>
      <c r="O248" s="182"/>
    </row>
    <row r="249" spans="1:14" s="148" customFormat="1" ht="51">
      <c r="A249" s="82" t="s">
        <v>288</v>
      </c>
      <c r="B249" s="30" t="s">
        <v>287</v>
      </c>
      <c r="C249" s="30" t="s">
        <v>12</v>
      </c>
      <c r="D249" s="30" t="s">
        <v>13</v>
      </c>
      <c r="E249" s="30"/>
      <c r="F249" s="30"/>
      <c r="G249" s="22" t="e">
        <f aca="true" t="shared" si="44" ref="G249:N250">G250</f>
        <v>#REF!</v>
      </c>
      <c r="H249" s="22" t="e">
        <f t="shared" si="44"/>
        <v>#REF!</v>
      </c>
      <c r="I249" s="22" t="e">
        <f t="shared" si="44"/>
        <v>#REF!</v>
      </c>
      <c r="J249" s="267">
        <f t="shared" si="44"/>
        <v>982.738</v>
      </c>
      <c r="K249" s="25">
        <f>K250</f>
        <v>127.254</v>
      </c>
      <c r="L249" s="25">
        <f t="shared" si="44"/>
        <v>1109.992</v>
      </c>
      <c r="M249" s="47" t="e">
        <f t="shared" si="44"/>
        <v>#REF!</v>
      </c>
      <c r="N249" s="64" t="e">
        <f t="shared" si="44"/>
        <v>#REF!</v>
      </c>
    </row>
    <row r="250" spans="1:14" ht="26.25">
      <c r="A250" s="83" t="s">
        <v>275</v>
      </c>
      <c r="B250" s="24" t="s">
        <v>287</v>
      </c>
      <c r="C250" s="24" t="s">
        <v>12</v>
      </c>
      <c r="D250" s="24" t="s">
        <v>13</v>
      </c>
      <c r="E250" s="24" t="s">
        <v>132</v>
      </c>
      <c r="F250" s="24"/>
      <c r="G250" s="38" t="e">
        <f t="shared" si="44"/>
        <v>#REF!</v>
      </c>
      <c r="H250" s="38" t="e">
        <f t="shared" si="44"/>
        <v>#REF!</v>
      </c>
      <c r="I250" s="38" t="e">
        <f t="shared" si="44"/>
        <v>#REF!</v>
      </c>
      <c r="J250" s="268">
        <f t="shared" si="44"/>
        <v>982.738</v>
      </c>
      <c r="K250" s="32">
        <f>K251</f>
        <v>127.254</v>
      </c>
      <c r="L250" s="32">
        <f t="shared" si="44"/>
        <v>1109.992</v>
      </c>
      <c r="M250" s="33" t="e">
        <f t="shared" si="44"/>
        <v>#REF!</v>
      </c>
      <c r="N250" s="34" t="e">
        <f t="shared" si="44"/>
        <v>#REF!</v>
      </c>
    </row>
    <row r="251" spans="1:14" ht="15">
      <c r="A251" s="83" t="s">
        <v>289</v>
      </c>
      <c r="B251" s="24" t="s">
        <v>287</v>
      </c>
      <c r="C251" s="24" t="s">
        <v>12</v>
      </c>
      <c r="D251" s="24" t="s">
        <v>13</v>
      </c>
      <c r="E251" s="24" t="s">
        <v>290</v>
      </c>
      <c r="F251" s="24"/>
      <c r="G251" s="38" t="e">
        <f>#REF!</f>
        <v>#REF!</v>
      </c>
      <c r="H251" s="38" t="e">
        <f>#REF!</f>
        <v>#REF!</v>
      </c>
      <c r="I251" s="38" t="e">
        <f>#REF!</f>
        <v>#REF!</v>
      </c>
      <c r="J251" s="32">
        <f>J252+J253</f>
        <v>982.738</v>
      </c>
      <c r="K251" s="32">
        <f>K252+K253</f>
        <v>127.254</v>
      </c>
      <c r="L251" s="32">
        <f>L252+L253</f>
        <v>1109.992</v>
      </c>
      <c r="M251" s="33" t="e">
        <f>#REF!</f>
        <v>#REF!</v>
      </c>
      <c r="N251" s="34" t="e">
        <f>#REF!</f>
        <v>#REF!</v>
      </c>
    </row>
    <row r="252" spans="1:15" ht="25.5">
      <c r="A252" s="67" t="s">
        <v>170</v>
      </c>
      <c r="B252" s="24" t="s">
        <v>287</v>
      </c>
      <c r="C252" s="24" t="s">
        <v>12</v>
      </c>
      <c r="D252" s="24" t="s">
        <v>13</v>
      </c>
      <c r="E252" s="24" t="s">
        <v>290</v>
      </c>
      <c r="F252" s="24" t="s">
        <v>171</v>
      </c>
      <c r="G252" s="38"/>
      <c r="H252" s="31"/>
      <c r="I252" s="38"/>
      <c r="J252" s="268">
        <v>982.738</v>
      </c>
      <c r="K252" s="32">
        <v>127.254</v>
      </c>
      <c r="L252" s="32">
        <f>J252+K252</f>
        <v>1109.992</v>
      </c>
      <c r="M252" s="33"/>
      <c r="N252" s="34"/>
      <c r="O252" s="96"/>
    </row>
    <row r="253" spans="1:15" ht="26.25" hidden="1">
      <c r="A253" s="83" t="s">
        <v>110</v>
      </c>
      <c r="B253" s="24" t="s">
        <v>287</v>
      </c>
      <c r="C253" s="24" t="s">
        <v>12</v>
      </c>
      <c r="D253" s="24" t="s">
        <v>13</v>
      </c>
      <c r="E253" s="24" t="s">
        <v>290</v>
      </c>
      <c r="F253" s="24" t="s">
        <v>109</v>
      </c>
      <c r="G253" s="38"/>
      <c r="H253" s="31">
        <v>861</v>
      </c>
      <c r="I253" s="38"/>
      <c r="J253" s="268"/>
      <c r="K253" s="32"/>
      <c r="L253" s="32">
        <f>J253+K253</f>
        <v>0</v>
      </c>
      <c r="M253" s="33"/>
      <c r="N253" s="34">
        <f>L253+M253</f>
        <v>0</v>
      </c>
      <c r="O253" s="96"/>
    </row>
    <row r="254" spans="1:14" s="148" customFormat="1" ht="63.75">
      <c r="A254" s="82" t="s">
        <v>291</v>
      </c>
      <c r="B254" s="30" t="s">
        <v>287</v>
      </c>
      <c r="C254" s="30" t="s">
        <v>12</v>
      </c>
      <c r="D254" s="30" t="s">
        <v>14</v>
      </c>
      <c r="E254" s="30"/>
      <c r="F254" s="30"/>
      <c r="G254" s="22" t="e">
        <f aca="true" t="shared" si="45" ref="G254:N254">G255</f>
        <v>#REF!</v>
      </c>
      <c r="H254" s="22" t="e">
        <f t="shared" si="45"/>
        <v>#REF!</v>
      </c>
      <c r="I254" s="22" t="e">
        <f t="shared" si="45"/>
        <v>#REF!</v>
      </c>
      <c r="J254" s="267">
        <f>J255</f>
        <v>1216.4470000000001</v>
      </c>
      <c r="K254" s="25">
        <f t="shared" si="45"/>
        <v>150.663</v>
      </c>
      <c r="L254" s="25">
        <f t="shared" si="45"/>
        <v>1367.1100000000001</v>
      </c>
      <c r="M254" s="47" t="e">
        <f t="shared" si="45"/>
        <v>#REF!</v>
      </c>
      <c r="N254" s="64" t="e">
        <f t="shared" si="45"/>
        <v>#REF!</v>
      </c>
    </row>
    <row r="255" spans="1:14" ht="26.25">
      <c r="A255" s="83" t="s">
        <v>275</v>
      </c>
      <c r="B255" s="24" t="s">
        <v>287</v>
      </c>
      <c r="C255" s="24" t="s">
        <v>12</v>
      </c>
      <c r="D255" s="24" t="s">
        <v>14</v>
      </c>
      <c r="E255" s="24" t="s">
        <v>132</v>
      </c>
      <c r="F255" s="24"/>
      <c r="G255" s="38" t="e">
        <f aca="true" t="shared" si="46" ref="G255:N255">G256+G261</f>
        <v>#REF!</v>
      </c>
      <c r="H255" s="31" t="e">
        <f t="shared" si="46"/>
        <v>#REF!</v>
      </c>
      <c r="I255" s="38" t="e">
        <f t="shared" si="46"/>
        <v>#REF!</v>
      </c>
      <c r="J255" s="268">
        <f t="shared" si="46"/>
        <v>1216.4470000000001</v>
      </c>
      <c r="K255" s="32">
        <f t="shared" si="46"/>
        <v>150.663</v>
      </c>
      <c r="L255" s="32">
        <f t="shared" si="46"/>
        <v>1367.1100000000001</v>
      </c>
      <c r="M255" s="33" t="e">
        <f t="shared" si="46"/>
        <v>#REF!</v>
      </c>
      <c r="N255" s="34" t="e">
        <f t="shared" si="46"/>
        <v>#REF!</v>
      </c>
    </row>
    <row r="256" spans="1:14" ht="15">
      <c r="A256" s="83" t="s">
        <v>133</v>
      </c>
      <c r="B256" s="24" t="s">
        <v>287</v>
      </c>
      <c r="C256" s="24" t="s">
        <v>12</v>
      </c>
      <c r="D256" s="24" t="s">
        <v>14</v>
      </c>
      <c r="E256" s="24" t="s">
        <v>134</v>
      </c>
      <c r="F256" s="24"/>
      <c r="G256" s="38" t="e">
        <f>#REF!</f>
        <v>#REF!</v>
      </c>
      <c r="H256" s="38" t="e">
        <f>#REF!</f>
        <v>#REF!</v>
      </c>
      <c r="I256" s="38" t="e">
        <f>#REF!</f>
        <v>#REF!</v>
      </c>
      <c r="J256" s="32">
        <f>J257+J258+J259+J260</f>
        <v>532.8050000000001</v>
      </c>
      <c r="K256" s="32">
        <f>K257+K258+K259+K260</f>
        <v>60.915</v>
      </c>
      <c r="L256" s="32">
        <f>L257+L258+L259+L260</f>
        <v>593.72</v>
      </c>
      <c r="M256" s="33" t="e">
        <f>#REF!</f>
        <v>#REF!</v>
      </c>
      <c r="N256" s="34" t="e">
        <f>#REF!</f>
        <v>#REF!</v>
      </c>
    </row>
    <row r="257" spans="1:15" ht="20.25" customHeight="1">
      <c r="A257" s="67" t="s">
        <v>170</v>
      </c>
      <c r="B257" s="24" t="s">
        <v>287</v>
      </c>
      <c r="C257" s="24" t="s">
        <v>12</v>
      </c>
      <c r="D257" s="24" t="s">
        <v>14</v>
      </c>
      <c r="E257" s="24" t="s">
        <v>134</v>
      </c>
      <c r="F257" s="24" t="s">
        <v>171</v>
      </c>
      <c r="G257" s="38"/>
      <c r="H257" s="31"/>
      <c r="I257" s="38"/>
      <c r="J257" s="268">
        <v>405.805</v>
      </c>
      <c r="K257" s="32">
        <v>35.915</v>
      </c>
      <c r="L257" s="32">
        <f>J257+K257</f>
        <v>441.72</v>
      </c>
      <c r="M257" s="33"/>
      <c r="N257" s="34"/>
      <c r="O257" s="96"/>
    </row>
    <row r="258" spans="1:15" ht="31.5" customHeight="1">
      <c r="A258" s="67" t="s">
        <v>173</v>
      </c>
      <c r="B258" s="24" t="s">
        <v>287</v>
      </c>
      <c r="C258" s="24" t="s">
        <v>12</v>
      </c>
      <c r="D258" s="24" t="s">
        <v>14</v>
      </c>
      <c r="E258" s="24" t="s">
        <v>134</v>
      </c>
      <c r="F258" s="24" t="s">
        <v>174</v>
      </c>
      <c r="G258" s="38"/>
      <c r="H258" s="31"/>
      <c r="I258" s="38"/>
      <c r="J258" s="268">
        <v>27</v>
      </c>
      <c r="K258" s="32"/>
      <c r="L258" s="32">
        <f>J258+K258</f>
        <v>27</v>
      </c>
      <c r="M258" s="33"/>
      <c r="N258" s="34"/>
      <c r="O258" s="96"/>
    </row>
    <row r="259" spans="1:15" ht="31.5" customHeight="1">
      <c r="A259" s="67" t="s">
        <v>164</v>
      </c>
      <c r="B259" s="24" t="s">
        <v>287</v>
      </c>
      <c r="C259" s="24" t="s">
        <v>12</v>
      </c>
      <c r="D259" s="24" t="s">
        <v>14</v>
      </c>
      <c r="E259" s="24" t="s">
        <v>134</v>
      </c>
      <c r="F259" s="24" t="s">
        <v>166</v>
      </c>
      <c r="G259" s="38"/>
      <c r="H259" s="31"/>
      <c r="I259" s="38"/>
      <c r="J259" s="268">
        <v>100</v>
      </c>
      <c r="K259" s="32">
        <f>25</f>
        <v>25</v>
      </c>
      <c r="L259" s="32">
        <f>J259+K259</f>
        <v>125</v>
      </c>
      <c r="M259" s="33"/>
      <c r="N259" s="34"/>
      <c r="O259" s="96"/>
    </row>
    <row r="260" spans="1:15" ht="26.25" hidden="1">
      <c r="A260" s="83" t="s">
        <v>110</v>
      </c>
      <c r="B260" s="24" t="s">
        <v>287</v>
      </c>
      <c r="C260" s="24" t="s">
        <v>12</v>
      </c>
      <c r="D260" s="24" t="s">
        <v>14</v>
      </c>
      <c r="E260" s="24" t="s">
        <v>134</v>
      </c>
      <c r="F260" s="24" t="s">
        <v>109</v>
      </c>
      <c r="G260" s="38">
        <v>30</v>
      </c>
      <c r="H260" s="31">
        <v>615</v>
      </c>
      <c r="I260" s="38"/>
      <c r="J260" s="268"/>
      <c r="K260" s="32"/>
      <c r="L260" s="32">
        <f>J260+K260</f>
        <v>0</v>
      </c>
      <c r="M260" s="33"/>
      <c r="N260" s="34">
        <f>L260+M260</f>
        <v>0</v>
      </c>
      <c r="O260" s="96"/>
    </row>
    <row r="261" spans="1:14" ht="26.25">
      <c r="A261" s="83" t="s">
        <v>292</v>
      </c>
      <c r="B261" s="24" t="s">
        <v>287</v>
      </c>
      <c r="C261" s="24" t="s">
        <v>12</v>
      </c>
      <c r="D261" s="24" t="s">
        <v>14</v>
      </c>
      <c r="E261" s="24" t="s">
        <v>293</v>
      </c>
      <c r="F261" s="24"/>
      <c r="G261" s="38" t="e">
        <f>#REF!</f>
        <v>#REF!</v>
      </c>
      <c r="H261" s="31" t="e">
        <f>#REF!</f>
        <v>#REF!</v>
      </c>
      <c r="I261" s="38" t="e">
        <f>#REF!</f>
        <v>#REF!</v>
      </c>
      <c r="J261" s="32">
        <f>J262+J263</f>
        <v>683.642</v>
      </c>
      <c r="K261" s="32">
        <f>K262+K263</f>
        <v>89.748</v>
      </c>
      <c r="L261" s="32">
        <f>L262+L263</f>
        <v>773.3900000000001</v>
      </c>
      <c r="M261" s="33" t="e">
        <f>#REF!</f>
        <v>#REF!</v>
      </c>
      <c r="N261" s="34" t="e">
        <f>#REF!</f>
        <v>#REF!</v>
      </c>
    </row>
    <row r="262" spans="1:15" ht="25.5">
      <c r="A262" s="67" t="s">
        <v>170</v>
      </c>
      <c r="B262" s="24" t="s">
        <v>287</v>
      </c>
      <c r="C262" s="24" t="s">
        <v>12</v>
      </c>
      <c r="D262" s="24" t="s">
        <v>14</v>
      </c>
      <c r="E262" s="24" t="s">
        <v>293</v>
      </c>
      <c r="F262" s="24" t="s">
        <v>171</v>
      </c>
      <c r="G262" s="38"/>
      <c r="H262" s="31"/>
      <c r="I262" s="38"/>
      <c r="J262" s="268">
        <v>683.642</v>
      </c>
      <c r="K262" s="32">
        <v>89.748</v>
      </c>
      <c r="L262" s="32">
        <f>J262+K262</f>
        <v>773.3900000000001</v>
      </c>
      <c r="M262" s="33"/>
      <c r="N262" s="34"/>
      <c r="O262" s="96"/>
    </row>
    <row r="263" spans="1:15" ht="26.25" hidden="1">
      <c r="A263" s="83" t="s">
        <v>110</v>
      </c>
      <c r="B263" s="24" t="s">
        <v>287</v>
      </c>
      <c r="C263" s="24" t="s">
        <v>12</v>
      </c>
      <c r="D263" s="24" t="s">
        <v>14</v>
      </c>
      <c r="E263" s="24" t="s">
        <v>293</v>
      </c>
      <c r="F263" s="24" t="s">
        <v>109</v>
      </c>
      <c r="G263" s="38"/>
      <c r="H263" s="31">
        <v>738</v>
      </c>
      <c r="I263" s="38"/>
      <c r="J263" s="268"/>
      <c r="K263" s="32"/>
      <c r="L263" s="32">
        <f>J263+K263</f>
        <v>0</v>
      </c>
      <c r="M263" s="33"/>
      <c r="N263" s="34">
        <f>L263+M263</f>
        <v>0</v>
      </c>
      <c r="O263" s="96"/>
    </row>
    <row r="264" spans="1:14" s="148" customFormat="1" ht="63.75">
      <c r="A264" s="82" t="s">
        <v>209</v>
      </c>
      <c r="B264" s="30" t="s">
        <v>287</v>
      </c>
      <c r="C264" s="30" t="s">
        <v>12</v>
      </c>
      <c r="D264" s="30" t="s">
        <v>15</v>
      </c>
      <c r="E264" s="30"/>
      <c r="F264" s="30"/>
      <c r="G264" s="22" t="e">
        <f>G273+G266+G268</f>
        <v>#REF!</v>
      </c>
      <c r="H264" s="25" t="e">
        <f>H273+H266+H268+#REF!+#REF!</f>
        <v>#REF!</v>
      </c>
      <c r="I264" s="25" t="e">
        <f>I273+I266+I268+#REF!+#REF!</f>
        <v>#REF!</v>
      </c>
      <c r="J264" s="267">
        <f>J265+J273</f>
        <v>14444.75</v>
      </c>
      <c r="K264" s="267">
        <f>K265+K273</f>
        <v>1156.282</v>
      </c>
      <c r="L264" s="267">
        <f>L265+L273</f>
        <v>15601.032</v>
      </c>
      <c r="M264" s="47" t="e">
        <f>M273+M266+M268+#REF!+#REF!</f>
        <v>#REF!</v>
      </c>
      <c r="N264" s="64" t="e">
        <f>N273+N266+N268+#REF!+#REF!</f>
        <v>#REF!</v>
      </c>
    </row>
    <row r="265" spans="1:14" ht="25.5">
      <c r="A265" s="177" t="s">
        <v>275</v>
      </c>
      <c r="B265" s="24" t="s">
        <v>287</v>
      </c>
      <c r="C265" s="24" t="s">
        <v>12</v>
      </c>
      <c r="D265" s="24" t="s">
        <v>15</v>
      </c>
      <c r="E265" s="24" t="s">
        <v>452</v>
      </c>
      <c r="F265" s="24"/>
      <c r="G265" s="38"/>
      <c r="H265" s="32"/>
      <c r="I265" s="32"/>
      <c r="J265" s="268">
        <f>J266+J268</f>
        <v>605</v>
      </c>
      <c r="K265" s="268">
        <f>K266+K268</f>
        <v>0</v>
      </c>
      <c r="L265" s="268">
        <f>L266+L268</f>
        <v>605</v>
      </c>
      <c r="M265" s="33"/>
      <c r="N265" s="34"/>
    </row>
    <row r="266" spans="1:14" s="148" customFormat="1" ht="45.75" customHeight="1" hidden="1">
      <c r="A266" s="63" t="s">
        <v>294</v>
      </c>
      <c r="B266" s="24" t="s">
        <v>287</v>
      </c>
      <c r="C266" s="24" t="s">
        <v>12</v>
      </c>
      <c r="D266" s="24" t="s">
        <v>15</v>
      </c>
      <c r="E266" s="24" t="s">
        <v>295</v>
      </c>
      <c r="F266" s="24"/>
      <c r="G266" s="38">
        <f aca="true" t="shared" si="47" ref="G266:N266">G267</f>
        <v>47.3</v>
      </c>
      <c r="H266" s="38">
        <f t="shared" si="47"/>
        <v>0</v>
      </c>
      <c r="I266" s="38">
        <f t="shared" si="47"/>
        <v>0</v>
      </c>
      <c r="J266" s="268">
        <f t="shared" si="47"/>
        <v>0</v>
      </c>
      <c r="K266" s="32">
        <f t="shared" si="47"/>
        <v>0</v>
      </c>
      <c r="L266" s="32">
        <f t="shared" si="47"/>
        <v>0</v>
      </c>
      <c r="M266" s="33">
        <f t="shared" si="47"/>
        <v>0</v>
      </c>
      <c r="N266" s="34">
        <f t="shared" si="47"/>
        <v>0</v>
      </c>
    </row>
    <row r="267" spans="1:14" s="148" customFormat="1" ht="31.5" customHeight="1" hidden="1">
      <c r="A267" s="83" t="s">
        <v>214</v>
      </c>
      <c r="B267" s="24" t="s">
        <v>287</v>
      </c>
      <c r="C267" s="24" t="s">
        <v>12</v>
      </c>
      <c r="D267" s="24" t="s">
        <v>15</v>
      </c>
      <c r="E267" s="24" t="s">
        <v>295</v>
      </c>
      <c r="F267" s="24" t="s">
        <v>169</v>
      </c>
      <c r="G267" s="38">
        <v>47.3</v>
      </c>
      <c r="H267" s="31"/>
      <c r="I267" s="38"/>
      <c r="J267" s="268"/>
      <c r="K267" s="32"/>
      <c r="L267" s="32">
        <f>J267+K267</f>
        <v>0</v>
      </c>
      <c r="M267" s="33">
        <f>49.6-49.6</f>
        <v>0</v>
      </c>
      <c r="N267" s="34">
        <f>L267+M267</f>
        <v>0</v>
      </c>
    </row>
    <row r="268" spans="1:14" s="148" customFormat="1" ht="51">
      <c r="A268" s="63" t="s">
        <v>129</v>
      </c>
      <c r="B268" s="24" t="s">
        <v>287</v>
      </c>
      <c r="C268" s="24" t="s">
        <v>12</v>
      </c>
      <c r="D268" s="24" t="s">
        <v>15</v>
      </c>
      <c r="E268" s="24" t="s">
        <v>130</v>
      </c>
      <c r="F268" s="24"/>
      <c r="G268" s="25" t="e">
        <f>#REF!</f>
        <v>#REF!</v>
      </c>
      <c r="H268" s="32" t="e">
        <f>#REF!</f>
        <v>#REF!</v>
      </c>
      <c r="I268" s="25" t="e">
        <f>#REF!</f>
        <v>#REF!</v>
      </c>
      <c r="J268" s="32">
        <f>J269+J270+J271+J272</f>
        <v>605</v>
      </c>
      <c r="K268" s="32">
        <f>K269+K270+K271+K272</f>
        <v>0</v>
      </c>
      <c r="L268" s="32">
        <f>L269+L270+L271+L272</f>
        <v>605</v>
      </c>
      <c r="M268" s="47" t="e">
        <f>#REF!</f>
        <v>#REF!</v>
      </c>
      <c r="N268" s="34" t="e">
        <f>#REF!</f>
        <v>#REF!</v>
      </c>
    </row>
    <row r="269" spans="1:17" s="148" customFormat="1" ht="18.75" customHeight="1">
      <c r="A269" s="67" t="s">
        <v>170</v>
      </c>
      <c r="B269" s="24" t="s">
        <v>287</v>
      </c>
      <c r="C269" s="24" t="s">
        <v>12</v>
      </c>
      <c r="D269" s="24" t="s">
        <v>15</v>
      </c>
      <c r="E269" s="24" t="s">
        <v>130</v>
      </c>
      <c r="F269" s="24" t="s">
        <v>171</v>
      </c>
      <c r="G269" s="25"/>
      <c r="H269" s="32"/>
      <c r="I269" s="25"/>
      <c r="J269" s="32">
        <f>238.008+81.399+13</f>
        <v>332.40700000000004</v>
      </c>
      <c r="K269" s="32"/>
      <c r="L269" s="32">
        <f>J269+K269</f>
        <v>332.40700000000004</v>
      </c>
      <c r="M269" s="47"/>
      <c r="N269" s="34"/>
      <c r="O269" s="149"/>
      <c r="Q269" s="180"/>
    </row>
    <row r="270" spans="1:17" s="148" customFormat="1" ht="32.25" customHeight="1">
      <c r="A270" s="67" t="s">
        <v>173</v>
      </c>
      <c r="B270" s="24" t="s">
        <v>287</v>
      </c>
      <c r="C270" s="24" t="s">
        <v>12</v>
      </c>
      <c r="D270" s="24" t="s">
        <v>15</v>
      </c>
      <c r="E270" s="24" t="s">
        <v>130</v>
      </c>
      <c r="F270" s="24" t="s">
        <v>174</v>
      </c>
      <c r="G270" s="25"/>
      <c r="H270" s="32"/>
      <c r="I270" s="25"/>
      <c r="J270" s="32">
        <f>1</f>
        <v>1</v>
      </c>
      <c r="K270" s="32"/>
      <c r="L270" s="32">
        <f>J270+K270</f>
        <v>1</v>
      </c>
      <c r="M270" s="47"/>
      <c r="N270" s="34"/>
      <c r="O270" s="149"/>
      <c r="Q270" s="180"/>
    </row>
    <row r="271" spans="1:17" s="148" customFormat="1" ht="31.5" customHeight="1">
      <c r="A271" s="67" t="s">
        <v>164</v>
      </c>
      <c r="B271" s="24" t="s">
        <v>287</v>
      </c>
      <c r="C271" s="24" t="s">
        <v>12</v>
      </c>
      <c r="D271" s="24" t="s">
        <v>15</v>
      </c>
      <c r="E271" s="24" t="s">
        <v>130</v>
      </c>
      <c r="F271" s="24" t="s">
        <v>166</v>
      </c>
      <c r="G271" s="25"/>
      <c r="H271" s="32"/>
      <c r="I271" s="25"/>
      <c r="J271" s="32">
        <f>30+232+6.593+2+1</f>
        <v>271.593</v>
      </c>
      <c r="K271" s="32"/>
      <c r="L271" s="32">
        <f>J271+K271</f>
        <v>271.593</v>
      </c>
      <c r="M271" s="47"/>
      <c r="N271" s="34"/>
      <c r="O271" s="149"/>
      <c r="Q271" s="180"/>
    </row>
    <row r="272" spans="1:17" s="148" customFormat="1" ht="26.25" hidden="1">
      <c r="A272" s="35" t="s">
        <v>110</v>
      </c>
      <c r="B272" s="24" t="s">
        <v>287</v>
      </c>
      <c r="C272" s="24" t="s">
        <v>12</v>
      </c>
      <c r="D272" s="24" t="s">
        <v>15</v>
      </c>
      <c r="E272" s="24" t="s">
        <v>130</v>
      </c>
      <c r="F272" s="24" t="s">
        <v>109</v>
      </c>
      <c r="G272" s="25" t="e">
        <f>H272-#REF!</f>
        <v>#REF!</v>
      </c>
      <c r="H272" s="32"/>
      <c r="I272" s="25"/>
      <c r="J272" s="268"/>
      <c r="K272" s="32"/>
      <c r="L272" s="32">
        <f>J272+K272</f>
        <v>0</v>
      </c>
      <c r="M272" s="47"/>
      <c r="N272" s="34">
        <f>L272+M272</f>
        <v>0</v>
      </c>
      <c r="O272" s="149"/>
      <c r="Q272" s="180"/>
    </row>
    <row r="273" spans="1:14" ht="26.25">
      <c r="A273" s="83" t="s">
        <v>275</v>
      </c>
      <c r="B273" s="24" t="s">
        <v>287</v>
      </c>
      <c r="C273" s="24" t="s">
        <v>12</v>
      </c>
      <c r="D273" s="24" t="s">
        <v>15</v>
      </c>
      <c r="E273" s="24" t="s">
        <v>132</v>
      </c>
      <c r="F273" s="24"/>
      <c r="G273" s="38" t="e">
        <f aca="true" t="shared" si="48" ref="G273:N273">G274</f>
        <v>#REF!</v>
      </c>
      <c r="H273" s="38" t="e">
        <f t="shared" si="48"/>
        <v>#REF!</v>
      </c>
      <c r="I273" s="38" t="e">
        <f t="shared" si="48"/>
        <v>#REF!</v>
      </c>
      <c r="J273" s="268">
        <f t="shared" si="48"/>
        <v>13839.75</v>
      </c>
      <c r="K273" s="32">
        <f t="shared" si="48"/>
        <v>1156.282</v>
      </c>
      <c r="L273" s="32">
        <f t="shared" si="48"/>
        <v>14996.032</v>
      </c>
      <c r="M273" s="33" t="e">
        <f t="shared" si="48"/>
        <v>#REF!</v>
      </c>
      <c r="N273" s="34" t="e">
        <f t="shared" si="48"/>
        <v>#REF!</v>
      </c>
    </row>
    <row r="274" spans="1:14" ht="15">
      <c r="A274" s="83" t="s">
        <v>133</v>
      </c>
      <c r="B274" s="24" t="s">
        <v>287</v>
      </c>
      <c r="C274" s="24" t="s">
        <v>12</v>
      </c>
      <c r="D274" s="24" t="s">
        <v>15</v>
      </c>
      <c r="E274" s="24" t="s">
        <v>134</v>
      </c>
      <c r="F274" s="24"/>
      <c r="G274" s="38" t="e">
        <f>#REF!+#REF!</f>
        <v>#REF!</v>
      </c>
      <c r="H274" s="38" t="e">
        <f>#REF!+#REF!</f>
        <v>#REF!</v>
      </c>
      <c r="I274" s="38" t="e">
        <f>#REF!+#REF!</f>
        <v>#REF!</v>
      </c>
      <c r="J274" s="32">
        <f>J275+J276+J277+J278+J279+J280+J281</f>
        <v>13839.75</v>
      </c>
      <c r="K274" s="32">
        <f>K275+K276+K277+K278+K279+K280+K281</f>
        <v>1156.282</v>
      </c>
      <c r="L274" s="32">
        <f>L275+L276+L277+L278+L279+L280+L281</f>
        <v>14996.032</v>
      </c>
      <c r="M274" s="33" t="e">
        <f>#REF!+#REF!+M275+M276+M278+M280+M281+M277</f>
        <v>#REF!</v>
      </c>
      <c r="N274" s="33" t="e">
        <f>#REF!+#REF!+N275+N276+N278+N280+N281+N277</f>
        <v>#REF!</v>
      </c>
    </row>
    <row r="275" spans="1:14" ht="20.25" customHeight="1">
      <c r="A275" s="67" t="s">
        <v>170</v>
      </c>
      <c r="B275" s="24" t="s">
        <v>287</v>
      </c>
      <c r="C275" s="24" t="s">
        <v>12</v>
      </c>
      <c r="D275" s="24" t="s">
        <v>15</v>
      </c>
      <c r="E275" s="24" t="s">
        <v>134</v>
      </c>
      <c r="F275" s="24" t="s">
        <v>171</v>
      </c>
      <c r="G275" s="22"/>
      <c r="H275" s="31"/>
      <c r="I275" s="22"/>
      <c r="J275" s="32">
        <f>6669.975+2014.33</f>
        <v>8684.305</v>
      </c>
      <c r="K275" s="32">
        <f>172.36+556.99+71.527+152.285+88.101</f>
        <v>1041.263</v>
      </c>
      <c r="L275" s="32">
        <f aca="true" t="shared" si="49" ref="L275:L281">J275+K275</f>
        <v>9725.568</v>
      </c>
      <c r="M275" s="98"/>
      <c r="N275" s="42"/>
    </row>
    <row r="276" spans="1:14" ht="30" customHeight="1">
      <c r="A276" s="67" t="s">
        <v>173</v>
      </c>
      <c r="B276" s="24" t="s">
        <v>287</v>
      </c>
      <c r="C276" s="24" t="s">
        <v>12</v>
      </c>
      <c r="D276" s="24" t="s">
        <v>15</v>
      </c>
      <c r="E276" s="24" t="s">
        <v>134</v>
      </c>
      <c r="F276" s="24" t="s">
        <v>174</v>
      </c>
      <c r="G276" s="22"/>
      <c r="H276" s="31"/>
      <c r="I276" s="22"/>
      <c r="J276" s="32">
        <v>76</v>
      </c>
      <c r="K276" s="32"/>
      <c r="L276" s="32">
        <f t="shared" si="49"/>
        <v>76</v>
      </c>
      <c r="M276" s="98"/>
      <c r="N276" s="42"/>
    </row>
    <row r="277" spans="1:14" ht="30" customHeight="1">
      <c r="A277" s="67" t="s">
        <v>177</v>
      </c>
      <c r="B277" s="24" t="s">
        <v>287</v>
      </c>
      <c r="C277" s="24" t="s">
        <v>12</v>
      </c>
      <c r="D277" s="24" t="s">
        <v>15</v>
      </c>
      <c r="E277" s="24" t="s">
        <v>134</v>
      </c>
      <c r="F277" s="24" t="s">
        <v>178</v>
      </c>
      <c r="G277" s="22"/>
      <c r="H277" s="31"/>
      <c r="I277" s="22"/>
      <c r="J277" s="32">
        <f>44.8</f>
        <v>44.8</v>
      </c>
      <c r="K277" s="32">
        <f>45+59.5</f>
        <v>104.5</v>
      </c>
      <c r="L277" s="32">
        <f t="shared" si="49"/>
        <v>149.3</v>
      </c>
      <c r="M277" s="98"/>
      <c r="N277" s="42"/>
    </row>
    <row r="278" spans="1:14" ht="30" customHeight="1">
      <c r="A278" s="67" t="s">
        <v>164</v>
      </c>
      <c r="B278" s="24" t="s">
        <v>287</v>
      </c>
      <c r="C278" s="24" t="s">
        <v>12</v>
      </c>
      <c r="D278" s="24" t="s">
        <v>15</v>
      </c>
      <c r="E278" s="24" t="s">
        <v>134</v>
      </c>
      <c r="F278" s="24" t="s">
        <v>166</v>
      </c>
      <c r="G278" s="22"/>
      <c r="H278" s="31"/>
      <c r="I278" s="22"/>
      <c r="J278" s="32">
        <f>4610.825-100+115</f>
        <v>4625.825</v>
      </c>
      <c r="K278" s="32">
        <f>-45-180+34.665+20.854</f>
        <v>-169.481</v>
      </c>
      <c r="L278" s="32">
        <f t="shared" si="49"/>
        <v>4456.344</v>
      </c>
      <c r="M278" s="98"/>
      <c r="N278" s="42"/>
    </row>
    <row r="279" spans="1:15" ht="26.25" hidden="1">
      <c r="A279" s="83" t="s">
        <v>110</v>
      </c>
      <c r="B279" s="24" t="s">
        <v>287</v>
      </c>
      <c r="C279" s="24" t="s">
        <v>12</v>
      </c>
      <c r="D279" s="24" t="s">
        <v>15</v>
      </c>
      <c r="E279" s="24" t="s">
        <v>134</v>
      </c>
      <c r="F279" s="24" t="s">
        <v>109</v>
      </c>
      <c r="G279" s="38">
        <f>10-200+200+80.47+1300-0.47-80+50</f>
        <v>1360</v>
      </c>
      <c r="H279" s="38">
        <f>49.6+117.4+10087.47-203.91-49.6</f>
        <v>10000.96</v>
      </c>
      <c r="I279" s="38"/>
      <c r="J279" s="268"/>
      <c r="K279" s="32"/>
      <c r="L279" s="32">
        <f>J279+K279</f>
        <v>0</v>
      </c>
      <c r="M279" s="33">
        <f>-176.62+88</f>
        <v>-88.62</v>
      </c>
      <c r="N279" s="34">
        <f>L279+M279</f>
        <v>-88.62</v>
      </c>
      <c r="O279" s="125"/>
    </row>
    <row r="280" spans="1:14" ht="30" customHeight="1">
      <c r="A280" s="67" t="s">
        <v>296</v>
      </c>
      <c r="B280" s="24" t="s">
        <v>287</v>
      </c>
      <c r="C280" s="24" t="s">
        <v>12</v>
      </c>
      <c r="D280" s="24" t="s">
        <v>15</v>
      </c>
      <c r="E280" s="24" t="s">
        <v>134</v>
      </c>
      <c r="F280" s="24" t="s">
        <v>180</v>
      </c>
      <c r="G280" s="22"/>
      <c r="H280" s="31"/>
      <c r="I280" s="22"/>
      <c r="J280" s="32">
        <v>284.6</v>
      </c>
      <c r="K280" s="32"/>
      <c r="L280" s="32">
        <f t="shared" si="49"/>
        <v>284.6</v>
      </c>
      <c r="M280" s="98"/>
      <c r="N280" s="42"/>
    </row>
    <row r="281" spans="1:14" s="228" customFormat="1" ht="25.5" customHeight="1">
      <c r="A281" s="72" t="s">
        <v>181</v>
      </c>
      <c r="B281" s="238" t="s">
        <v>287</v>
      </c>
      <c r="C281" s="238" t="s">
        <v>12</v>
      </c>
      <c r="D281" s="238" t="s">
        <v>15</v>
      </c>
      <c r="E281" s="238" t="s">
        <v>134</v>
      </c>
      <c r="F281" s="238" t="s">
        <v>182</v>
      </c>
      <c r="G281" s="239"/>
      <c r="H281" s="240"/>
      <c r="I281" s="239"/>
      <c r="J281" s="269">
        <f>125.45-1.23</f>
        <v>124.22</v>
      </c>
      <c r="K281" s="269">
        <f>180</f>
        <v>180</v>
      </c>
      <c r="L281" s="269">
        <f t="shared" si="49"/>
        <v>304.22</v>
      </c>
      <c r="M281" s="241"/>
      <c r="N281" s="242"/>
    </row>
    <row r="282" spans="1:14" s="148" customFormat="1" ht="14.25" customHeight="1">
      <c r="A282" s="29" t="s">
        <v>16</v>
      </c>
      <c r="B282" s="30" t="s">
        <v>287</v>
      </c>
      <c r="C282" s="30" t="s">
        <v>12</v>
      </c>
      <c r="D282" s="30" t="s">
        <v>17</v>
      </c>
      <c r="E282" s="30"/>
      <c r="F282" s="30"/>
      <c r="G282" s="22"/>
      <c r="H282" s="26">
        <f>H283</f>
        <v>0</v>
      </c>
      <c r="I282" s="26">
        <f aca="true" t="shared" si="50" ref="I282:N283">I283</f>
        <v>0</v>
      </c>
      <c r="J282" s="267">
        <f t="shared" si="50"/>
        <v>11.7</v>
      </c>
      <c r="K282" s="25">
        <f t="shared" si="50"/>
        <v>0</v>
      </c>
      <c r="L282" s="25">
        <f t="shared" si="50"/>
        <v>11.7</v>
      </c>
      <c r="M282" s="169">
        <f t="shared" si="50"/>
        <v>0</v>
      </c>
      <c r="N282" s="170">
        <f t="shared" si="50"/>
        <v>0</v>
      </c>
    </row>
    <row r="283" spans="1:14" ht="51.75">
      <c r="A283" s="35" t="s">
        <v>297</v>
      </c>
      <c r="B283" s="24" t="s">
        <v>287</v>
      </c>
      <c r="C283" s="24" t="s">
        <v>12</v>
      </c>
      <c r="D283" s="24" t="s">
        <v>17</v>
      </c>
      <c r="E283" s="24" t="s">
        <v>298</v>
      </c>
      <c r="F283" s="24"/>
      <c r="G283" s="22"/>
      <c r="H283" s="31">
        <f>H284</f>
        <v>0</v>
      </c>
      <c r="I283" s="31">
        <f t="shared" si="50"/>
        <v>0</v>
      </c>
      <c r="J283" s="32">
        <f>J284+J285</f>
        <v>11.7</v>
      </c>
      <c r="K283" s="32">
        <f>K284+K285</f>
        <v>0</v>
      </c>
      <c r="L283" s="32">
        <f>L284+L285</f>
        <v>11.7</v>
      </c>
      <c r="M283" s="33">
        <f t="shared" si="50"/>
        <v>0</v>
      </c>
      <c r="N283" s="34">
        <f t="shared" si="50"/>
        <v>0</v>
      </c>
    </row>
    <row r="284" spans="1:15" ht="26.25" hidden="1">
      <c r="A284" s="83" t="s">
        <v>108</v>
      </c>
      <c r="B284" s="24" t="s">
        <v>287</v>
      </c>
      <c r="C284" s="24" t="s">
        <v>12</v>
      </c>
      <c r="D284" s="24" t="s">
        <v>17</v>
      </c>
      <c r="E284" s="24" t="s">
        <v>298</v>
      </c>
      <c r="F284" s="24" t="s">
        <v>169</v>
      </c>
      <c r="G284" s="38"/>
      <c r="H284" s="31"/>
      <c r="I284" s="38"/>
      <c r="J284" s="268"/>
      <c r="K284" s="32"/>
      <c r="L284" s="32">
        <f>J284+K284</f>
        <v>0</v>
      </c>
      <c r="M284" s="90"/>
      <c r="N284" s="89">
        <f>L284+M284</f>
        <v>0</v>
      </c>
      <c r="O284" s="20">
        <v>6.8</v>
      </c>
    </row>
    <row r="285" spans="1:14" ht="31.5" customHeight="1">
      <c r="A285" s="67" t="s">
        <v>164</v>
      </c>
      <c r="B285" s="24" t="s">
        <v>287</v>
      </c>
      <c r="C285" s="24" t="s">
        <v>12</v>
      </c>
      <c r="D285" s="24" t="s">
        <v>17</v>
      </c>
      <c r="E285" s="24" t="s">
        <v>298</v>
      </c>
      <c r="F285" s="24" t="s">
        <v>166</v>
      </c>
      <c r="G285" s="38"/>
      <c r="H285" s="31"/>
      <c r="I285" s="38"/>
      <c r="J285" s="268">
        <v>11.7</v>
      </c>
      <c r="K285" s="32"/>
      <c r="L285" s="32">
        <f>J285+K285</f>
        <v>11.7</v>
      </c>
      <c r="M285" s="90"/>
      <c r="N285" s="89"/>
    </row>
    <row r="286" spans="1:14" ht="39">
      <c r="A286" s="84" t="s">
        <v>212</v>
      </c>
      <c r="B286" s="30" t="s">
        <v>287</v>
      </c>
      <c r="C286" s="30" t="s">
        <v>12</v>
      </c>
      <c r="D286" s="30" t="s">
        <v>18</v>
      </c>
      <c r="E286" s="30"/>
      <c r="F286" s="30"/>
      <c r="G286" s="22" t="e">
        <f aca="true" t="shared" si="51" ref="G286:L286">G287</f>
        <v>#REF!</v>
      </c>
      <c r="H286" s="22" t="e">
        <f t="shared" si="51"/>
        <v>#REF!</v>
      </c>
      <c r="I286" s="22" t="e">
        <f t="shared" si="51"/>
        <v>#REF!</v>
      </c>
      <c r="J286" s="25">
        <f t="shared" si="51"/>
        <v>557</v>
      </c>
      <c r="K286" s="25">
        <f t="shared" si="51"/>
        <v>126.868</v>
      </c>
      <c r="L286" s="25">
        <f t="shared" si="51"/>
        <v>683.8679999999999</v>
      </c>
      <c r="M286" s="90"/>
      <c r="N286" s="89"/>
    </row>
    <row r="287" spans="1:14" ht="51.75">
      <c r="A287" s="40" t="s">
        <v>213</v>
      </c>
      <c r="B287" s="24" t="s">
        <v>287</v>
      </c>
      <c r="C287" s="24" t="s">
        <v>12</v>
      </c>
      <c r="D287" s="24" t="s">
        <v>18</v>
      </c>
      <c r="E287" s="24" t="s">
        <v>132</v>
      </c>
      <c r="F287" s="24"/>
      <c r="G287" s="38" t="e">
        <f>#REF!+#REF!</f>
        <v>#REF!</v>
      </c>
      <c r="H287" s="38" t="e">
        <f>#REF!+#REF!</f>
        <v>#REF!</v>
      </c>
      <c r="I287" s="38" t="e">
        <f>#REF!+#REF!</f>
        <v>#REF!</v>
      </c>
      <c r="J287" s="32">
        <f>J288+J289+J290+J291</f>
        <v>557</v>
      </c>
      <c r="K287" s="32">
        <f>K288+K289+K290+K291</f>
        <v>126.868</v>
      </c>
      <c r="L287" s="32">
        <f>L288+L289+L290+L291</f>
        <v>683.8679999999999</v>
      </c>
      <c r="M287" s="90"/>
      <c r="N287" s="89"/>
    </row>
    <row r="288" spans="1:14" ht="15">
      <c r="A288" s="72" t="s">
        <v>381</v>
      </c>
      <c r="B288" s="24" t="s">
        <v>287</v>
      </c>
      <c r="C288" s="24" t="s">
        <v>12</v>
      </c>
      <c r="D288" s="24" t="s">
        <v>18</v>
      </c>
      <c r="E288" s="24" t="s">
        <v>134</v>
      </c>
      <c r="F288" s="24" t="s">
        <v>171</v>
      </c>
      <c r="G288" s="38"/>
      <c r="H288" s="31"/>
      <c r="I288" s="38"/>
      <c r="J288" s="32">
        <f>426.267+128.733</f>
        <v>555</v>
      </c>
      <c r="K288" s="32">
        <f>-30+31.389+70.479</f>
        <v>71.868</v>
      </c>
      <c r="L288" s="32">
        <f>SUM(J288:K288)</f>
        <v>626.8679999999999</v>
      </c>
      <c r="M288" s="90"/>
      <c r="N288" s="89"/>
    </row>
    <row r="289" spans="1:14" ht="39" hidden="1">
      <c r="A289" s="72" t="s">
        <v>173</v>
      </c>
      <c r="B289" s="24" t="s">
        <v>287</v>
      </c>
      <c r="C289" s="24" t="s">
        <v>12</v>
      </c>
      <c r="D289" s="24" t="s">
        <v>18</v>
      </c>
      <c r="E289" s="24" t="s">
        <v>134</v>
      </c>
      <c r="F289" s="24" t="s">
        <v>174</v>
      </c>
      <c r="G289" s="38"/>
      <c r="H289" s="31"/>
      <c r="I289" s="38"/>
      <c r="J289" s="32"/>
      <c r="K289" s="32"/>
      <c r="L289" s="32">
        <f>SUM(J289:K289)</f>
        <v>0</v>
      </c>
      <c r="M289" s="90"/>
      <c r="N289" s="89"/>
    </row>
    <row r="290" spans="1:14" ht="51.75">
      <c r="A290" s="72" t="s">
        <v>177</v>
      </c>
      <c r="B290" s="24" t="s">
        <v>287</v>
      </c>
      <c r="C290" s="24" t="s">
        <v>12</v>
      </c>
      <c r="D290" s="24" t="s">
        <v>18</v>
      </c>
      <c r="E290" s="24" t="s">
        <v>134</v>
      </c>
      <c r="F290" s="24" t="s">
        <v>178</v>
      </c>
      <c r="G290" s="38"/>
      <c r="H290" s="31"/>
      <c r="I290" s="38"/>
      <c r="J290" s="32"/>
      <c r="K290" s="32">
        <f>30</f>
        <v>30</v>
      </c>
      <c r="L290" s="32">
        <f>SUM(J290:K290)</f>
        <v>30</v>
      </c>
      <c r="M290" s="90"/>
      <c r="N290" s="89"/>
    </row>
    <row r="291" spans="1:14" ht="26.25">
      <c r="A291" s="72" t="s">
        <v>250</v>
      </c>
      <c r="B291" s="24" t="s">
        <v>287</v>
      </c>
      <c r="C291" s="24" t="s">
        <v>12</v>
      </c>
      <c r="D291" s="24" t="s">
        <v>18</v>
      </c>
      <c r="E291" s="24" t="s">
        <v>134</v>
      </c>
      <c r="F291" s="24" t="s">
        <v>166</v>
      </c>
      <c r="G291" s="38"/>
      <c r="H291" s="31"/>
      <c r="I291" s="38"/>
      <c r="J291" s="32">
        <v>2</v>
      </c>
      <c r="K291" s="32">
        <v>25</v>
      </c>
      <c r="L291" s="32">
        <f>SUM(J291:K291)</f>
        <v>27</v>
      </c>
      <c r="M291" s="90"/>
      <c r="N291" s="89"/>
    </row>
    <row r="292" spans="1:14" s="148" customFormat="1" ht="25.5" hidden="1">
      <c r="A292" s="82" t="s">
        <v>299</v>
      </c>
      <c r="B292" s="30" t="s">
        <v>287</v>
      </c>
      <c r="C292" s="30" t="s">
        <v>12</v>
      </c>
      <c r="D292" s="30" t="s">
        <v>20</v>
      </c>
      <c r="E292" s="30"/>
      <c r="F292" s="30"/>
      <c r="G292" s="22">
        <f aca="true" t="shared" si="52" ref="G292:N294">G293</f>
        <v>0</v>
      </c>
      <c r="H292" s="22">
        <f t="shared" si="52"/>
        <v>20</v>
      </c>
      <c r="I292" s="22">
        <f t="shared" si="52"/>
        <v>0</v>
      </c>
      <c r="J292" s="267">
        <f t="shared" si="52"/>
        <v>0</v>
      </c>
      <c r="K292" s="25">
        <f t="shared" si="52"/>
        <v>0</v>
      </c>
      <c r="L292" s="25">
        <f t="shared" si="52"/>
        <v>0</v>
      </c>
      <c r="M292" s="47">
        <f t="shared" si="52"/>
        <v>0</v>
      </c>
      <c r="N292" s="64">
        <f t="shared" si="52"/>
        <v>0</v>
      </c>
    </row>
    <row r="293" spans="1:14" ht="18" customHeight="1" hidden="1">
      <c r="A293" s="83" t="s">
        <v>300</v>
      </c>
      <c r="B293" s="24" t="s">
        <v>287</v>
      </c>
      <c r="C293" s="24" t="s">
        <v>12</v>
      </c>
      <c r="D293" s="24" t="s">
        <v>20</v>
      </c>
      <c r="E293" s="24" t="s">
        <v>301</v>
      </c>
      <c r="F293" s="24"/>
      <c r="G293" s="38">
        <f t="shared" si="52"/>
        <v>0</v>
      </c>
      <c r="H293" s="38">
        <f t="shared" si="52"/>
        <v>20</v>
      </c>
      <c r="I293" s="38">
        <f t="shared" si="52"/>
        <v>0</v>
      </c>
      <c r="J293" s="268">
        <f t="shared" si="52"/>
        <v>0</v>
      </c>
      <c r="K293" s="32">
        <f t="shared" si="52"/>
        <v>0</v>
      </c>
      <c r="L293" s="32">
        <f t="shared" si="52"/>
        <v>0</v>
      </c>
      <c r="M293" s="33">
        <f t="shared" si="52"/>
        <v>0</v>
      </c>
      <c r="N293" s="34">
        <f t="shared" si="52"/>
        <v>0</v>
      </c>
    </row>
    <row r="294" spans="1:14" ht="31.5" customHeight="1" hidden="1">
      <c r="A294" s="83" t="s">
        <v>302</v>
      </c>
      <c r="B294" s="24" t="s">
        <v>287</v>
      </c>
      <c r="C294" s="24" t="s">
        <v>12</v>
      </c>
      <c r="D294" s="24" t="s">
        <v>20</v>
      </c>
      <c r="E294" s="24" t="s">
        <v>303</v>
      </c>
      <c r="F294" s="24"/>
      <c r="G294" s="38">
        <f t="shared" si="52"/>
        <v>0</v>
      </c>
      <c r="H294" s="38">
        <f t="shared" si="52"/>
        <v>20</v>
      </c>
      <c r="I294" s="38">
        <f t="shared" si="52"/>
        <v>0</v>
      </c>
      <c r="J294" s="32">
        <f>J295+J296</f>
        <v>0</v>
      </c>
      <c r="K294" s="32">
        <f>K295+K296</f>
        <v>0</v>
      </c>
      <c r="L294" s="32">
        <f>L295+L296</f>
        <v>0</v>
      </c>
      <c r="M294" s="33">
        <f t="shared" si="52"/>
        <v>0</v>
      </c>
      <c r="N294" s="34">
        <f t="shared" si="52"/>
        <v>0</v>
      </c>
    </row>
    <row r="295" spans="1:14" ht="30" customHeight="1" hidden="1">
      <c r="A295" s="83" t="s">
        <v>110</v>
      </c>
      <c r="B295" s="24" t="s">
        <v>287</v>
      </c>
      <c r="C295" s="24" t="s">
        <v>12</v>
      </c>
      <c r="D295" s="24" t="s">
        <v>20</v>
      </c>
      <c r="E295" s="24" t="s">
        <v>303</v>
      </c>
      <c r="F295" s="24" t="s">
        <v>109</v>
      </c>
      <c r="G295" s="38"/>
      <c r="H295" s="38">
        <v>20</v>
      </c>
      <c r="I295" s="38"/>
      <c r="J295" s="268"/>
      <c r="K295" s="32"/>
      <c r="L295" s="32">
        <f>J295+K295</f>
        <v>0</v>
      </c>
      <c r="M295" s="33"/>
      <c r="N295" s="34">
        <f>L295+M295</f>
        <v>0</v>
      </c>
    </row>
    <row r="296" spans="1:14" ht="30" customHeight="1" hidden="1">
      <c r="A296" s="67" t="s">
        <v>164</v>
      </c>
      <c r="B296" s="24" t="s">
        <v>287</v>
      </c>
      <c r="C296" s="24" t="s">
        <v>12</v>
      </c>
      <c r="D296" s="24" t="s">
        <v>20</v>
      </c>
      <c r="E296" s="24" t="s">
        <v>303</v>
      </c>
      <c r="F296" s="24" t="s">
        <v>166</v>
      </c>
      <c r="G296" s="38"/>
      <c r="H296" s="38"/>
      <c r="I296" s="38"/>
      <c r="J296" s="268"/>
      <c r="K296" s="32"/>
      <c r="L296" s="32">
        <f>J296+K296</f>
        <v>0</v>
      </c>
      <c r="M296" s="33"/>
      <c r="N296" s="34"/>
    </row>
    <row r="297" spans="1:14" ht="19.5" customHeight="1">
      <c r="A297" s="82" t="s">
        <v>25</v>
      </c>
      <c r="B297" s="30" t="s">
        <v>287</v>
      </c>
      <c r="C297" s="30" t="s">
        <v>12</v>
      </c>
      <c r="D297" s="30" t="s">
        <v>24</v>
      </c>
      <c r="E297" s="30"/>
      <c r="F297" s="30"/>
      <c r="G297" s="22">
        <f>G305+G298</f>
        <v>0</v>
      </c>
      <c r="H297" s="22">
        <f>H305+H298</f>
        <v>265.4</v>
      </c>
      <c r="I297" s="22">
        <f>I305+I298</f>
        <v>0</v>
      </c>
      <c r="J297" s="25">
        <f>J298+J300+J305+J309</f>
        <v>1167.5</v>
      </c>
      <c r="K297" s="25">
        <f>K298+K300+K305+K309</f>
        <v>0</v>
      </c>
      <c r="L297" s="25">
        <f>L298+L300+L305+L309</f>
        <v>1167.5</v>
      </c>
      <c r="M297" s="47">
        <f>M298+M300+M305+M309</f>
        <v>0</v>
      </c>
      <c r="N297" s="47">
        <f>N298+N300+N305+N309</f>
        <v>0</v>
      </c>
    </row>
    <row r="298" spans="1:14" ht="36.75" customHeight="1">
      <c r="A298" s="63" t="s">
        <v>294</v>
      </c>
      <c r="B298" s="24" t="s">
        <v>287</v>
      </c>
      <c r="C298" s="24" t="s">
        <v>12</v>
      </c>
      <c r="D298" s="24" t="s">
        <v>24</v>
      </c>
      <c r="E298" s="24" t="s">
        <v>295</v>
      </c>
      <c r="F298" s="24"/>
      <c r="G298" s="38">
        <f>G301</f>
        <v>195</v>
      </c>
      <c r="H298" s="38">
        <f>H301</f>
        <v>0</v>
      </c>
      <c r="I298" s="38">
        <f>I301</f>
        <v>0</v>
      </c>
      <c r="J298" s="32">
        <f>J299</f>
        <v>54.3</v>
      </c>
      <c r="K298" s="32">
        <f>K299</f>
        <v>0</v>
      </c>
      <c r="L298" s="32">
        <f>L299</f>
        <v>54.3</v>
      </c>
      <c r="M298" s="33"/>
      <c r="N298" s="34"/>
    </row>
    <row r="299" spans="1:14" ht="27.75" customHeight="1">
      <c r="A299" s="72" t="s">
        <v>250</v>
      </c>
      <c r="B299" s="24" t="s">
        <v>287</v>
      </c>
      <c r="C299" s="24" t="s">
        <v>12</v>
      </c>
      <c r="D299" s="24" t="s">
        <v>24</v>
      </c>
      <c r="E299" s="24" t="s">
        <v>295</v>
      </c>
      <c r="F299" s="24" t="s">
        <v>166</v>
      </c>
      <c r="G299" s="38"/>
      <c r="H299" s="38"/>
      <c r="I299" s="38"/>
      <c r="J299" s="268">
        <v>54.3</v>
      </c>
      <c r="K299" s="32"/>
      <c r="L299" s="32">
        <f>J299+K299</f>
        <v>54.3</v>
      </c>
      <c r="M299" s="33"/>
      <c r="N299" s="34"/>
    </row>
    <row r="300" spans="1:14" ht="28.5" customHeight="1">
      <c r="A300" s="63" t="s">
        <v>304</v>
      </c>
      <c r="B300" s="24" t="s">
        <v>287</v>
      </c>
      <c r="C300" s="24" t="s">
        <v>12</v>
      </c>
      <c r="D300" s="24" t="s">
        <v>24</v>
      </c>
      <c r="E300" s="24" t="s">
        <v>305</v>
      </c>
      <c r="F300" s="24"/>
      <c r="G300" s="38"/>
      <c r="H300" s="38"/>
      <c r="I300" s="38"/>
      <c r="J300" s="32">
        <f>J301+J302+J303+J304</f>
        <v>479</v>
      </c>
      <c r="K300" s="32">
        <f>K301+K302+K303+K304</f>
        <v>0</v>
      </c>
      <c r="L300" s="32">
        <f>L301+L302+L303+L304</f>
        <v>479</v>
      </c>
      <c r="M300" s="33"/>
      <c r="N300" s="34"/>
    </row>
    <row r="301" spans="1:17" ht="28.5" customHeight="1" hidden="1">
      <c r="A301" s="83" t="s">
        <v>112</v>
      </c>
      <c r="B301" s="24" t="s">
        <v>287</v>
      </c>
      <c r="C301" s="24" t="s">
        <v>12</v>
      </c>
      <c r="D301" s="24" t="s">
        <v>24</v>
      </c>
      <c r="E301" s="24" t="s">
        <v>305</v>
      </c>
      <c r="F301" s="24" t="s">
        <v>113</v>
      </c>
      <c r="G301" s="38">
        <v>195</v>
      </c>
      <c r="H301" s="31"/>
      <c r="I301" s="38"/>
      <c r="J301" s="268"/>
      <c r="K301" s="32"/>
      <c r="L301" s="32">
        <f>J301+K301</f>
        <v>0</v>
      </c>
      <c r="M301" s="33"/>
      <c r="N301" s="34"/>
      <c r="O301" s="172"/>
      <c r="Q301" s="96"/>
    </row>
    <row r="302" spans="1:17" ht="14.25" customHeight="1">
      <c r="A302" s="67" t="s">
        <v>170</v>
      </c>
      <c r="B302" s="24" t="s">
        <v>287</v>
      </c>
      <c r="C302" s="24" t="s">
        <v>12</v>
      </c>
      <c r="D302" s="24" t="s">
        <v>24</v>
      </c>
      <c r="E302" s="24" t="s">
        <v>305</v>
      </c>
      <c r="F302" s="24" t="s">
        <v>171</v>
      </c>
      <c r="G302" s="38"/>
      <c r="H302" s="31"/>
      <c r="I302" s="38"/>
      <c r="J302" s="32">
        <f>241.848+82.712+23</f>
        <v>347.56</v>
      </c>
      <c r="K302" s="32"/>
      <c r="L302" s="32">
        <f>J302+K302</f>
        <v>347.56</v>
      </c>
      <c r="M302" s="33"/>
      <c r="N302" s="34"/>
      <c r="O302" s="172"/>
      <c r="Q302" s="96"/>
    </row>
    <row r="303" spans="1:17" ht="28.5" customHeight="1">
      <c r="A303" s="67" t="s">
        <v>173</v>
      </c>
      <c r="B303" s="24" t="s">
        <v>287</v>
      </c>
      <c r="C303" s="24" t="s">
        <v>12</v>
      </c>
      <c r="D303" s="24" t="s">
        <v>24</v>
      </c>
      <c r="E303" s="24" t="s">
        <v>305</v>
      </c>
      <c r="F303" s="24" t="s">
        <v>174</v>
      </c>
      <c r="G303" s="38"/>
      <c r="H303" s="31"/>
      <c r="I303" s="38"/>
      <c r="J303" s="32">
        <v>1</v>
      </c>
      <c r="K303" s="32"/>
      <c r="L303" s="32">
        <f>J303+K303</f>
        <v>1</v>
      </c>
      <c r="M303" s="33"/>
      <c r="N303" s="34"/>
      <c r="O303" s="172"/>
      <c r="Q303" s="96"/>
    </row>
    <row r="304" spans="1:17" ht="28.5" customHeight="1">
      <c r="A304" s="67" t="s">
        <v>164</v>
      </c>
      <c r="B304" s="24" t="s">
        <v>287</v>
      </c>
      <c r="C304" s="24" t="s">
        <v>12</v>
      </c>
      <c r="D304" s="24" t="s">
        <v>24</v>
      </c>
      <c r="E304" s="24" t="s">
        <v>305</v>
      </c>
      <c r="F304" s="24" t="s">
        <v>166</v>
      </c>
      <c r="G304" s="38"/>
      <c r="H304" s="31"/>
      <c r="I304" s="38"/>
      <c r="J304" s="32">
        <f>3.5+2.995+0.06+117.385+6.5</f>
        <v>130.44</v>
      </c>
      <c r="K304" s="32"/>
      <c r="L304" s="32">
        <f>J304+K304</f>
        <v>130.44</v>
      </c>
      <c r="M304" s="33"/>
      <c r="N304" s="34"/>
      <c r="O304" s="172"/>
      <c r="Q304" s="96"/>
    </row>
    <row r="305" spans="1:14" ht="43.5" customHeight="1">
      <c r="A305" s="83" t="s">
        <v>306</v>
      </c>
      <c r="B305" s="24" t="s">
        <v>287</v>
      </c>
      <c r="C305" s="24" t="s">
        <v>12</v>
      </c>
      <c r="D305" s="24" t="s">
        <v>24</v>
      </c>
      <c r="E305" s="24" t="s">
        <v>307</v>
      </c>
      <c r="F305" s="24"/>
      <c r="G305" s="38">
        <f aca="true" t="shared" si="53" ref="G305:L306">G306</f>
        <v>-195</v>
      </c>
      <c r="H305" s="38">
        <f t="shared" si="53"/>
        <v>265.4</v>
      </c>
      <c r="I305" s="38">
        <f t="shared" si="53"/>
        <v>0</v>
      </c>
      <c r="J305" s="268">
        <f t="shared" si="53"/>
        <v>134.2</v>
      </c>
      <c r="K305" s="32">
        <f>K306</f>
        <v>0</v>
      </c>
      <c r="L305" s="32">
        <f t="shared" si="53"/>
        <v>134.2</v>
      </c>
      <c r="M305" s="33"/>
      <c r="N305" s="34"/>
    </row>
    <row r="306" spans="1:14" ht="27.75" customHeight="1">
      <c r="A306" s="83" t="s">
        <v>114</v>
      </c>
      <c r="B306" s="24" t="s">
        <v>287</v>
      </c>
      <c r="C306" s="24" t="s">
        <v>12</v>
      </c>
      <c r="D306" s="24" t="s">
        <v>24</v>
      </c>
      <c r="E306" s="24" t="s">
        <v>308</v>
      </c>
      <c r="F306" s="24"/>
      <c r="G306" s="38">
        <f t="shared" si="53"/>
        <v>-195</v>
      </c>
      <c r="H306" s="38">
        <f t="shared" si="53"/>
        <v>265.4</v>
      </c>
      <c r="I306" s="38">
        <f t="shared" si="53"/>
        <v>0</v>
      </c>
      <c r="J306" s="32">
        <f>J307+J308</f>
        <v>134.2</v>
      </c>
      <c r="K306" s="32">
        <f>K307+K308</f>
        <v>0</v>
      </c>
      <c r="L306" s="32">
        <f>L307+L308</f>
        <v>134.2</v>
      </c>
      <c r="M306" s="33"/>
      <c r="N306" s="34"/>
    </row>
    <row r="307" spans="1:14" ht="27.75" customHeight="1" hidden="1">
      <c r="A307" s="83" t="s">
        <v>112</v>
      </c>
      <c r="B307" s="24" t="s">
        <v>287</v>
      </c>
      <c r="C307" s="24" t="s">
        <v>12</v>
      </c>
      <c r="D307" s="24" t="s">
        <v>24</v>
      </c>
      <c r="E307" s="24" t="s">
        <v>308</v>
      </c>
      <c r="F307" s="24" t="s">
        <v>113</v>
      </c>
      <c r="G307" s="38">
        <v>-195</v>
      </c>
      <c r="H307" s="38">
        <f>204.4+61</f>
        <v>265.4</v>
      </c>
      <c r="I307" s="38"/>
      <c r="J307" s="268"/>
      <c r="K307" s="32"/>
      <c r="L307" s="32">
        <f>J307+K307</f>
        <v>0</v>
      </c>
      <c r="M307" s="33"/>
      <c r="N307" s="34"/>
    </row>
    <row r="308" spans="1:15" ht="27" customHeight="1">
      <c r="A308" s="67" t="s">
        <v>164</v>
      </c>
      <c r="B308" s="24" t="s">
        <v>287</v>
      </c>
      <c r="C308" s="24" t="s">
        <v>12</v>
      </c>
      <c r="D308" s="24" t="s">
        <v>24</v>
      </c>
      <c r="E308" s="24" t="s">
        <v>308</v>
      </c>
      <c r="F308" s="24" t="s">
        <v>166</v>
      </c>
      <c r="G308" s="38"/>
      <c r="H308" s="38"/>
      <c r="I308" s="38"/>
      <c r="J308" s="268">
        <v>134.2</v>
      </c>
      <c r="K308" s="32"/>
      <c r="L308" s="32">
        <f>J308+K308</f>
        <v>134.2</v>
      </c>
      <c r="M308" s="33"/>
      <c r="N308" s="34"/>
      <c r="O308" s="176"/>
    </row>
    <row r="309" spans="1:15" ht="27" customHeight="1">
      <c r="A309" s="99" t="s">
        <v>309</v>
      </c>
      <c r="B309" s="24" t="s">
        <v>287</v>
      </c>
      <c r="C309" s="24" t="s">
        <v>12</v>
      </c>
      <c r="D309" s="24" t="s">
        <v>24</v>
      </c>
      <c r="E309" s="24" t="s">
        <v>310</v>
      </c>
      <c r="F309" s="24"/>
      <c r="G309" s="38"/>
      <c r="H309" s="38"/>
      <c r="I309" s="38"/>
      <c r="J309" s="268">
        <f>J310</f>
        <v>500</v>
      </c>
      <c r="K309" s="268">
        <f>K310</f>
        <v>0</v>
      </c>
      <c r="L309" s="268">
        <f>L310</f>
        <v>500</v>
      </c>
      <c r="M309" s="100">
        <f>M310</f>
        <v>0</v>
      </c>
      <c r="N309" s="100">
        <f>N310</f>
        <v>0</v>
      </c>
      <c r="O309" s="176"/>
    </row>
    <row r="310" spans="1:15" ht="27" customHeight="1">
      <c r="A310" s="67" t="s">
        <v>164</v>
      </c>
      <c r="B310" s="24" t="s">
        <v>287</v>
      </c>
      <c r="C310" s="24" t="s">
        <v>12</v>
      </c>
      <c r="D310" s="24" t="s">
        <v>24</v>
      </c>
      <c r="E310" s="24" t="s">
        <v>310</v>
      </c>
      <c r="F310" s="24" t="s">
        <v>166</v>
      </c>
      <c r="G310" s="38"/>
      <c r="H310" s="38"/>
      <c r="I310" s="38"/>
      <c r="J310" s="268">
        <v>500</v>
      </c>
      <c r="K310" s="32"/>
      <c r="L310" s="32">
        <f>J310+K310</f>
        <v>500</v>
      </c>
      <c r="M310" s="33"/>
      <c r="N310" s="34"/>
      <c r="O310" s="176"/>
    </row>
    <row r="311" spans="1:14" s="183" customFormat="1" ht="25.5">
      <c r="A311" s="82" t="s">
        <v>30</v>
      </c>
      <c r="B311" s="30" t="s">
        <v>287</v>
      </c>
      <c r="C311" s="30" t="s">
        <v>14</v>
      </c>
      <c r="D311" s="30"/>
      <c r="E311" s="30"/>
      <c r="F311" s="30"/>
      <c r="G311" s="22">
        <f aca="true" t="shared" si="54" ref="G311:N314">G312</f>
        <v>0</v>
      </c>
      <c r="H311" s="22">
        <f t="shared" si="54"/>
        <v>57.6</v>
      </c>
      <c r="I311" s="22">
        <f t="shared" si="54"/>
        <v>0</v>
      </c>
      <c r="J311" s="267">
        <f>J312+J317</f>
        <v>100</v>
      </c>
      <c r="K311" s="267">
        <f>K312+K317</f>
        <v>0</v>
      </c>
      <c r="L311" s="267">
        <f>L312+L317</f>
        <v>100</v>
      </c>
      <c r="M311" s="101">
        <f>M312+M317</f>
        <v>0</v>
      </c>
      <c r="N311" s="101">
        <f>N312+N317</f>
        <v>0</v>
      </c>
    </row>
    <row r="312" spans="1:14" s="148" customFormat="1" ht="51">
      <c r="A312" s="82" t="s">
        <v>311</v>
      </c>
      <c r="B312" s="30" t="s">
        <v>287</v>
      </c>
      <c r="C312" s="30" t="s">
        <v>14</v>
      </c>
      <c r="D312" s="30" t="s">
        <v>34</v>
      </c>
      <c r="E312" s="30"/>
      <c r="F312" s="30"/>
      <c r="G312" s="22">
        <f t="shared" si="54"/>
        <v>0</v>
      </c>
      <c r="H312" s="22">
        <f t="shared" si="54"/>
        <v>57.6</v>
      </c>
      <c r="I312" s="22">
        <f t="shared" si="54"/>
        <v>0</v>
      </c>
      <c r="J312" s="267">
        <f t="shared" si="54"/>
        <v>75</v>
      </c>
      <c r="K312" s="25">
        <f>K313</f>
        <v>0</v>
      </c>
      <c r="L312" s="25">
        <f t="shared" si="54"/>
        <v>75</v>
      </c>
      <c r="M312" s="47">
        <f t="shared" si="54"/>
        <v>0</v>
      </c>
      <c r="N312" s="64">
        <f t="shared" si="54"/>
        <v>0</v>
      </c>
    </row>
    <row r="313" spans="1:14" ht="39">
      <c r="A313" s="83" t="s">
        <v>312</v>
      </c>
      <c r="B313" s="24" t="s">
        <v>287</v>
      </c>
      <c r="C313" s="24" t="s">
        <v>14</v>
      </c>
      <c r="D313" s="24" t="s">
        <v>34</v>
      </c>
      <c r="E313" s="24" t="s">
        <v>313</v>
      </c>
      <c r="F313" s="24"/>
      <c r="G313" s="38">
        <f t="shared" si="54"/>
        <v>0</v>
      </c>
      <c r="H313" s="38">
        <f t="shared" si="54"/>
        <v>57.6</v>
      </c>
      <c r="I313" s="38">
        <f t="shared" si="54"/>
        <v>0</v>
      </c>
      <c r="J313" s="268">
        <f t="shared" si="54"/>
        <v>75</v>
      </c>
      <c r="K313" s="32">
        <f>K314</f>
        <v>0</v>
      </c>
      <c r="L313" s="32">
        <f t="shared" si="54"/>
        <v>75</v>
      </c>
      <c r="M313" s="33">
        <f t="shared" si="54"/>
        <v>0</v>
      </c>
      <c r="N313" s="34">
        <f t="shared" si="54"/>
        <v>0</v>
      </c>
    </row>
    <row r="314" spans="1:14" ht="51.75">
      <c r="A314" s="83" t="s">
        <v>314</v>
      </c>
      <c r="B314" s="24" t="s">
        <v>287</v>
      </c>
      <c r="C314" s="24" t="s">
        <v>14</v>
      </c>
      <c r="D314" s="24" t="s">
        <v>34</v>
      </c>
      <c r="E314" s="24" t="s">
        <v>315</v>
      </c>
      <c r="F314" s="24"/>
      <c r="G314" s="38">
        <f t="shared" si="54"/>
        <v>0</v>
      </c>
      <c r="H314" s="38">
        <f t="shared" si="54"/>
        <v>57.6</v>
      </c>
      <c r="I314" s="38">
        <f t="shared" si="54"/>
        <v>0</v>
      </c>
      <c r="J314" s="32">
        <f>J315+J316</f>
        <v>75</v>
      </c>
      <c r="K314" s="32">
        <f>K315+K316</f>
        <v>0</v>
      </c>
      <c r="L314" s="32">
        <f>L315+L316</f>
        <v>75</v>
      </c>
      <c r="M314" s="33">
        <f t="shared" si="54"/>
        <v>0</v>
      </c>
      <c r="N314" s="34">
        <f t="shared" si="54"/>
        <v>0</v>
      </c>
    </row>
    <row r="315" spans="1:14" ht="51.75" hidden="1">
      <c r="A315" s="83" t="s">
        <v>316</v>
      </c>
      <c r="B315" s="24" t="s">
        <v>287</v>
      </c>
      <c r="C315" s="24" t="s">
        <v>14</v>
      </c>
      <c r="D315" s="24" t="s">
        <v>34</v>
      </c>
      <c r="E315" s="24" t="s">
        <v>315</v>
      </c>
      <c r="F315" s="24" t="s">
        <v>317</v>
      </c>
      <c r="G315" s="38"/>
      <c r="H315" s="38">
        <v>57.6</v>
      </c>
      <c r="I315" s="38"/>
      <c r="J315" s="268"/>
      <c r="K315" s="32"/>
      <c r="L315" s="32">
        <f>J315+K315</f>
        <v>0</v>
      </c>
      <c r="M315" s="33"/>
      <c r="N315" s="34">
        <f>L315+M315</f>
        <v>0</v>
      </c>
    </row>
    <row r="316" spans="1:14" ht="24.75" customHeight="1">
      <c r="A316" s="67" t="s">
        <v>164</v>
      </c>
      <c r="B316" s="24" t="s">
        <v>287</v>
      </c>
      <c r="C316" s="24" t="s">
        <v>14</v>
      </c>
      <c r="D316" s="24" t="s">
        <v>34</v>
      </c>
      <c r="E316" s="24" t="s">
        <v>315</v>
      </c>
      <c r="F316" s="24" t="s">
        <v>166</v>
      </c>
      <c r="G316" s="38"/>
      <c r="H316" s="38"/>
      <c r="I316" s="38"/>
      <c r="J316" s="268">
        <v>75</v>
      </c>
      <c r="K316" s="32"/>
      <c r="L316" s="32">
        <f>J316+K316</f>
        <v>75</v>
      </c>
      <c r="M316" s="33"/>
      <c r="N316" s="34"/>
    </row>
    <row r="317" spans="1:14" s="148" customFormat="1" ht="38.25">
      <c r="A317" s="102" t="s">
        <v>35</v>
      </c>
      <c r="B317" s="30" t="s">
        <v>287</v>
      </c>
      <c r="C317" s="30" t="s">
        <v>14</v>
      </c>
      <c r="D317" s="30" t="s">
        <v>26</v>
      </c>
      <c r="E317" s="30"/>
      <c r="F317" s="30"/>
      <c r="G317" s="22"/>
      <c r="H317" s="22"/>
      <c r="I317" s="22"/>
      <c r="J317" s="267">
        <f>J318</f>
        <v>25</v>
      </c>
      <c r="K317" s="267">
        <f>K318</f>
        <v>0</v>
      </c>
      <c r="L317" s="267">
        <f>L318</f>
        <v>25</v>
      </c>
      <c r="M317" s="103">
        <f>M319+M321</f>
        <v>0</v>
      </c>
      <c r="N317" s="103">
        <f>N319+N321</f>
        <v>0</v>
      </c>
    </row>
    <row r="318" spans="1:14" s="148" customFormat="1" ht="14.25">
      <c r="A318" s="83" t="s">
        <v>348</v>
      </c>
      <c r="B318" s="24" t="s">
        <v>287</v>
      </c>
      <c r="C318" s="24" t="s">
        <v>14</v>
      </c>
      <c r="D318" s="24" t="s">
        <v>26</v>
      </c>
      <c r="E318" s="24" t="s">
        <v>277</v>
      </c>
      <c r="F318" s="24"/>
      <c r="G318" s="38"/>
      <c r="H318" s="38"/>
      <c r="I318" s="38"/>
      <c r="J318" s="268">
        <f>J319+J321</f>
        <v>25</v>
      </c>
      <c r="K318" s="268">
        <f>K319+K321</f>
        <v>0</v>
      </c>
      <c r="L318" s="268">
        <f>L319+L321</f>
        <v>25</v>
      </c>
      <c r="M318" s="103"/>
      <c r="N318" s="103"/>
    </row>
    <row r="319" spans="1:14" ht="63.75">
      <c r="A319" s="99" t="s">
        <v>318</v>
      </c>
      <c r="B319" s="24" t="s">
        <v>287</v>
      </c>
      <c r="C319" s="24" t="s">
        <v>14</v>
      </c>
      <c r="D319" s="24" t="s">
        <v>26</v>
      </c>
      <c r="E319" s="24" t="s">
        <v>319</v>
      </c>
      <c r="F319" s="24"/>
      <c r="G319" s="38"/>
      <c r="H319" s="38"/>
      <c r="I319" s="38"/>
      <c r="J319" s="268">
        <f>J320</f>
        <v>15</v>
      </c>
      <c r="K319" s="268">
        <f>K320</f>
        <v>0</v>
      </c>
      <c r="L319" s="268">
        <f>L320</f>
        <v>15</v>
      </c>
      <c r="M319" s="100">
        <f>M320</f>
        <v>0</v>
      </c>
      <c r="N319" s="100">
        <f>N320</f>
        <v>0</v>
      </c>
    </row>
    <row r="320" spans="1:14" ht="24.75" customHeight="1">
      <c r="A320" s="67" t="s">
        <v>164</v>
      </c>
      <c r="B320" s="24" t="s">
        <v>287</v>
      </c>
      <c r="C320" s="24" t="s">
        <v>14</v>
      </c>
      <c r="D320" s="24" t="s">
        <v>26</v>
      </c>
      <c r="E320" s="24" t="s">
        <v>319</v>
      </c>
      <c r="F320" s="24" t="s">
        <v>166</v>
      </c>
      <c r="G320" s="38"/>
      <c r="H320" s="38"/>
      <c r="I320" s="38"/>
      <c r="J320" s="268">
        <v>15</v>
      </c>
      <c r="K320" s="268"/>
      <c r="L320" s="268">
        <f>J320+K320</f>
        <v>15</v>
      </c>
      <c r="M320" s="100"/>
      <c r="N320" s="100"/>
    </row>
    <row r="321" spans="1:14" ht="38.25">
      <c r="A321" s="67" t="s">
        <v>320</v>
      </c>
      <c r="B321" s="24" t="s">
        <v>287</v>
      </c>
      <c r="C321" s="24" t="s">
        <v>14</v>
      </c>
      <c r="D321" s="24" t="s">
        <v>26</v>
      </c>
      <c r="E321" s="24" t="s">
        <v>321</v>
      </c>
      <c r="F321" s="24"/>
      <c r="G321" s="38"/>
      <c r="H321" s="38"/>
      <c r="I321" s="38"/>
      <c r="J321" s="268">
        <f>J322</f>
        <v>10</v>
      </c>
      <c r="K321" s="268">
        <f>K322</f>
        <v>0</v>
      </c>
      <c r="L321" s="268">
        <f>L322</f>
        <v>10</v>
      </c>
      <c r="M321" s="100">
        <f>M322</f>
        <v>0</v>
      </c>
      <c r="N321" s="100">
        <f>N322</f>
        <v>0</v>
      </c>
    </row>
    <row r="322" spans="1:14" ht="38.25">
      <c r="A322" s="67" t="s">
        <v>164</v>
      </c>
      <c r="B322" s="24" t="s">
        <v>287</v>
      </c>
      <c r="C322" s="24" t="s">
        <v>14</v>
      </c>
      <c r="D322" s="24" t="s">
        <v>26</v>
      </c>
      <c r="E322" s="24" t="s">
        <v>321</v>
      </c>
      <c r="F322" s="24" t="s">
        <v>166</v>
      </c>
      <c r="G322" s="38"/>
      <c r="H322" s="38"/>
      <c r="I322" s="38"/>
      <c r="J322" s="268">
        <v>10</v>
      </c>
      <c r="K322" s="32"/>
      <c r="L322" s="32">
        <f>J322+K322</f>
        <v>10</v>
      </c>
      <c r="M322" s="33"/>
      <c r="N322" s="34"/>
    </row>
    <row r="323" spans="1:14" s="183" customFormat="1" ht="14.25">
      <c r="A323" s="82" t="s">
        <v>36</v>
      </c>
      <c r="B323" s="30" t="s">
        <v>287</v>
      </c>
      <c r="C323" s="30" t="s">
        <v>15</v>
      </c>
      <c r="D323" s="30"/>
      <c r="E323" s="30"/>
      <c r="F323" s="30"/>
      <c r="G323" s="22" t="e">
        <f>G324+G329+#REF!</f>
        <v>#REF!</v>
      </c>
      <c r="H323" s="26" t="e">
        <f>H324+H329+#REF!+#REF!</f>
        <v>#REF!</v>
      </c>
      <c r="I323" s="26" t="e">
        <f>I324+I329+#REF!+#REF!</f>
        <v>#REF!</v>
      </c>
      <c r="J323" s="267">
        <f>J324+J329</f>
        <v>7509.74</v>
      </c>
      <c r="K323" s="267">
        <f>K324+K329</f>
        <v>287.4369999999999</v>
      </c>
      <c r="L323" s="267">
        <f>L324+L329</f>
        <v>7797.177</v>
      </c>
      <c r="M323" s="36" t="e">
        <f>M324+M329+#REF!+#REF!</f>
        <v>#REF!</v>
      </c>
      <c r="N323" s="37" t="e">
        <f>N324+N329+#REF!+#REF!</f>
        <v>#REF!</v>
      </c>
    </row>
    <row r="324" spans="1:14" s="148" customFormat="1" ht="14.25">
      <c r="A324" s="82" t="s">
        <v>39</v>
      </c>
      <c r="B324" s="30" t="s">
        <v>287</v>
      </c>
      <c r="C324" s="30" t="s">
        <v>15</v>
      </c>
      <c r="D324" s="30" t="s">
        <v>17</v>
      </c>
      <c r="E324" s="30"/>
      <c r="F324" s="30"/>
      <c r="G324" s="22">
        <f>G326</f>
        <v>0</v>
      </c>
      <c r="H324" s="22">
        <f>H326</f>
        <v>167.68</v>
      </c>
      <c r="I324" s="22">
        <f>I326</f>
        <v>0</v>
      </c>
      <c r="J324" s="267">
        <f aca="true" t="shared" si="55" ref="J324:L325">J325</f>
        <v>230</v>
      </c>
      <c r="K324" s="267">
        <f t="shared" si="55"/>
        <v>0</v>
      </c>
      <c r="L324" s="267">
        <f t="shared" si="55"/>
        <v>230</v>
      </c>
      <c r="M324" s="47">
        <f>M326</f>
        <v>0</v>
      </c>
      <c r="N324" s="64">
        <f>N326</f>
        <v>0</v>
      </c>
    </row>
    <row r="325" spans="1:14" ht="15">
      <c r="A325" s="83" t="s">
        <v>348</v>
      </c>
      <c r="B325" s="24" t="s">
        <v>287</v>
      </c>
      <c r="C325" s="24" t="s">
        <v>15</v>
      </c>
      <c r="D325" s="24" t="s">
        <v>17</v>
      </c>
      <c r="E325" s="24" t="s">
        <v>277</v>
      </c>
      <c r="F325" s="24"/>
      <c r="G325" s="38"/>
      <c r="H325" s="38"/>
      <c r="I325" s="38"/>
      <c r="J325" s="268">
        <f t="shared" si="55"/>
        <v>230</v>
      </c>
      <c r="K325" s="268">
        <f t="shared" si="55"/>
        <v>0</v>
      </c>
      <c r="L325" s="268">
        <f t="shared" si="55"/>
        <v>230</v>
      </c>
      <c r="M325" s="33"/>
      <c r="N325" s="34"/>
    </row>
    <row r="326" spans="1:14" ht="39">
      <c r="A326" s="83" t="s">
        <v>322</v>
      </c>
      <c r="B326" s="24" t="s">
        <v>287</v>
      </c>
      <c r="C326" s="24" t="s">
        <v>15</v>
      </c>
      <c r="D326" s="24" t="s">
        <v>17</v>
      </c>
      <c r="E326" s="24" t="s">
        <v>323</v>
      </c>
      <c r="F326" s="24"/>
      <c r="G326" s="38">
        <f aca="true" t="shared" si="56" ref="G326:N326">G327</f>
        <v>0</v>
      </c>
      <c r="H326" s="38">
        <f t="shared" si="56"/>
        <v>167.68</v>
      </c>
      <c r="I326" s="38">
        <f t="shared" si="56"/>
        <v>0</v>
      </c>
      <c r="J326" s="32">
        <f>J327+J328</f>
        <v>230</v>
      </c>
      <c r="K326" s="32">
        <f>K327+K328</f>
        <v>0</v>
      </c>
      <c r="L326" s="32">
        <f>L327+L328</f>
        <v>230</v>
      </c>
      <c r="M326" s="33">
        <f t="shared" si="56"/>
        <v>0</v>
      </c>
      <c r="N326" s="34">
        <f t="shared" si="56"/>
        <v>0</v>
      </c>
    </row>
    <row r="327" spans="1:14" ht="30.75" customHeight="1" hidden="1">
      <c r="A327" s="83" t="s">
        <v>324</v>
      </c>
      <c r="B327" s="24" t="s">
        <v>287</v>
      </c>
      <c r="C327" s="24" t="s">
        <v>15</v>
      </c>
      <c r="D327" s="24" t="s">
        <v>17</v>
      </c>
      <c r="E327" s="24" t="s">
        <v>323</v>
      </c>
      <c r="F327" s="24" t="s">
        <v>325</v>
      </c>
      <c r="G327" s="38"/>
      <c r="H327" s="31">
        <v>167.68</v>
      </c>
      <c r="I327" s="38"/>
      <c r="J327" s="268"/>
      <c r="K327" s="32"/>
      <c r="L327" s="32">
        <f>J327+K327</f>
        <v>0</v>
      </c>
      <c r="M327" s="33"/>
      <c r="N327" s="34">
        <f>L327+M327</f>
        <v>0</v>
      </c>
    </row>
    <row r="328" spans="1:14" ht="30" customHeight="1">
      <c r="A328" s="67" t="s">
        <v>164</v>
      </c>
      <c r="B328" s="24" t="s">
        <v>287</v>
      </c>
      <c r="C328" s="24" t="s">
        <v>15</v>
      </c>
      <c r="D328" s="24" t="s">
        <v>17</v>
      </c>
      <c r="E328" s="24" t="s">
        <v>323</v>
      </c>
      <c r="F328" s="24" t="s">
        <v>166</v>
      </c>
      <c r="G328" s="38"/>
      <c r="H328" s="31"/>
      <c r="I328" s="38"/>
      <c r="J328" s="268">
        <v>230</v>
      </c>
      <c r="K328" s="32"/>
      <c r="L328" s="32">
        <f>J328+K328</f>
        <v>230</v>
      </c>
      <c r="M328" s="33"/>
      <c r="N328" s="34"/>
    </row>
    <row r="329" spans="1:14" s="148" customFormat="1" ht="25.5">
      <c r="A329" s="83" t="s">
        <v>326</v>
      </c>
      <c r="B329" s="30" t="s">
        <v>287</v>
      </c>
      <c r="C329" s="30" t="s">
        <v>15</v>
      </c>
      <c r="D329" s="30" t="s">
        <v>23</v>
      </c>
      <c r="E329" s="30"/>
      <c r="F329" s="30"/>
      <c r="G329" s="22" t="e">
        <f>G330+G335+#REF!</f>
        <v>#REF!</v>
      </c>
      <c r="H329" s="22" t="e">
        <f>H330+H335+#REF!</f>
        <v>#REF!</v>
      </c>
      <c r="I329" s="22" t="e">
        <f>I330+I335+#REF!</f>
        <v>#REF!</v>
      </c>
      <c r="J329" s="267">
        <f>J330+J335+J333+J341</f>
        <v>7279.74</v>
      </c>
      <c r="K329" s="267">
        <f>K330+K335+K333+K341</f>
        <v>287.4369999999999</v>
      </c>
      <c r="L329" s="267">
        <f>L330+L335+L333+L341</f>
        <v>7567.177</v>
      </c>
      <c r="M329" s="103" t="e">
        <f>M330+M335+#REF!+M333</f>
        <v>#REF!</v>
      </c>
      <c r="N329" s="103" t="e">
        <f>N330+N335+#REF!+N333</f>
        <v>#REF!</v>
      </c>
    </row>
    <row r="330" spans="1:14" ht="26.25">
      <c r="A330" s="83" t="s">
        <v>331</v>
      </c>
      <c r="B330" s="24" t="s">
        <v>287</v>
      </c>
      <c r="C330" s="24" t="s">
        <v>15</v>
      </c>
      <c r="D330" s="24" t="s">
        <v>23</v>
      </c>
      <c r="E330" s="24" t="s">
        <v>332</v>
      </c>
      <c r="F330" s="24"/>
      <c r="G330" s="32">
        <f aca="true" t="shared" si="57" ref="G330:L330">G331+G332</f>
        <v>2750</v>
      </c>
      <c r="H330" s="32">
        <f t="shared" si="57"/>
        <v>1620.1</v>
      </c>
      <c r="I330" s="32">
        <f t="shared" si="57"/>
        <v>0</v>
      </c>
      <c r="J330" s="32">
        <f t="shared" si="57"/>
        <v>4400.94</v>
      </c>
      <c r="K330" s="32">
        <f t="shared" si="57"/>
        <v>0</v>
      </c>
      <c r="L330" s="32">
        <f t="shared" si="57"/>
        <v>4400.94</v>
      </c>
      <c r="M330" s="33">
        <f>M331</f>
        <v>0</v>
      </c>
      <c r="N330" s="34">
        <f>N331</f>
        <v>0</v>
      </c>
    </row>
    <row r="331" spans="1:14" ht="26.25" hidden="1">
      <c r="A331" s="83" t="s">
        <v>110</v>
      </c>
      <c r="B331" s="24" t="s">
        <v>287</v>
      </c>
      <c r="C331" s="24" t="s">
        <v>15</v>
      </c>
      <c r="D331" s="24" t="s">
        <v>23</v>
      </c>
      <c r="E331" s="24" t="s">
        <v>332</v>
      </c>
      <c r="F331" s="24" t="s">
        <v>109</v>
      </c>
      <c r="G331" s="38">
        <f>2377+151+222</f>
        <v>2750</v>
      </c>
      <c r="H331" s="38">
        <f>1358.1+262</f>
        <v>1620.1</v>
      </c>
      <c r="I331" s="38"/>
      <c r="J331" s="268"/>
      <c r="K331" s="32"/>
      <c r="L331" s="32">
        <f>J331+K331</f>
        <v>0</v>
      </c>
      <c r="M331" s="33"/>
      <c r="N331" s="34">
        <f>L331+M331</f>
        <v>0</v>
      </c>
    </row>
    <row r="332" spans="1:14" ht="38.25">
      <c r="A332" s="67" t="s">
        <v>164</v>
      </c>
      <c r="B332" s="24" t="s">
        <v>287</v>
      </c>
      <c r="C332" s="24" t="s">
        <v>15</v>
      </c>
      <c r="D332" s="24" t="s">
        <v>23</v>
      </c>
      <c r="E332" s="24" t="s">
        <v>332</v>
      </c>
      <c r="F332" s="24" t="s">
        <v>166</v>
      </c>
      <c r="G332" s="38"/>
      <c r="H332" s="38"/>
      <c r="I332" s="38"/>
      <c r="J332" s="268">
        <v>4400.94</v>
      </c>
      <c r="K332" s="32"/>
      <c r="L332" s="32">
        <f>J332+K332</f>
        <v>4400.94</v>
      </c>
      <c r="M332" s="33"/>
      <c r="N332" s="34"/>
    </row>
    <row r="333" spans="1:14" ht="15">
      <c r="A333" s="67" t="s">
        <v>333</v>
      </c>
      <c r="B333" s="24" t="s">
        <v>287</v>
      </c>
      <c r="C333" s="24" t="s">
        <v>15</v>
      </c>
      <c r="D333" s="24" t="s">
        <v>23</v>
      </c>
      <c r="E333" s="24" t="s">
        <v>334</v>
      </c>
      <c r="F333" s="24"/>
      <c r="G333" s="38"/>
      <c r="H333" s="38"/>
      <c r="I333" s="38"/>
      <c r="J333" s="268">
        <f>J334</f>
        <v>708.7</v>
      </c>
      <c r="K333" s="268">
        <f>K334</f>
        <v>37.437</v>
      </c>
      <c r="L333" s="268">
        <f>L334</f>
        <v>746.1370000000001</v>
      </c>
      <c r="M333" s="100">
        <f>M334</f>
        <v>0</v>
      </c>
      <c r="N333" s="100">
        <f>N334</f>
        <v>0</v>
      </c>
    </row>
    <row r="334" spans="1:14" ht="48.75" customHeight="1">
      <c r="A334" s="67" t="s">
        <v>142</v>
      </c>
      <c r="B334" s="24" t="s">
        <v>287</v>
      </c>
      <c r="C334" s="24" t="s">
        <v>15</v>
      </c>
      <c r="D334" s="24" t="s">
        <v>23</v>
      </c>
      <c r="E334" s="24" t="s">
        <v>334</v>
      </c>
      <c r="F334" s="24" t="s">
        <v>143</v>
      </c>
      <c r="G334" s="38"/>
      <c r="H334" s="38"/>
      <c r="I334" s="38"/>
      <c r="J334" s="268">
        <v>708.7</v>
      </c>
      <c r="K334" s="32">
        <f>37.437</f>
        <v>37.437</v>
      </c>
      <c r="L334" s="32">
        <f>J334+K334</f>
        <v>746.1370000000001</v>
      </c>
      <c r="M334" s="33"/>
      <c r="N334" s="34"/>
    </row>
    <row r="335" spans="1:14" ht="30" customHeight="1">
      <c r="A335" s="83" t="s">
        <v>335</v>
      </c>
      <c r="B335" s="24" t="s">
        <v>287</v>
      </c>
      <c r="C335" s="24" t="s">
        <v>15</v>
      </c>
      <c r="D335" s="24" t="s">
        <v>23</v>
      </c>
      <c r="E335" s="24" t="s">
        <v>336</v>
      </c>
      <c r="F335" s="24"/>
      <c r="G335" s="38">
        <f>G338</f>
        <v>550</v>
      </c>
      <c r="H335" s="38">
        <f>H338</f>
        <v>314.4</v>
      </c>
      <c r="I335" s="38">
        <f>I338</f>
        <v>0</v>
      </c>
      <c r="J335" s="268">
        <f>J338+J336</f>
        <v>750</v>
      </c>
      <c r="K335" s="268">
        <f>K338+K336</f>
        <v>1050</v>
      </c>
      <c r="L335" s="268">
        <f>L338+L336</f>
        <v>1800</v>
      </c>
      <c r="M335" s="33">
        <f>M338</f>
        <v>0</v>
      </c>
      <c r="N335" s="34">
        <f>N338</f>
        <v>335</v>
      </c>
    </row>
    <row r="336" spans="1:14" ht="15">
      <c r="A336" s="67" t="s">
        <v>509</v>
      </c>
      <c r="B336" s="24" t="s">
        <v>287</v>
      </c>
      <c r="C336" s="24" t="s">
        <v>15</v>
      </c>
      <c r="D336" s="24" t="s">
        <v>23</v>
      </c>
      <c r="E336" s="24" t="s">
        <v>508</v>
      </c>
      <c r="F336" s="24"/>
      <c r="G336" s="38"/>
      <c r="H336" s="38"/>
      <c r="I336" s="38"/>
      <c r="J336" s="268">
        <f>J337</f>
        <v>0</v>
      </c>
      <c r="K336" s="268">
        <f>K337</f>
        <v>800</v>
      </c>
      <c r="L336" s="268">
        <f>L337</f>
        <v>800</v>
      </c>
      <c r="M336" s="33"/>
      <c r="N336" s="34"/>
    </row>
    <row r="337" spans="1:14" ht="25.5">
      <c r="A337" s="67" t="s">
        <v>181</v>
      </c>
      <c r="B337" s="24" t="s">
        <v>287</v>
      </c>
      <c r="C337" s="24" t="s">
        <v>15</v>
      </c>
      <c r="D337" s="24" t="s">
        <v>23</v>
      </c>
      <c r="E337" s="24" t="s">
        <v>508</v>
      </c>
      <c r="F337" s="24" t="s">
        <v>182</v>
      </c>
      <c r="G337" s="38"/>
      <c r="H337" s="38"/>
      <c r="I337" s="38"/>
      <c r="J337" s="268"/>
      <c r="K337" s="32">
        <f>800</f>
        <v>800</v>
      </c>
      <c r="L337" s="32">
        <f>J337+K337</f>
        <v>800</v>
      </c>
      <c r="M337" s="33"/>
      <c r="N337" s="34"/>
    </row>
    <row r="338" spans="1:14" ht="26.25">
      <c r="A338" s="83" t="s">
        <v>337</v>
      </c>
      <c r="B338" s="24" t="s">
        <v>287</v>
      </c>
      <c r="C338" s="24" t="s">
        <v>15</v>
      </c>
      <c r="D338" s="24" t="s">
        <v>23</v>
      </c>
      <c r="E338" s="24" t="s">
        <v>338</v>
      </c>
      <c r="F338" s="24"/>
      <c r="G338" s="38">
        <f aca="true" t="shared" si="58" ref="G338:N338">G339</f>
        <v>550</v>
      </c>
      <c r="H338" s="38">
        <f t="shared" si="58"/>
        <v>314.4</v>
      </c>
      <c r="I338" s="38">
        <f t="shared" si="58"/>
        <v>0</v>
      </c>
      <c r="J338" s="32">
        <f>J339+J340</f>
        <v>750</v>
      </c>
      <c r="K338" s="32">
        <f>K339+K340</f>
        <v>250</v>
      </c>
      <c r="L338" s="32">
        <f>L339+L340</f>
        <v>1000</v>
      </c>
      <c r="M338" s="33">
        <f t="shared" si="58"/>
        <v>0</v>
      </c>
      <c r="N338" s="34">
        <f t="shared" si="58"/>
        <v>335</v>
      </c>
    </row>
    <row r="339" spans="1:14" ht="51">
      <c r="A339" s="67" t="s">
        <v>177</v>
      </c>
      <c r="B339" s="24" t="s">
        <v>287</v>
      </c>
      <c r="C339" s="24" t="s">
        <v>15</v>
      </c>
      <c r="D339" s="24" t="s">
        <v>23</v>
      </c>
      <c r="E339" s="24" t="s">
        <v>338</v>
      </c>
      <c r="F339" s="24" t="s">
        <v>178</v>
      </c>
      <c r="G339" s="38">
        <v>550</v>
      </c>
      <c r="H339" s="38">
        <v>314.4</v>
      </c>
      <c r="I339" s="38"/>
      <c r="J339" s="268"/>
      <c r="K339" s="32">
        <f>250+85</f>
        <v>335</v>
      </c>
      <c r="L339" s="32">
        <f>J339+K339</f>
        <v>335</v>
      </c>
      <c r="M339" s="33"/>
      <c r="N339" s="34">
        <f>L339+M339</f>
        <v>335</v>
      </c>
    </row>
    <row r="340" spans="1:14" ht="25.5" customHeight="1">
      <c r="A340" s="67" t="s">
        <v>164</v>
      </c>
      <c r="B340" s="24" t="s">
        <v>287</v>
      </c>
      <c r="C340" s="24" t="s">
        <v>15</v>
      </c>
      <c r="D340" s="24" t="s">
        <v>23</v>
      </c>
      <c r="E340" s="24" t="s">
        <v>338</v>
      </c>
      <c r="F340" s="24" t="s">
        <v>166</v>
      </c>
      <c r="G340" s="38"/>
      <c r="H340" s="38"/>
      <c r="I340" s="38"/>
      <c r="J340" s="268">
        <v>750</v>
      </c>
      <c r="K340" s="32">
        <f>-85</f>
        <v>-85</v>
      </c>
      <c r="L340" s="32">
        <f>J340+K340</f>
        <v>665</v>
      </c>
      <c r="M340" s="33"/>
      <c r="N340" s="34"/>
    </row>
    <row r="341" spans="1:14" ht="15">
      <c r="A341" s="67" t="s">
        <v>348</v>
      </c>
      <c r="B341" s="24" t="s">
        <v>287</v>
      </c>
      <c r="C341" s="24" t="s">
        <v>15</v>
      </c>
      <c r="D341" s="24" t="s">
        <v>23</v>
      </c>
      <c r="E341" s="24" t="s">
        <v>277</v>
      </c>
      <c r="F341" s="24"/>
      <c r="G341" s="38"/>
      <c r="H341" s="38"/>
      <c r="I341" s="38"/>
      <c r="J341" s="268">
        <f>J342+J344</f>
        <v>1420.1</v>
      </c>
      <c r="K341" s="268">
        <f>K342+K344</f>
        <v>-800</v>
      </c>
      <c r="L341" s="268">
        <f>L342+L344</f>
        <v>620.1</v>
      </c>
      <c r="M341" s="33"/>
      <c r="N341" s="39"/>
    </row>
    <row r="342" spans="1:14" ht="51.75">
      <c r="A342" s="92" t="s">
        <v>479</v>
      </c>
      <c r="B342" s="24" t="s">
        <v>287</v>
      </c>
      <c r="C342" s="24" t="s">
        <v>15</v>
      </c>
      <c r="D342" s="24" t="s">
        <v>23</v>
      </c>
      <c r="E342" s="24" t="s">
        <v>478</v>
      </c>
      <c r="F342" s="24"/>
      <c r="G342" s="38"/>
      <c r="H342" s="38"/>
      <c r="I342" s="38"/>
      <c r="J342" s="268">
        <f>J343</f>
        <v>1400</v>
      </c>
      <c r="K342" s="268">
        <f>K343</f>
        <v>-800</v>
      </c>
      <c r="L342" s="268">
        <f>L343</f>
        <v>600</v>
      </c>
      <c r="M342" s="33"/>
      <c r="N342" s="39"/>
    </row>
    <row r="343" spans="1:14" ht="24.75" customHeight="1">
      <c r="A343" s="67" t="s">
        <v>164</v>
      </c>
      <c r="B343" s="24" t="s">
        <v>287</v>
      </c>
      <c r="C343" s="24" t="s">
        <v>15</v>
      </c>
      <c r="D343" s="24" t="s">
        <v>23</v>
      </c>
      <c r="E343" s="24" t="s">
        <v>478</v>
      </c>
      <c r="F343" s="24" t="s">
        <v>166</v>
      </c>
      <c r="G343" s="38"/>
      <c r="H343" s="38"/>
      <c r="I343" s="38"/>
      <c r="J343" s="268">
        <v>1400</v>
      </c>
      <c r="K343" s="32">
        <v>-800</v>
      </c>
      <c r="L343" s="32">
        <f>J343+K343</f>
        <v>600</v>
      </c>
      <c r="M343" s="33"/>
      <c r="N343" s="39"/>
    </row>
    <row r="344" spans="1:14" ht="36.75">
      <c r="A344" s="254" t="s">
        <v>486</v>
      </c>
      <c r="B344" s="24" t="s">
        <v>287</v>
      </c>
      <c r="C344" s="24" t="s">
        <v>15</v>
      </c>
      <c r="D344" s="24" t="s">
        <v>169</v>
      </c>
      <c r="E344" s="24" t="s">
        <v>487</v>
      </c>
      <c r="F344" s="24"/>
      <c r="G344" s="38"/>
      <c r="H344" s="38"/>
      <c r="I344" s="38"/>
      <c r="J344" s="268">
        <f>J345</f>
        <v>20.1</v>
      </c>
      <c r="K344" s="268">
        <f>K345</f>
        <v>0</v>
      </c>
      <c r="L344" s="268">
        <f>L345</f>
        <v>20.1</v>
      </c>
      <c r="M344" s="33"/>
      <c r="N344" s="39"/>
    </row>
    <row r="345" spans="1:14" ht="29.25" customHeight="1">
      <c r="A345" s="67" t="s">
        <v>164</v>
      </c>
      <c r="B345" s="24" t="s">
        <v>287</v>
      </c>
      <c r="C345" s="24" t="s">
        <v>15</v>
      </c>
      <c r="D345" s="24" t="s">
        <v>169</v>
      </c>
      <c r="E345" s="24" t="s">
        <v>487</v>
      </c>
      <c r="F345" s="24" t="s">
        <v>166</v>
      </c>
      <c r="G345" s="38"/>
      <c r="H345" s="38"/>
      <c r="I345" s="38"/>
      <c r="J345" s="268">
        <v>20.1</v>
      </c>
      <c r="K345" s="32"/>
      <c r="L345" s="32">
        <f>J345+K345</f>
        <v>20.1</v>
      </c>
      <c r="M345" s="33"/>
      <c r="N345" s="39"/>
    </row>
    <row r="346" spans="1:14" s="183" customFormat="1" ht="14.25">
      <c r="A346" s="82" t="s">
        <v>245</v>
      </c>
      <c r="B346" s="30" t="s">
        <v>287</v>
      </c>
      <c r="C346" s="30" t="s">
        <v>17</v>
      </c>
      <c r="D346" s="30"/>
      <c r="E346" s="30"/>
      <c r="F346" s="30"/>
      <c r="G346" s="22" t="e">
        <f>G347+G359+G372+#REF!</f>
        <v>#REF!</v>
      </c>
      <c r="H346" s="22" t="e">
        <f>H347+H359+H372+#REF!</f>
        <v>#REF!</v>
      </c>
      <c r="I346" s="22" t="e">
        <f>I347+I359+I372+#REF!</f>
        <v>#REF!</v>
      </c>
      <c r="J346" s="25">
        <f>J347+J359+J372</f>
        <v>21437.782</v>
      </c>
      <c r="K346" s="25">
        <f>K347+K359+K372</f>
        <v>5964.7092999999995</v>
      </c>
      <c r="L346" s="25">
        <f>L347+L359+L372</f>
        <v>27402.4913</v>
      </c>
      <c r="M346" s="36" t="e">
        <f>M347+M359+M372+#REF!</f>
        <v>#REF!</v>
      </c>
      <c r="N346" s="104" t="e">
        <f>N347+N359+N372+#REF!</f>
        <v>#REF!</v>
      </c>
    </row>
    <row r="347" spans="1:14" s="148" customFormat="1" ht="15" customHeight="1">
      <c r="A347" s="82" t="s">
        <v>44</v>
      </c>
      <c r="B347" s="30" t="s">
        <v>287</v>
      </c>
      <c r="C347" s="30" t="s">
        <v>17</v>
      </c>
      <c r="D347" s="30" t="s">
        <v>12</v>
      </c>
      <c r="E347" s="30"/>
      <c r="F347" s="30"/>
      <c r="G347" s="22">
        <f>G355</f>
        <v>-40</v>
      </c>
      <c r="H347" s="26" t="e">
        <f>H355+#REF!+#REF!</f>
        <v>#REF!</v>
      </c>
      <c r="I347" s="26" t="e">
        <f>I355+#REF!+#REF!</f>
        <v>#REF!</v>
      </c>
      <c r="J347" s="267">
        <f>J354+J351+J348</f>
        <v>14347.462</v>
      </c>
      <c r="K347" s="267">
        <f>K354+K351+K348</f>
        <v>0</v>
      </c>
      <c r="L347" s="267">
        <f>L354+L351+L348</f>
        <v>14347.462</v>
      </c>
      <c r="M347" s="47" t="e">
        <f>M355+#REF!+#REF!</f>
        <v>#REF!</v>
      </c>
      <c r="N347" s="64" t="e">
        <f>N355+#REF!+#REF!</f>
        <v>#REF!</v>
      </c>
    </row>
    <row r="348" spans="1:14" s="148" customFormat="1" ht="51" customHeight="1">
      <c r="A348" s="83" t="s">
        <v>480</v>
      </c>
      <c r="B348" s="24" t="s">
        <v>287</v>
      </c>
      <c r="C348" s="24" t="s">
        <v>17</v>
      </c>
      <c r="D348" s="24" t="s">
        <v>12</v>
      </c>
      <c r="E348" s="24" t="s">
        <v>490</v>
      </c>
      <c r="F348" s="24"/>
      <c r="G348" s="22"/>
      <c r="H348" s="26"/>
      <c r="I348" s="26"/>
      <c r="J348" s="267">
        <f>J349+J350</f>
        <v>10906.508</v>
      </c>
      <c r="K348" s="267">
        <f>K349+K350</f>
        <v>0</v>
      </c>
      <c r="L348" s="267">
        <f>L349+L350</f>
        <v>10906.508</v>
      </c>
      <c r="M348" s="47"/>
      <c r="N348" s="64"/>
    </row>
    <row r="349" spans="1:14" s="148" customFormat="1" ht="27" customHeight="1">
      <c r="A349" s="67" t="s">
        <v>164</v>
      </c>
      <c r="B349" s="24" t="s">
        <v>287</v>
      </c>
      <c r="C349" s="24" t="s">
        <v>17</v>
      </c>
      <c r="D349" s="24" t="s">
        <v>12</v>
      </c>
      <c r="E349" s="24" t="s">
        <v>490</v>
      </c>
      <c r="F349" s="24" t="s">
        <v>166</v>
      </c>
      <c r="G349" s="22"/>
      <c r="H349" s="26"/>
      <c r="I349" s="26"/>
      <c r="J349" s="268">
        <v>10906.508</v>
      </c>
      <c r="K349" s="268">
        <v>-10906.508</v>
      </c>
      <c r="L349" s="268">
        <f>J349+K349</f>
        <v>0</v>
      </c>
      <c r="M349" s="47"/>
      <c r="N349" s="64"/>
    </row>
    <row r="350" spans="1:14" s="148" customFormat="1" ht="26.25" customHeight="1">
      <c r="A350" s="67" t="s">
        <v>489</v>
      </c>
      <c r="B350" s="24" t="s">
        <v>287</v>
      </c>
      <c r="C350" s="24" t="s">
        <v>17</v>
      </c>
      <c r="D350" s="24" t="s">
        <v>12</v>
      </c>
      <c r="E350" s="24" t="s">
        <v>490</v>
      </c>
      <c r="F350" s="24" t="s">
        <v>488</v>
      </c>
      <c r="G350" s="38"/>
      <c r="H350" s="31"/>
      <c r="I350" s="31"/>
      <c r="J350" s="268"/>
      <c r="K350" s="268">
        <v>10906.508</v>
      </c>
      <c r="L350" s="268">
        <f>J350+K350</f>
        <v>10906.508</v>
      </c>
      <c r="M350" s="47"/>
      <c r="N350" s="64"/>
    </row>
    <row r="351" spans="1:14" s="148" customFormat="1" ht="42.75" customHeight="1">
      <c r="A351" s="83" t="s">
        <v>481</v>
      </c>
      <c r="B351" s="24" t="s">
        <v>287</v>
      </c>
      <c r="C351" s="24" t="s">
        <v>17</v>
      </c>
      <c r="D351" s="24" t="s">
        <v>12</v>
      </c>
      <c r="E351" s="24" t="s">
        <v>457</v>
      </c>
      <c r="F351" s="24"/>
      <c r="G351" s="38"/>
      <c r="H351" s="31"/>
      <c r="I351" s="31"/>
      <c r="J351" s="268">
        <f>J352+J353</f>
        <v>3087.859</v>
      </c>
      <c r="K351" s="268">
        <f>K352+K353</f>
        <v>0</v>
      </c>
      <c r="L351" s="268">
        <f>L352+L353</f>
        <v>3087.859</v>
      </c>
      <c r="M351" s="47"/>
      <c r="N351" s="64"/>
    </row>
    <row r="352" spans="1:14" s="148" customFormat="1" ht="26.25" customHeight="1">
      <c r="A352" s="67" t="s">
        <v>164</v>
      </c>
      <c r="B352" s="24" t="s">
        <v>287</v>
      </c>
      <c r="C352" s="24" t="s">
        <v>17</v>
      </c>
      <c r="D352" s="24" t="s">
        <v>12</v>
      </c>
      <c r="E352" s="24" t="s">
        <v>457</v>
      </c>
      <c r="F352" s="24" t="s">
        <v>166</v>
      </c>
      <c r="G352" s="38"/>
      <c r="H352" s="31"/>
      <c r="I352" s="31"/>
      <c r="J352" s="268">
        <v>3087.859</v>
      </c>
      <c r="K352" s="268">
        <v>-3087.859</v>
      </c>
      <c r="L352" s="268">
        <f>J352+K352</f>
        <v>0</v>
      </c>
      <c r="M352" s="47"/>
      <c r="N352" s="64"/>
    </row>
    <row r="353" spans="1:14" s="148" customFormat="1" ht="26.25" customHeight="1">
      <c r="A353" s="67" t="s">
        <v>489</v>
      </c>
      <c r="B353" s="24" t="s">
        <v>287</v>
      </c>
      <c r="C353" s="24" t="s">
        <v>17</v>
      </c>
      <c r="D353" s="24" t="s">
        <v>12</v>
      </c>
      <c r="E353" s="24" t="s">
        <v>457</v>
      </c>
      <c r="F353" s="24" t="s">
        <v>488</v>
      </c>
      <c r="G353" s="38"/>
      <c r="H353" s="31"/>
      <c r="I353" s="31"/>
      <c r="J353" s="268"/>
      <c r="K353" s="268">
        <v>3087.859</v>
      </c>
      <c r="L353" s="268">
        <f>J353+K353</f>
        <v>3087.859</v>
      </c>
      <c r="M353" s="47"/>
      <c r="N353" s="64"/>
    </row>
    <row r="354" spans="1:14" ht="15" customHeight="1">
      <c r="A354" s="83" t="s">
        <v>348</v>
      </c>
      <c r="B354" s="24" t="s">
        <v>287</v>
      </c>
      <c r="C354" s="24" t="s">
        <v>17</v>
      </c>
      <c r="D354" s="24" t="s">
        <v>12</v>
      </c>
      <c r="E354" s="24" t="s">
        <v>277</v>
      </c>
      <c r="F354" s="24"/>
      <c r="G354" s="38"/>
      <c r="H354" s="31"/>
      <c r="I354" s="31"/>
      <c r="J354" s="268">
        <f>J355+J357</f>
        <v>353.095</v>
      </c>
      <c r="K354" s="268">
        <f>K355+K357</f>
        <v>0</v>
      </c>
      <c r="L354" s="268">
        <f>L355+L357</f>
        <v>353.095</v>
      </c>
      <c r="M354" s="33"/>
      <c r="N354" s="34"/>
    </row>
    <row r="355" spans="1:14" ht="30" customHeight="1">
      <c r="A355" s="99" t="s">
        <v>339</v>
      </c>
      <c r="B355" s="24" t="s">
        <v>287</v>
      </c>
      <c r="C355" s="24" t="s">
        <v>17</v>
      </c>
      <c r="D355" s="24" t="s">
        <v>12</v>
      </c>
      <c r="E355" s="24" t="s">
        <v>340</v>
      </c>
      <c r="F355" s="24"/>
      <c r="G355" s="38">
        <f aca="true" t="shared" si="59" ref="G355:N355">G356</f>
        <v>-40</v>
      </c>
      <c r="H355" s="38">
        <f t="shared" si="59"/>
        <v>0</v>
      </c>
      <c r="I355" s="38">
        <f t="shared" si="59"/>
        <v>0</v>
      </c>
      <c r="J355" s="268">
        <f t="shared" si="59"/>
        <v>10</v>
      </c>
      <c r="K355" s="32">
        <f t="shared" si="59"/>
        <v>0</v>
      </c>
      <c r="L355" s="32">
        <f t="shared" si="59"/>
        <v>10</v>
      </c>
      <c r="M355" s="33">
        <f t="shared" si="59"/>
        <v>0</v>
      </c>
      <c r="N355" s="34">
        <f t="shared" si="59"/>
        <v>10</v>
      </c>
    </row>
    <row r="356" spans="1:14" ht="30" customHeight="1">
      <c r="A356" s="67" t="s">
        <v>164</v>
      </c>
      <c r="B356" s="24" t="s">
        <v>287</v>
      </c>
      <c r="C356" s="24" t="s">
        <v>17</v>
      </c>
      <c r="D356" s="24" t="s">
        <v>12</v>
      </c>
      <c r="E356" s="24" t="s">
        <v>340</v>
      </c>
      <c r="F356" s="24" t="s">
        <v>166</v>
      </c>
      <c r="G356" s="38">
        <v>-40</v>
      </c>
      <c r="H356" s="31"/>
      <c r="I356" s="38"/>
      <c r="J356" s="268">
        <v>10</v>
      </c>
      <c r="K356" s="32"/>
      <c r="L356" s="32">
        <f>J356+K356</f>
        <v>10</v>
      </c>
      <c r="M356" s="33"/>
      <c r="N356" s="34">
        <f>L356+M356</f>
        <v>10</v>
      </c>
    </row>
    <row r="357" spans="1:14" ht="38.25" customHeight="1">
      <c r="A357" s="35" t="s">
        <v>476</v>
      </c>
      <c r="B357" s="24" t="s">
        <v>287</v>
      </c>
      <c r="C357" s="24" t="s">
        <v>17</v>
      </c>
      <c r="D357" s="24" t="s">
        <v>12</v>
      </c>
      <c r="E357" s="24" t="s">
        <v>475</v>
      </c>
      <c r="F357" s="24"/>
      <c r="G357" s="38"/>
      <c r="H357" s="31"/>
      <c r="I357" s="38"/>
      <c r="J357" s="268">
        <f>J358</f>
        <v>343.095</v>
      </c>
      <c r="K357" s="268">
        <f>K358</f>
        <v>0</v>
      </c>
      <c r="L357" s="268">
        <f>L358</f>
        <v>343.095</v>
      </c>
      <c r="M357" s="39"/>
      <c r="N357" s="39"/>
    </row>
    <row r="358" spans="1:14" ht="30" customHeight="1">
      <c r="A358" s="67" t="s">
        <v>164</v>
      </c>
      <c r="B358" s="24" t="s">
        <v>287</v>
      </c>
      <c r="C358" s="24" t="s">
        <v>17</v>
      </c>
      <c r="D358" s="24" t="s">
        <v>12</v>
      </c>
      <c r="E358" s="24" t="s">
        <v>475</v>
      </c>
      <c r="F358" s="24" t="s">
        <v>166</v>
      </c>
      <c r="G358" s="38"/>
      <c r="H358" s="31"/>
      <c r="I358" s="38"/>
      <c r="J358" s="268">
        <v>343.095</v>
      </c>
      <c r="K358" s="32"/>
      <c r="L358" s="32">
        <f>J358+K358</f>
        <v>343.095</v>
      </c>
      <c r="M358" s="39"/>
      <c r="N358" s="39"/>
    </row>
    <row r="359" spans="1:14" s="148" customFormat="1" ht="14.25">
      <c r="A359" s="83" t="s">
        <v>45</v>
      </c>
      <c r="B359" s="30" t="s">
        <v>287</v>
      </c>
      <c r="C359" s="30" t="s">
        <v>17</v>
      </c>
      <c r="D359" s="30" t="s">
        <v>13</v>
      </c>
      <c r="E359" s="30"/>
      <c r="F359" s="30"/>
      <c r="G359" s="22" t="e">
        <f>#REF!+G369+#REF!+#REF!</f>
        <v>#REF!</v>
      </c>
      <c r="H359" s="26" t="e">
        <f>#REF!+H369+#REF!+#REF!+#REF!+#REF!+H364</f>
        <v>#REF!</v>
      </c>
      <c r="I359" s="26" t="e">
        <f>#REF!+I369+#REF!+#REF!+#REF!+#REF!+I364</f>
        <v>#REF!</v>
      </c>
      <c r="J359" s="267">
        <f>J362+J364+J369+J367+J360</f>
        <v>6590.32</v>
      </c>
      <c r="K359" s="267">
        <f>K362+K364+K369+K367+K360</f>
        <v>6364.7092999999995</v>
      </c>
      <c r="L359" s="267">
        <f>L362+L364+L369+L367+L360</f>
        <v>12955.029300000002</v>
      </c>
      <c r="M359" s="105" t="e">
        <f>#REF!+#REF!+#REF!+#REF!+#REF!+M364+M362+M369+#REF!</f>
        <v>#REF!</v>
      </c>
      <c r="N359" s="106" t="e">
        <f>#REF!+#REF!+#REF!+#REF!+#REF!+N364+N362+N369+#REF!</f>
        <v>#REF!</v>
      </c>
    </row>
    <row r="360" spans="1:14" s="148" customFormat="1" ht="39" customHeight="1">
      <c r="A360" s="83" t="s">
        <v>327</v>
      </c>
      <c r="B360" s="24" t="s">
        <v>287</v>
      </c>
      <c r="C360" s="24" t="s">
        <v>17</v>
      </c>
      <c r="D360" s="24" t="s">
        <v>13</v>
      </c>
      <c r="E360" s="24" t="s">
        <v>501</v>
      </c>
      <c r="F360" s="24"/>
      <c r="G360" s="38"/>
      <c r="H360" s="31"/>
      <c r="I360" s="31"/>
      <c r="J360" s="268">
        <f>J361</f>
        <v>0</v>
      </c>
      <c r="K360" s="268">
        <f>K361</f>
        <v>2229.2</v>
      </c>
      <c r="L360" s="268">
        <f>L361</f>
        <v>2229.2</v>
      </c>
      <c r="M360" s="100" t="e">
        <f>#REF!+#REF!</f>
        <v>#REF!</v>
      </c>
      <c r="N360" s="100" t="e">
        <f>#REF!+#REF!</f>
        <v>#REF!</v>
      </c>
    </row>
    <row r="361" spans="1:17" ht="51.75">
      <c r="A361" s="83" t="s">
        <v>344</v>
      </c>
      <c r="B361" s="24" t="s">
        <v>287</v>
      </c>
      <c r="C361" s="24" t="s">
        <v>17</v>
      </c>
      <c r="D361" s="24" t="s">
        <v>13</v>
      </c>
      <c r="E361" s="24" t="s">
        <v>501</v>
      </c>
      <c r="F361" s="24" t="s">
        <v>345</v>
      </c>
      <c r="G361" s="38"/>
      <c r="H361" s="38"/>
      <c r="I361" s="38"/>
      <c r="J361" s="268"/>
      <c r="K361" s="32">
        <f>2229.2</f>
        <v>2229.2</v>
      </c>
      <c r="L361" s="32">
        <f>J361+K361</f>
        <v>2229.2</v>
      </c>
      <c r="M361" s="33"/>
      <c r="N361" s="34"/>
      <c r="Q361" s="172"/>
    </row>
    <row r="362" spans="1:14" s="148" customFormat="1" ht="39" customHeight="1">
      <c r="A362" s="83" t="s">
        <v>327</v>
      </c>
      <c r="B362" s="24" t="s">
        <v>287</v>
      </c>
      <c r="C362" s="24" t="s">
        <v>17</v>
      </c>
      <c r="D362" s="24" t="s">
        <v>13</v>
      </c>
      <c r="E362" s="24" t="s">
        <v>328</v>
      </c>
      <c r="F362" s="24"/>
      <c r="G362" s="38"/>
      <c r="H362" s="31"/>
      <c r="I362" s="31"/>
      <c r="J362" s="268">
        <f>J363</f>
        <v>3484.92</v>
      </c>
      <c r="K362" s="268">
        <f>K363</f>
        <v>-1079.6907</v>
      </c>
      <c r="L362" s="268">
        <f>L363</f>
        <v>2405.2293</v>
      </c>
      <c r="M362" s="100" t="e">
        <f>#REF!+#REF!</f>
        <v>#REF!</v>
      </c>
      <c r="N362" s="100" t="e">
        <f>#REF!+#REF!</f>
        <v>#REF!</v>
      </c>
    </row>
    <row r="363" spans="1:17" ht="51.75">
      <c r="A363" s="83" t="s">
        <v>344</v>
      </c>
      <c r="B363" s="24" t="s">
        <v>287</v>
      </c>
      <c r="C363" s="24" t="s">
        <v>17</v>
      </c>
      <c r="D363" s="24" t="s">
        <v>13</v>
      </c>
      <c r="E363" s="24" t="s">
        <v>328</v>
      </c>
      <c r="F363" s="24" t="s">
        <v>345</v>
      </c>
      <c r="G363" s="38"/>
      <c r="H363" s="38"/>
      <c r="I363" s="38"/>
      <c r="J363" s="268">
        <v>3484.92</v>
      </c>
      <c r="K363" s="32">
        <f>-1450+120.3093-250+500</f>
        <v>-1079.6907</v>
      </c>
      <c r="L363" s="32">
        <f>J363+K363</f>
        <v>2405.2293</v>
      </c>
      <c r="M363" s="33"/>
      <c r="N363" s="34"/>
      <c r="Q363" s="172"/>
    </row>
    <row r="364" spans="1:14" ht="26.25">
      <c r="A364" s="35" t="s">
        <v>346</v>
      </c>
      <c r="B364" s="24" t="s">
        <v>287</v>
      </c>
      <c r="C364" s="24" t="s">
        <v>17</v>
      </c>
      <c r="D364" s="24" t="s">
        <v>13</v>
      </c>
      <c r="E364" s="24" t="s">
        <v>347</v>
      </c>
      <c r="F364" s="24"/>
      <c r="G364" s="38"/>
      <c r="H364" s="31">
        <f aca="true" t="shared" si="60" ref="H364:N364">H365</f>
        <v>0</v>
      </c>
      <c r="I364" s="31">
        <f t="shared" si="60"/>
        <v>0</v>
      </c>
      <c r="J364" s="32">
        <f>J365+J366</f>
        <v>0</v>
      </c>
      <c r="K364" s="32">
        <f>K365+K366</f>
        <v>0</v>
      </c>
      <c r="L364" s="32">
        <f>L365+L366</f>
        <v>0</v>
      </c>
      <c r="M364" s="33">
        <f t="shared" si="60"/>
        <v>0</v>
      </c>
      <c r="N364" s="34">
        <f t="shared" si="60"/>
        <v>0</v>
      </c>
    </row>
    <row r="365" spans="1:14" ht="26.25" customHeight="1">
      <c r="A365" s="83" t="s">
        <v>110</v>
      </c>
      <c r="B365" s="24" t="s">
        <v>287</v>
      </c>
      <c r="C365" s="24" t="s">
        <v>17</v>
      </c>
      <c r="D365" s="24" t="s">
        <v>13</v>
      </c>
      <c r="E365" s="24" t="s">
        <v>347</v>
      </c>
      <c r="F365" s="24" t="s">
        <v>109</v>
      </c>
      <c r="G365" s="38"/>
      <c r="H365" s="31"/>
      <c r="I365" s="38"/>
      <c r="J365" s="268"/>
      <c r="K365" s="32"/>
      <c r="L365" s="32">
        <f>J365+K365</f>
        <v>0</v>
      </c>
      <c r="M365" s="33"/>
      <c r="N365" s="34">
        <f>L365+M365</f>
        <v>0</v>
      </c>
    </row>
    <row r="366" spans="1:14" ht="26.25" customHeight="1">
      <c r="A366" s="67" t="s">
        <v>164</v>
      </c>
      <c r="B366" s="24" t="s">
        <v>287</v>
      </c>
      <c r="C366" s="24" t="s">
        <v>17</v>
      </c>
      <c r="D366" s="24" t="s">
        <v>13</v>
      </c>
      <c r="E366" s="24" t="s">
        <v>347</v>
      </c>
      <c r="F366" s="24" t="s">
        <v>166</v>
      </c>
      <c r="G366" s="38"/>
      <c r="H366" s="31"/>
      <c r="I366" s="38"/>
      <c r="J366" s="268"/>
      <c r="K366" s="32"/>
      <c r="L366" s="32">
        <f>J366+K366</f>
        <v>0</v>
      </c>
      <c r="M366" s="33"/>
      <c r="N366" s="34"/>
    </row>
    <row r="367" spans="1:14" ht="39" customHeight="1">
      <c r="A367" s="67" t="s">
        <v>458</v>
      </c>
      <c r="B367" s="24" t="s">
        <v>287</v>
      </c>
      <c r="C367" s="24" t="s">
        <v>17</v>
      </c>
      <c r="D367" s="24" t="s">
        <v>13</v>
      </c>
      <c r="E367" s="24" t="s">
        <v>459</v>
      </c>
      <c r="F367" s="24"/>
      <c r="G367" s="38"/>
      <c r="H367" s="31"/>
      <c r="I367" s="38"/>
      <c r="J367" s="268">
        <f>J368</f>
        <v>2605.4</v>
      </c>
      <c r="K367" s="268">
        <f>K368</f>
        <v>4514.2</v>
      </c>
      <c r="L367" s="268">
        <f>L368</f>
        <v>7119.6</v>
      </c>
      <c r="M367" s="33"/>
      <c r="N367" s="34"/>
    </row>
    <row r="368" spans="1:14" ht="51.75">
      <c r="A368" s="83" t="s">
        <v>344</v>
      </c>
      <c r="B368" s="24" t="s">
        <v>287</v>
      </c>
      <c r="C368" s="24" t="s">
        <v>17</v>
      </c>
      <c r="D368" s="24" t="s">
        <v>13</v>
      </c>
      <c r="E368" s="24" t="s">
        <v>459</v>
      </c>
      <c r="F368" s="24" t="s">
        <v>345</v>
      </c>
      <c r="G368" s="38"/>
      <c r="H368" s="31"/>
      <c r="I368" s="38"/>
      <c r="J368" s="268">
        <v>2605.4</v>
      </c>
      <c r="K368" s="32">
        <f>4514.2</f>
        <v>4514.2</v>
      </c>
      <c r="L368" s="32">
        <f>J368+K368</f>
        <v>7119.6</v>
      </c>
      <c r="M368" s="33"/>
      <c r="N368" s="34"/>
    </row>
    <row r="369" spans="1:14" ht="15" customHeight="1">
      <c r="A369" s="83" t="s">
        <v>348</v>
      </c>
      <c r="B369" s="24" t="s">
        <v>287</v>
      </c>
      <c r="C369" s="24" t="s">
        <v>17</v>
      </c>
      <c r="D369" s="24" t="s">
        <v>13</v>
      </c>
      <c r="E369" s="24" t="s">
        <v>277</v>
      </c>
      <c r="F369" s="24"/>
      <c r="G369" s="38" t="e">
        <f>G370+#REF!</f>
        <v>#REF!</v>
      </c>
      <c r="H369" s="38"/>
      <c r="I369" s="38" t="e">
        <f>I370+#REF!</f>
        <v>#REF!</v>
      </c>
      <c r="J369" s="268">
        <f>J370</f>
        <v>500</v>
      </c>
      <c r="K369" s="268">
        <f>K370</f>
        <v>701</v>
      </c>
      <c r="L369" s="268">
        <f>L370</f>
        <v>1201</v>
      </c>
      <c r="M369" s="33" t="e">
        <f>M370+#REF!</f>
        <v>#REF!</v>
      </c>
      <c r="N369" s="34" t="e">
        <f>N370+#REF!</f>
        <v>#REF!</v>
      </c>
    </row>
    <row r="370" spans="1:14" ht="37.5" customHeight="1">
      <c r="A370" s="184" t="s">
        <v>349</v>
      </c>
      <c r="B370" s="24" t="s">
        <v>287</v>
      </c>
      <c r="C370" s="24" t="s">
        <v>17</v>
      </c>
      <c r="D370" s="24" t="s">
        <v>13</v>
      </c>
      <c r="E370" s="24" t="s">
        <v>350</v>
      </c>
      <c r="F370" s="24"/>
      <c r="G370" s="38">
        <f aca="true" t="shared" si="61" ref="G370:N370">G371</f>
        <v>-1750</v>
      </c>
      <c r="H370" s="38">
        <f t="shared" si="61"/>
        <v>0</v>
      </c>
      <c r="I370" s="38">
        <f t="shared" si="61"/>
        <v>0</v>
      </c>
      <c r="J370" s="268">
        <f t="shared" si="61"/>
        <v>500</v>
      </c>
      <c r="K370" s="32">
        <f t="shared" si="61"/>
        <v>701</v>
      </c>
      <c r="L370" s="32">
        <f t="shared" si="61"/>
        <v>1201</v>
      </c>
      <c r="M370" s="33">
        <f t="shared" si="61"/>
        <v>0</v>
      </c>
      <c r="N370" s="34">
        <f t="shared" si="61"/>
        <v>1201</v>
      </c>
    </row>
    <row r="371" spans="1:14" ht="12.75" customHeight="1">
      <c r="A371" s="67" t="s">
        <v>164</v>
      </c>
      <c r="B371" s="24" t="s">
        <v>287</v>
      </c>
      <c r="C371" s="24" t="s">
        <v>17</v>
      </c>
      <c r="D371" s="24" t="s">
        <v>13</v>
      </c>
      <c r="E371" s="24" t="s">
        <v>350</v>
      </c>
      <c r="F371" s="24" t="s">
        <v>166</v>
      </c>
      <c r="G371" s="38">
        <v>-1750</v>
      </c>
      <c r="H371" s="31"/>
      <c r="I371" s="38"/>
      <c r="J371" s="268">
        <v>500</v>
      </c>
      <c r="K371" s="32">
        <f>-99+800</f>
        <v>701</v>
      </c>
      <c r="L371" s="32">
        <f>J371+K371</f>
        <v>1201</v>
      </c>
      <c r="M371" s="33"/>
      <c r="N371" s="34">
        <f>L371+M371</f>
        <v>1201</v>
      </c>
    </row>
    <row r="372" spans="1:14" s="148" customFormat="1" ht="14.25" customHeight="1">
      <c r="A372" s="82" t="s">
        <v>351</v>
      </c>
      <c r="B372" s="30" t="s">
        <v>287</v>
      </c>
      <c r="C372" s="30" t="s">
        <v>17</v>
      </c>
      <c r="D372" s="30" t="s">
        <v>14</v>
      </c>
      <c r="E372" s="30"/>
      <c r="F372" s="30"/>
      <c r="G372" s="22">
        <f aca="true" t="shared" si="62" ref="G372:N374">G373</f>
        <v>-786.5</v>
      </c>
      <c r="H372" s="22">
        <f t="shared" si="62"/>
        <v>0</v>
      </c>
      <c r="I372" s="22">
        <f t="shared" si="62"/>
        <v>0</v>
      </c>
      <c r="J372" s="267">
        <f>J373</f>
        <v>500</v>
      </c>
      <c r="K372" s="267">
        <f>K373</f>
        <v>-400</v>
      </c>
      <c r="L372" s="267">
        <f>L373</f>
        <v>100</v>
      </c>
      <c r="M372" s="47">
        <f t="shared" si="62"/>
        <v>0</v>
      </c>
      <c r="N372" s="64">
        <f t="shared" si="62"/>
        <v>100</v>
      </c>
    </row>
    <row r="373" spans="1:14" ht="15" customHeight="1">
      <c r="A373" s="83" t="s">
        <v>46</v>
      </c>
      <c r="B373" s="24" t="s">
        <v>287</v>
      </c>
      <c r="C373" s="24" t="s">
        <v>17</v>
      </c>
      <c r="D373" s="24" t="s">
        <v>14</v>
      </c>
      <c r="E373" s="24" t="s">
        <v>352</v>
      </c>
      <c r="F373" s="24"/>
      <c r="G373" s="38">
        <f t="shared" si="62"/>
        <v>-786.5</v>
      </c>
      <c r="H373" s="38">
        <f t="shared" si="62"/>
        <v>0</v>
      </c>
      <c r="I373" s="38">
        <f t="shared" si="62"/>
        <v>0</v>
      </c>
      <c r="J373" s="268">
        <f>J374</f>
        <v>500</v>
      </c>
      <c r="K373" s="32">
        <f t="shared" si="62"/>
        <v>-400</v>
      </c>
      <c r="L373" s="32">
        <f t="shared" si="62"/>
        <v>100</v>
      </c>
      <c r="M373" s="33">
        <f t="shared" si="62"/>
        <v>0</v>
      </c>
      <c r="N373" s="34">
        <f t="shared" si="62"/>
        <v>100</v>
      </c>
    </row>
    <row r="374" spans="1:14" ht="30" customHeight="1">
      <c r="A374" s="99" t="s">
        <v>353</v>
      </c>
      <c r="B374" s="24" t="s">
        <v>287</v>
      </c>
      <c r="C374" s="24" t="s">
        <v>17</v>
      </c>
      <c r="D374" s="24" t="s">
        <v>14</v>
      </c>
      <c r="E374" s="24" t="s">
        <v>354</v>
      </c>
      <c r="F374" s="24"/>
      <c r="G374" s="38">
        <f t="shared" si="62"/>
        <v>-786.5</v>
      </c>
      <c r="H374" s="38">
        <f t="shared" si="62"/>
        <v>0</v>
      </c>
      <c r="I374" s="38">
        <f t="shared" si="62"/>
        <v>0</v>
      </c>
      <c r="J374" s="268">
        <f>J375</f>
        <v>500</v>
      </c>
      <c r="K374" s="32">
        <f t="shared" si="62"/>
        <v>-400</v>
      </c>
      <c r="L374" s="32">
        <f t="shared" si="62"/>
        <v>100</v>
      </c>
      <c r="M374" s="33">
        <f t="shared" si="62"/>
        <v>0</v>
      </c>
      <c r="N374" s="34">
        <f t="shared" si="62"/>
        <v>100</v>
      </c>
    </row>
    <row r="375" spans="1:14" ht="30" customHeight="1">
      <c r="A375" s="67" t="s">
        <v>164</v>
      </c>
      <c r="B375" s="24" t="s">
        <v>287</v>
      </c>
      <c r="C375" s="24" t="s">
        <v>17</v>
      </c>
      <c r="D375" s="24" t="s">
        <v>14</v>
      </c>
      <c r="E375" s="24" t="s">
        <v>354</v>
      </c>
      <c r="F375" s="24" t="s">
        <v>166</v>
      </c>
      <c r="G375" s="38">
        <v>-786.5</v>
      </c>
      <c r="H375" s="31"/>
      <c r="I375" s="38"/>
      <c r="J375" s="268">
        <v>500</v>
      </c>
      <c r="K375" s="32">
        <f>-350-50</f>
        <v>-400</v>
      </c>
      <c r="L375" s="32">
        <f>J375+K375</f>
        <v>100</v>
      </c>
      <c r="M375" s="33"/>
      <c r="N375" s="34">
        <f>L375+M375</f>
        <v>100</v>
      </c>
    </row>
    <row r="376" spans="1:14" s="183" customFormat="1" ht="14.25" customHeight="1">
      <c r="A376" s="107" t="s">
        <v>47</v>
      </c>
      <c r="B376" s="30" t="s">
        <v>287</v>
      </c>
      <c r="C376" s="30" t="s">
        <v>20</v>
      </c>
      <c r="D376" s="30"/>
      <c r="E376" s="30"/>
      <c r="F376" s="30"/>
      <c r="G376" s="22" t="e">
        <f>G403+#REF!+#REF!</f>
        <v>#REF!</v>
      </c>
      <c r="H376" s="25" t="e">
        <f>H403+#REF!+H377</f>
        <v>#REF!</v>
      </c>
      <c r="I376" s="25" t="e">
        <f>I403+#REF!+I377</f>
        <v>#REF!</v>
      </c>
      <c r="J376" s="25">
        <f>J381+J403+J409+J377</f>
        <v>28076.34</v>
      </c>
      <c r="K376" s="25">
        <f>K381+K403+K409+K377</f>
        <v>15364.36137</v>
      </c>
      <c r="L376" s="25">
        <f>L381+L403+L409+L377</f>
        <v>43440.701369999995</v>
      </c>
      <c r="M376" s="36" t="e">
        <f>M377+M381+M403+#REF!+M409</f>
        <v>#REF!</v>
      </c>
      <c r="N376" s="104" t="e">
        <f>N377+N381+N403+#REF!+N409</f>
        <v>#REF!</v>
      </c>
    </row>
    <row r="377" spans="1:14" ht="15" customHeight="1">
      <c r="A377" s="29" t="s">
        <v>49</v>
      </c>
      <c r="B377" s="30" t="s">
        <v>287</v>
      </c>
      <c r="C377" s="30" t="s">
        <v>20</v>
      </c>
      <c r="D377" s="30" t="s">
        <v>12</v>
      </c>
      <c r="E377" s="30"/>
      <c r="F377" s="30"/>
      <c r="G377" s="77"/>
      <c r="H377" s="77">
        <f>H378</f>
        <v>667</v>
      </c>
      <c r="I377" s="77">
        <f aca="true" t="shared" si="63" ref="I377:N379">I378</f>
        <v>0</v>
      </c>
      <c r="J377" s="267">
        <f t="shared" si="63"/>
        <v>451.78</v>
      </c>
      <c r="K377" s="25">
        <f t="shared" si="63"/>
        <v>0</v>
      </c>
      <c r="L377" s="25">
        <f t="shared" si="63"/>
        <v>451.78</v>
      </c>
      <c r="M377" s="47">
        <f t="shared" si="63"/>
        <v>0</v>
      </c>
      <c r="N377" s="64">
        <f t="shared" si="63"/>
        <v>451.78</v>
      </c>
    </row>
    <row r="378" spans="1:14" ht="45" customHeight="1">
      <c r="A378" s="35" t="s">
        <v>341</v>
      </c>
      <c r="B378" s="24" t="s">
        <v>287</v>
      </c>
      <c r="C378" s="24" t="s">
        <v>20</v>
      </c>
      <c r="D378" s="24" t="s">
        <v>12</v>
      </c>
      <c r="E378" s="24" t="s">
        <v>342</v>
      </c>
      <c r="F378" s="24"/>
      <c r="G378" s="93"/>
      <c r="H378" s="93">
        <f>H379</f>
        <v>667</v>
      </c>
      <c r="I378" s="93">
        <f t="shared" si="63"/>
        <v>0</v>
      </c>
      <c r="J378" s="268">
        <f t="shared" si="63"/>
        <v>451.78</v>
      </c>
      <c r="K378" s="32">
        <f t="shared" si="63"/>
        <v>0</v>
      </c>
      <c r="L378" s="32">
        <f t="shared" si="63"/>
        <v>451.78</v>
      </c>
      <c r="M378" s="33">
        <f t="shared" si="63"/>
        <v>0</v>
      </c>
      <c r="N378" s="34">
        <f t="shared" si="63"/>
        <v>451.78</v>
      </c>
    </row>
    <row r="379" spans="1:14" ht="40.5" customHeight="1">
      <c r="A379" s="35" t="s">
        <v>355</v>
      </c>
      <c r="B379" s="24" t="s">
        <v>287</v>
      </c>
      <c r="C379" s="24" t="s">
        <v>20</v>
      </c>
      <c r="D379" s="24" t="s">
        <v>12</v>
      </c>
      <c r="E379" s="24" t="s">
        <v>328</v>
      </c>
      <c r="F379" s="24"/>
      <c r="G379" s="93"/>
      <c r="H379" s="93">
        <f>H380</f>
        <v>667</v>
      </c>
      <c r="I379" s="93">
        <f t="shared" si="63"/>
        <v>0</v>
      </c>
      <c r="J379" s="268">
        <f t="shared" si="63"/>
        <v>451.78</v>
      </c>
      <c r="K379" s="32">
        <f t="shared" si="63"/>
        <v>0</v>
      </c>
      <c r="L379" s="32">
        <f t="shared" si="63"/>
        <v>451.78</v>
      </c>
      <c r="M379" s="33">
        <f t="shared" si="63"/>
        <v>0</v>
      </c>
      <c r="N379" s="34">
        <f t="shared" si="63"/>
        <v>451.78</v>
      </c>
    </row>
    <row r="380" spans="1:14" ht="15" customHeight="1">
      <c r="A380" s="35" t="s">
        <v>329</v>
      </c>
      <c r="B380" s="24" t="s">
        <v>287</v>
      </c>
      <c r="C380" s="24" t="s">
        <v>20</v>
      </c>
      <c r="D380" s="24" t="s">
        <v>12</v>
      </c>
      <c r="E380" s="24" t="s">
        <v>328</v>
      </c>
      <c r="F380" s="24" t="s">
        <v>345</v>
      </c>
      <c r="G380" s="93"/>
      <c r="H380" s="93">
        <v>667</v>
      </c>
      <c r="I380" s="93"/>
      <c r="J380" s="268">
        <v>451.78</v>
      </c>
      <c r="K380" s="32"/>
      <c r="L380" s="32">
        <f>J380+K380</f>
        <v>451.78</v>
      </c>
      <c r="M380" s="66"/>
      <c r="N380" s="34">
        <f>L380+M380</f>
        <v>451.78</v>
      </c>
    </row>
    <row r="381" spans="1:14" ht="18" customHeight="1">
      <c r="A381" s="29" t="s">
        <v>50</v>
      </c>
      <c r="B381" s="30" t="s">
        <v>287</v>
      </c>
      <c r="C381" s="30" t="s">
        <v>20</v>
      </c>
      <c r="D381" s="30" t="s">
        <v>13</v>
      </c>
      <c r="E381" s="24"/>
      <c r="F381" s="24"/>
      <c r="G381" s="93"/>
      <c r="H381" s="93"/>
      <c r="I381" s="93"/>
      <c r="J381" s="268">
        <f>J384+J387+J391+J395+J382</f>
        <v>27614.56</v>
      </c>
      <c r="K381" s="268">
        <f>K384+K387+K391+K395+K382</f>
        <v>15364.36137</v>
      </c>
      <c r="L381" s="268">
        <f>L384+L387+L391+L395+L382</f>
        <v>42978.92137</v>
      </c>
      <c r="M381" s="245" t="e">
        <f>M384+M387+M391+M395+M382</f>
        <v>#REF!</v>
      </c>
      <c r="N381" s="245" t="e">
        <f>N384+N387+N391+N395+N382</f>
        <v>#REF!</v>
      </c>
    </row>
    <row r="382" spans="1:14" ht="27" customHeight="1">
      <c r="A382" s="35" t="s">
        <v>506</v>
      </c>
      <c r="B382" s="24" t="s">
        <v>287</v>
      </c>
      <c r="C382" s="24" t="s">
        <v>20</v>
      </c>
      <c r="D382" s="24" t="s">
        <v>13</v>
      </c>
      <c r="E382" s="24" t="s">
        <v>507</v>
      </c>
      <c r="F382" s="24"/>
      <c r="G382" s="93"/>
      <c r="H382" s="93"/>
      <c r="I382" s="93"/>
      <c r="J382" s="268">
        <f>J383</f>
        <v>0</v>
      </c>
      <c r="K382" s="268">
        <f>K383</f>
        <v>11780</v>
      </c>
      <c r="L382" s="268">
        <f>L383</f>
        <v>11780</v>
      </c>
      <c r="M382" s="33"/>
      <c r="N382" s="34"/>
    </row>
    <row r="383" spans="1:14" ht="38.25" customHeight="1">
      <c r="A383" s="35" t="s">
        <v>503</v>
      </c>
      <c r="B383" s="24" t="s">
        <v>287</v>
      </c>
      <c r="C383" s="24" t="s">
        <v>20</v>
      </c>
      <c r="D383" s="24" t="s">
        <v>13</v>
      </c>
      <c r="E383" s="24" t="s">
        <v>507</v>
      </c>
      <c r="F383" s="24" t="s">
        <v>502</v>
      </c>
      <c r="G383" s="93"/>
      <c r="H383" s="93"/>
      <c r="I383" s="93"/>
      <c r="J383" s="268"/>
      <c r="K383" s="268">
        <v>11780</v>
      </c>
      <c r="L383" s="268">
        <f>J383+K383</f>
        <v>11780</v>
      </c>
      <c r="M383" s="33"/>
      <c r="N383" s="34"/>
    </row>
    <row r="384" spans="1:14" ht="46.5" customHeight="1">
      <c r="A384" s="83" t="s">
        <v>327</v>
      </c>
      <c r="B384" s="24" t="s">
        <v>287</v>
      </c>
      <c r="C384" s="24" t="s">
        <v>20</v>
      </c>
      <c r="D384" s="24" t="s">
        <v>13</v>
      </c>
      <c r="E384" s="24" t="s">
        <v>328</v>
      </c>
      <c r="F384" s="24"/>
      <c r="G384" s="93"/>
      <c r="H384" s="93"/>
      <c r="I384" s="93"/>
      <c r="J384" s="32">
        <f>J385+J386</f>
        <v>3333.1</v>
      </c>
      <c r="K384" s="32">
        <f>K385+K386</f>
        <v>109.241</v>
      </c>
      <c r="L384" s="32">
        <f>L385+L386</f>
        <v>3442.341</v>
      </c>
      <c r="M384" s="33"/>
      <c r="N384" s="34"/>
    </row>
    <row r="385" spans="1:14" ht="16.5" customHeight="1" hidden="1">
      <c r="A385" s="83" t="s">
        <v>329</v>
      </c>
      <c r="B385" s="24" t="s">
        <v>287</v>
      </c>
      <c r="C385" s="24" t="s">
        <v>20</v>
      </c>
      <c r="D385" s="24" t="s">
        <v>13</v>
      </c>
      <c r="E385" s="24" t="s">
        <v>328</v>
      </c>
      <c r="F385" s="24" t="s">
        <v>330</v>
      </c>
      <c r="G385" s="93"/>
      <c r="H385" s="93"/>
      <c r="I385" s="93"/>
      <c r="J385" s="268"/>
      <c r="K385" s="32"/>
      <c r="L385" s="32">
        <f>J385+K385</f>
        <v>0</v>
      </c>
      <c r="M385" s="33"/>
      <c r="N385" s="34"/>
    </row>
    <row r="386" spans="1:14" ht="51.75">
      <c r="A386" s="83" t="s">
        <v>344</v>
      </c>
      <c r="B386" s="24" t="s">
        <v>287</v>
      </c>
      <c r="C386" s="24" t="s">
        <v>20</v>
      </c>
      <c r="D386" s="24" t="s">
        <v>13</v>
      </c>
      <c r="E386" s="24" t="s">
        <v>328</v>
      </c>
      <c r="F386" s="24" t="s">
        <v>345</v>
      </c>
      <c r="G386" s="93"/>
      <c r="H386" s="93"/>
      <c r="I386" s="93"/>
      <c r="J386" s="268">
        <v>3333.1</v>
      </c>
      <c r="K386" s="32">
        <f>99+10.241</f>
        <v>109.241</v>
      </c>
      <c r="L386" s="32">
        <f>J386+K386</f>
        <v>3442.341</v>
      </c>
      <c r="M386" s="33"/>
      <c r="N386" s="34"/>
    </row>
    <row r="387" spans="1:14" ht="26.25">
      <c r="A387" s="35" t="s">
        <v>139</v>
      </c>
      <c r="B387" s="24" t="s">
        <v>287</v>
      </c>
      <c r="C387" s="24" t="s">
        <v>20</v>
      </c>
      <c r="D387" s="24" t="s">
        <v>13</v>
      </c>
      <c r="E387" s="24" t="s">
        <v>140</v>
      </c>
      <c r="F387" s="24"/>
      <c r="G387" s="93"/>
      <c r="H387" s="93"/>
      <c r="I387" s="93"/>
      <c r="J387" s="268">
        <f>J388</f>
        <v>954</v>
      </c>
      <c r="K387" s="268">
        <f>K388</f>
        <v>-479.5503</v>
      </c>
      <c r="L387" s="268">
        <f>L388</f>
        <v>474.4497</v>
      </c>
      <c r="M387" s="156">
        <f>M388</f>
        <v>0</v>
      </c>
      <c r="N387" s="156">
        <f>N388</f>
        <v>0</v>
      </c>
    </row>
    <row r="388" spans="1:14" ht="26.25">
      <c r="A388" s="35" t="s">
        <v>114</v>
      </c>
      <c r="B388" s="24" t="s">
        <v>287</v>
      </c>
      <c r="C388" s="24" t="s">
        <v>20</v>
      </c>
      <c r="D388" s="24" t="s">
        <v>13</v>
      </c>
      <c r="E388" s="24" t="s">
        <v>141</v>
      </c>
      <c r="F388" s="24"/>
      <c r="G388" s="93"/>
      <c r="H388" s="93"/>
      <c r="I388" s="93"/>
      <c r="J388" s="268">
        <f>J390+J389</f>
        <v>954</v>
      </c>
      <c r="K388" s="268">
        <f>K390+K389</f>
        <v>-479.5503</v>
      </c>
      <c r="L388" s="268">
        <f>L390+L389</f>
        <v>474.4497</v>
      </c>
      <c r="M388" s="245">
        <f>M390+M389</f>
        <v>0</v>
      </c>
      <c r="N388" s="245">
        <f>N390+N389</f>
        <v>0</v>
      </c>
    </row>
    <row r="389" spans="1:14" ht="39">
      <c r="A389" s="35" t="s">
        <v>503</v>
      </c>
      <c r="B389" s="24" t="s">
        <v>287</v>
      </c>
      <c r="C389" s="24" t="s">
        <v>20</v>
      </c>
      <c r="D389" s="24" t="s">
        <v>13</v>
      </c>
      <c r="E389" s="24" t="s">
        <v>141</v>
      </c>
      <c r="F389" s="24" t="s">
        <v>502</v>
      </c>
      <c r="G389" s="93"/>
      <c r="H389" s="93"/>
      <c r="I389" s="93"/>
      <c r="J389" s="268"/>
      <c r="K389" s="268">
        <v>474.4497</v>
      </c>
      <c r="L389" s="268">
        <f>J389+K389</f>
        <v>474.4497</v>
      </c>
      <c r="M389" s="261"/>
      <c r="N389" s="262"/>
    </row>
    <row r="390" spans="1:14" ht="38.25">
      <c r="A390" s="67" t="s">
        <v>164</v>
      </c>
      <c r="B390" s="24" t="s">
        <v>287</v>
      </c>
      <c r="C390" s="24" t="s">
        <v>20</v>
      </c>
      <c r="D390" s="24" t="s">
        <v>13</v>
      </c>
      <c r="E390" s="24" t="s">
        <v>141</v>
      </c>
      <c r="F390" s="24" t="s">
        <v>166</v>
      </c>
      <c r="G390" s="93"/>
      <c r="H390" s="93"/>
      <c r="I390" s="93"/>
      <c r="J390" s="268">
        <v>954</v>
      </c>
      <c r="K390" s="32">
        <v>-954</v>
      </c>
      <c r="L390" s="32">
        <f>J390+K390</f>
        <v>0</v>
      </c>
      <c r="M390" s="33"/>
      <c r="N390" s="34"/>
    </row>
    <row r="391" spans="1:14" ht="39">
      <c r="A391" s="35" t="s">
        <v>519</v>
      </c>
      <c r="B391" s="24" t="s">
        <v>287</v>
      </c>
      <c r="C391" s="24" t="s">
        <v>20</v>
      </c>
      <c r="D391" s="24" t="s">
        <v>13</v>
      </c>
      <c r="E391" s="24" t="s">
        <v>156</v>
      </c>
      <c r="F391" s="24"/>
      <c r="G391" s="32"/>
      <c r="H391" s="31"/>
      <c r="I391" s="32"/>
      <c r="J391" s="268">
        <f>J392</f>
        <v>3327.46</v>
      </c>
      <c r="K391" s="32">
        <f>K392</f>
        <v>3954.67067</v>
      </c>
      <c r="L391" s="32">
        <f>L392</f>
        <v>7282.1306700000005</v>
      </c>
      <c r="M391" s="33"/>
      <c r="N391" s="34"/>
    </row>
    <row r="392" spans="1:14" ht="28.5" customHeight="1">
      <c r="A392" s="35" t="s">
        <v>114</v>
      </c>
      <c r="B392" s="24" t="s">
        <v>287</v>
      </c>
      <c r="C392" s="24" t="s">
        <v>20</v>
      </c>
      <c r="D392" s="24" t="s">
        <v>13</v>
      </c>
      <c r="E392" s="24" t="s">
        <v>157</v>
      </c>
      <c r="F392" s="24"/>
      <c r="G392" s="38">
        <f aca="true" t="shared" si="64" ref="G392:N392">G393</f>
        <v>200</v>
      </c>
      <c r="H392" s="38">
        <f t="shared" si="64"/>
        <v>0</v>
      </c>
      <c r="I392" s="38">
        <f t="shared" si="64"/>
        <v>0</v>
      </c>
      <c r="J392" s="32">
        <f>J393+J394</f>
        <v>3327.46</v>
      </c>
      <c r="K392" s="32">
        <f>K393+K394</f>
        <v>3954.67067</v>
      </c>
      <c r="L392" s="32">
        <f>L393+L394</f>
        <v>7282.1306700000005</v>
      </c>
      <c r="M392" s="33">
        <f t="shared" si="64"/>
        <v>0</v>
      </c>
      <c r="N392" s="34">
        <f t="shared" si="64"/>
        <v>0</v>
      </c>
    </row>
    <row r="393" spans="1:14" ht="18" customHeight="1" hidden="1">
      <c r="A393" s="35" t="s">
        <v>238</v>
      </c>
      <c r="B393" s="24" t="s">
        <v>287</v>
      </c>
      <c r="C393" s="24" t="s">
        <v>20</v>
      </c>
      <c r="D393" s="24" t="s">
        <v>13</v>
      </c>
      <c r="E393" s="24" t="s">
        <v>157</v>
      </c>
      <c r="F393" s="24" t="s">
        <v>239</v>
      </c>
      <c r="G393" s="38">
        <v>200</v>
      </c>
      <c r="H393" s="31"/>
      <c r="I393" s="38"/>
      <c r="J393" s="268"/>
      <c r="K393" s="32"/>
      <c r="L393" s="32">
        <f>J393+K393</f>
        <v>0</v>
      </c>
      <c r="M393" s="33"/>
      <c r="N393" s="34">
        <f>L393+M393</f>
        <v>0</v>
      </c>
    </row>
    <row r="394" spans="1:14" ht="18" customHeight="1">
      <c r="A394" s="83" t="s">
        <v>363</v>
      </c>
      <c r="B394" s="24" t="s">
        <v>287</v>
      </c>
      <c r="C394" s="24" t="s">
        <v>20</v>
      </c>
      <c r="D394" s="24" t="s">
        <v>13</v>
      </c>
      <c r="E394" s="24" t="s">
        <v>157</v>
      </c>
      <c r="F394" s="24" t="s">
        <v>364</v>
      </c>
      <c r="G394" s="38"/>
      <c r="H394" s="31"/>
      <c r="I394" s="38"/>
      <c r="J394" s="268">
        <v>3327.46</v>
      </c>
      <c r="K394" s="32">
        <f>4279.03963+423.15-747.51896</f>
        <v>3954.67067</v>
      </c>
      <c r="L394" s="32">
        <f>J394+K394</f>
        <v>7282.1306700000005</v>
      </c>
      <c r="M394" s="33"/>
      <c r="N394" s="34"/>
    </row>
    <row r="395" spans="1:14" ht="17.25" customHeight="1">
      <c r="A395" s="83" t="s">
        <v>356</v>
      </c>
      <c r="B395" s="24" t="s">
        <v>287</v>
      </c>
      <c r="C395" s="24" t="s">
        <v>20</v>
      </c>
      <c r="D395" s="24" t="s">
        <v>13</v>
      </c>
      <c r="E395" s="24" t="s">
        <v>357</v>
      </c>
      <c r="F395" s="24"/>
      <c r="G395" s="93"/>
      <c r="H395" s="93"/>
      <c r="I395" s="93"/>
      <c r="J395" s="268">
        <f>J396+J398+J400</f>
        <v>20000</v>
      </c>
      <c r="K395" s="268">
        <f>K396+K398+K400</f>
        <v>0</v>
      </c>
      <c r="L395" s="268">
        <f>L396+L398+L400</f>
        <v>20000</v>
      </c>
      <c r="M395" s="156" t="e">
        <f>M396+#REF!</f>
        <v>#REF!</v>
      </c>
      <c r="N395" s="156" t="e">
        <f>N396+#REF!</f>
        <v>#REF!</v>
      </c>
    </row>
    <row r="396" spans="1:14" ht="39" hidden="1">
      <c r="A396" s="83" t="s">
        <v>358</v>
      </c>
      <c r="B396" s="24" t="s">
        <v>287</v>
      </c>
      <c r="C396" s="24" t="s">
        <v>20</v>
      </c>
      <c r="D396" s="24" t="s">
        <v>13</v>
      </c>
      <c r="E396" s="24" t="s">
        <v>359</v>
      </c>
      <c r="F396" s="24"/>
      <c r="G396" s="93"/>
      <c r="H396" s="93"/>
      <c r="I396" s="93"/>
      <c r="J396" s="32">
        <f>J397</f>
        <v>0</v>
      </c>
      <c r="K396" s="32">
        <f>K397</f>
        <v>0</v>
      </c>
      <c r="L396" s="32">
        <f>L397</f>
        <v>0</v>
      </c>
      <c r="M396" s="66"/>
      <c r="N396" s="34">
        <f>L396+M396</f>
        <v>0</v>
      </c>
    </row>
    <row r="397" spans="1:14" ht="15" hidden="1">
      <c r="A397" s="83" t="s">
        <v>329</v>
      </c>
      <c r="B397" s="24" t="s">
        <v>287</v>
      </c>
      <c r="C397" s="24" t="s">
        <v>20</v>
      </c>
      <c r="D397" s="24" t="s">
        <v>13</v>
      </c>
      <c r="E397" s="24" t="s">
        <v>359</v>
      </c>
      <c r="F397" s="24" t="s">
        <v>330</v>
      </c>
      <c r="G397" s="93"/>
      <c r="H397" s="93"/>
      <c r="I397" s="93"/>
      <c r="J397" s="268"/>
      <c r="K397" s="32"/>
      <c r="L397" s="32">
        <f>J397+K397</f>
        <v>0</v>
      </c>
      <c r="M397" s="66"/>
      <c r="N397" s="34">
        <f>L397+M397</f>
        <v>0</v>
      </c>
    </row>
    <row r="398" spans="1:14" ht="38.25">
      <c r="A398" s="67" t="s">
        <v>458</v>
      </c>
      <c r="B398" s="24" t="s">
        <v>287</v>
      </c>
      <c r="C398" s="24" t="s">
        <v>20</v>
      </c>
      <c r="D398" s="24" t="s">
        <v>13</v>
      </c>
      <c r="E398" s="24" t="s">
        <v>459</v>
      </c>
      <c r="F398" s="24"/>
      <c r="G398" s="93"/>
      <c r="H398" s="93"/>
      <c r="I398" s="93"/>
      <c r="J398" s="268">
        <f>J399</f>
        <v>10000</v>
      </c>
      <c r="K398" s="268">
        <f>K399</f>
        <v>0</v>
      </c>
      <c r="L398" s="268">
        <f>L399</f>
        <v>10000</v>
      </c>
      <c r="M398" s="66"/>
      <c r="N398" s="34"/>
    </row>
    <row r="399" spans="1:14" ht="51">
      <c r="A399" s="67" t="s">
        <v>360</v>
      </c>
      <c r="B399" s="24" t="s">
        <v>287</v>
      </c>
      <c r="C399" s="24" t="s">
        <v>20</v>
      </c>
      <c r="D399" s="24" t="s">
        <v>13</v>
      </c>
      <c r="E399" s="24" t="s">
        <v>459</v>
      </c>
      <c r="F399" s="24" t="s">
        <v>345</v>
      </c>
      <c r="G399" s="93"/>
      <c r="H399" s="93"/>
      <c r="I399" s="93"/>
      <c r="J399" s="268">
        <v>10000</v>
      </c>
      <c r="K399" s="32"/>
      <c r="L399" s="32">
        <f>J399+K399</f>
        <v>10000</v>
      </c>
      <c r="M399" s="66"/>
      <c r="N399" s="34"/>
    </row>
    <row r="400" spans="1:14" ht="39">
      <c r="A400" s="83" t="s">
        <v>361</v>
      </c>
      <c r="B400" s="24" t="s">
        <v>287</v>
      </c>
      <c r="C400" s="24" t="s">
        <v>20</v>
      </c>
      <c r="D400" s="24" t="s">
        <v>13</v>
      </c>
      <c r="E400" s="24" t="s">
        <v>362</v>
      </c>
      <c r="F400" s="24"/>
      <c r="G400" s="32">
        <f aca="true" t="shared" si="65" ref="G400:N400">G401</f>
        <v>52.672</v>
      </c>
      <c r="H400" s="32">
        <f t="shared" si="65"/>
        <v>778</v>
      </c>
      <c r="I400" s="32">
        <f t="shared" si="65"/>
        <v>0</v>
      </c>
      <c r="J400" s="32">
        <f>J401+J402</f>
        <v>10000</v>
      </c>
      <c r="K400" s="32">
        <f>K401+K402</f>
        <v>0</v>
      </c>
      <c r="L400" s="32">
        <f>L401+L402</f>
        <v>10000</v>
      </c>
      <c r="M400" s="33">
        <f t="shared" si="65"/>
        <v>0</v>
      </c>
      <c r="N400" s="34">
        <f t="shared" si="65"/>
        <v>0</v>
      </c>
    </row>
    <row r="401" spans="1:14" ht="16.5" customHeight="1" hidden="1">
      <c r="A401" s="83" t="s">
        <v>329</v>
      </c>
      <c r="B401" s="24" t="s">
        <v>287</v>
      </c>
      <c r="C401" s="24" t="s">
        <v>20</v>
      </c>
      <c r="D401" s="24" t="s">
        <v>13</v>
      </c>
      <c r="E401" s="24" t="s">
        <v>362</v>
      </c>
      <c r="F401" s="24" t="s">
        <v>330</v>
      </c>
      <c r="G401" s="32">
        <f>52.672</f>
        <v>52.672</v>
      </c>
      <c r="H401" s="31">
        <v>778</v>
      </c>
      <c r="I401" s="32"/>
      <c r="J401" s="268"/>
      <c r="K401" s="32"/>
      <c r="L401" s="32">
        <f>J401+K401</f>
        <v>0</v>
      </c>
      <c r="M401" s="33"/>
      <c r="N401" s="34">
        <f>L401+M401</f>
        <v>0</v>
      </c>
    </row>
    <row r="402" spans="1:14" ht="32.25" customHeight="1">
      <c r="A402" s="67" t="s">
        <v>360</v>
      </c>
      <c r="B402" s="24" t="s">
        <v>287</v>
      </c>
      <c r="C402" s="24" t="s">
        <v>20</v>
      </c>
      <c r="D402" s="24" t="s">
        <v>13</v>
      </c>
      <c r="E402" s="24" t="s">
        <v>362</v>
      </c>
      <c r="F402" s="24" t="s">
        <v>345</v>
      </c>
      <c r="G402" s="32"/>
      <c r="H402" s="31"/>
      <c r="I402" s="32"/>
      <c r="J402" s="268">
        <v>10000</v>
      </c>
      <c r="K402" s="32"/>
      <c r="L402" s="32">
        <f>J402+K402</f>
        <v>10000</v>
      </c>
      <c r="M402" s="33"/>
      <c r="N402" s="34"/>
    </row>
    <row r="403" spans="1:14" s="148" customFormat="1" ht="25.5" hidden="1">
      <c r="A403" s="83" t="s">
        <v>248</v>
      </c>
      <c r="B403" s="30" t="s">
        <v>287</v>
      </c>
      <c r="C403" s="30" t="s">
        <v>20</v>
      </c>
      <c r="D403" s="30" t="s">
        <v>17</v>
      </c>
      <c r="E403" s="30"/>
      <c r="F403" s="30"/>
      <c r="G403" s="26" t="e">
        <f>G404+#REF!</f>
        <v>#REF!</v>
      </c>
      <c r="H403" s="26" t="e">
        <f>H404+#REF!</f>
        <v>#REF!</v>
      </c>
      <c r="I403" s="26" t="e">
        <f>I404+#REF!</f>
        <v>#REF!</v>
      </c>
      <c r="J403" s="267">
        <f>J404</f>
        <v>0</v>
      </c>
      <c r="K403" s="267">
        <f>K404</f>
        <v>0</v>
      </c>
      <c r="L403" s="267">
        <f>L404</f>
        <v>0</v>
      </c>
      <c r="M403" s="47" t="e">
        <f>M404+#REF!</f>
        <v>#REF!</v>
      </c>
      <c r="N403" s="64" t="e">
        <f>N404+#REF!</f>
        <v>#REF!</v>
      </c>
    </row>
    <row r="404" spans="1:14" ht="26.25" hidden="1">
      <c r="A404" s="83" t="s">
        <v>104</v>
      </c>
      <c r="B404" s="24" t="s">
        <v>287</v>
      </c>
      <c r="C404" s="24" t="s">
        <v>20</v>
      </c>
      <c r="D404" s="24" t="s">
        <v>17</v>
      </c>
      <c r="E404" s="24" t="s">
        <v>105</v>
      </c>
      <c r="F404" s="24"/>
      <c r="G404" s="38">
        <f aca="true" t="shared" si="66" ref="G404:N405">G405</f>
        <v>-42.5</v>
      </c>
      <c r="H404" s="38">
        <f t="shared" si="66"/>
        <v>0</v>
      </c>
      <c r="I404" s="38">
        <f t="shared" si="66"/>
        <v>0</v>
      </c>
      <c r="J404" s="268">
        <f>J405</f>
        <v>0</v>
      </c>
      <c r="K404" s="32">
        <f t="shared" si="66"/>
        <v>0</v>
      </c>
      <c r="L404" s="32">
        <f t="shared" si="66"/>
        <v>0</v>
      </c>
      <c r="M404" s="33">
        <f t="shared" si="66"/>
        <v>0</v>
      </c>
      <c r="N404" s="34">
        <f t="shared" si="66"/>
        <v>0</v>
      </c>
    </row>
    <row r="405" spans="1:14" ht="26.25" hidden="1">
      <c r="A405" s="83" t="s">
        <v>106</v>
      </c>
      <c r="B405" s="24" t="s">
        <v>287</v>
      </c>
      <c r="C405" s="24" t="s">
        <v>20</v>
      </c>
      <c r="D405" s="24" t="s">
        <v>17</v>
      </c>
      <c r="E405" s="24" t="s">
        <v>107</v>
      </c>
      <c r="F405" s="24"/>
      <c r="G405" s="32">
        <f aca="true" t="shared" si="67" ref="G405:L405">G406+G408+G407</f>
        <v>-42.5</v>
      </c>
      <c r="H405" s="32">
        <f t="shared" si="67"/>
        <v>0</v>
      </c>
      <c r="I405" s="32">
        <f t="shared" si="67"/>
        <v>0</v>
      </c>
      <c r="J405" s="32">
        <f t="shared" si="67"/>
        <v>0</v>
      </c>
      <c r="K405" s="32">
        <f t="shared" si="67"/>
        <v>0</v>
      </c>
      <c r="L405" s="32">
        <f t="shared" si="67"/>
        <v>0</v>
      </c>
      <c r="M405" s="33">
        <f t="shared" si="66"/>
        <v>0</v>
      </c>
      <c r="N405" s="34">
        <f t="shared" si="66"/>
        <v>0</v>
      </c>
    </row>
    <row r="406" spans="1:15" ht="26.25" hidden="1">
      <c r="A406" s="83" t="s">
        <v>365</v>
      </c>
      <c r="B406" s="24" t="s">
        <v>287</v>
      </c>
      <c r="C406" s="24" t="s">
        <v>20</v>
      </c>
      <c r="D406" s="24" t="s">
        <v>17</v>
      </c>
      <c r="E406" s="24" t="s">
        <v>107</v>
      </c>
      <c r="F406" s="24" t="s">
        <v>109</v>
      </c>
      <c r="G406" s="38">
        <v>-42.5</v>
      </c>
      <c r="H406" s="31"/>
      <c r="I406" s="38"/>
      <c r="J406" s="268"/>
      <c r="K406" s="32"/>
      <c r="L406" s="32">
        <f>J406+K406</f>
        <v>0</v>
      </c>
      <c r="M406" s="33"/>
      <c r="N406" s="39">
        <f>L406+M406</f>
        <v>0</v>
      </c>
      <c r="O406" s="96"/>
    </row>
    <row r="407" spans="1:14" ht="30" customHeight="1" hidden="1">
      <c r="A407" s="67" t="s">
        <v>173</v>
      </c>
      <c r="B407" s="24" t="s">
        <v>287</v>
      </c>
      <c r="C407" s="24" t="s">
        <v>20</v>
      </c>
      <c r="D407" s="24" t="s">
        <v>17</v>
      </c>
      <c r="E407" s="24" t="s">
        <v>107</v>
      </c>
      <c r="F407" s="24" t="s">
        <v>174</v>
      </c>
      <c r="G407" s="38"/>
      <c r="H407" s="38"/>
      <c r="I407" s="38"/>
      <c r="J407" s="268"/>
      <c r="K407" s="32"/>
      <c r="L407" s="32">
        <f>J407+K407</f>
        <v>0</v>
      </c>
      <c r="M407" s="33"/>
      <c r="N407" s="34"/>
    </row>
    <row r="408" spans="1:14" ht="30" customHeight="1" hidden="1">
      <c r="A408" s="67" t="s">
        <v>164</v>
      </c>
      <c r="B408" s="24" t="s">
        <v>287</v>
      </c>
      <c r="C408" s="24" t="s">
        <v>20</v>
      </c>
      <c r="D408" s="24" t="s">
        <v>17</v>
      </c>
      <c r="E408" s="24" t="s">
        <v>107</v>
      </c>
      <c r="F408" s="24" t="s">
        <v>166</v>
      </c>
      <c r="G408" s="38"/>
      <c r="H408" s="38"/>
      <c r="I408" s="38"/>
      <c r="J408" s="268"/>
      <c r="K408" s="32"/>
      <c r="L408" s="32">
        <f>J408+K408</f>
        <v>0</v>
      </c>
      <c r="M408" s="33"/>
      <c r="N408" s="34"/>
    </row>
    <row r="409" spans="1:14" s="148" customFormat="1" ht="25.5">
      <c r="A409" s="82" t="s">
        <v>52</v>
      </c>
      <c r="B409" s="30" t="s">
        <v>287</v>
      </c>
      <c r="C409" s="30" t="s">
        <v>20</v>
      </c>
      <c r="D409" s="30" t="s">
        <v>20</v>
      </c>
      <c r="E409" s="30"/>
      <c r="F409" s="30"/>
      <c r="G409" s="22"/>
      <c r="H409" s="22"/>
      <c r="I409" s="22"/>
      <c r="J409" s="267">
        <f aca="true" t="shared" si="68" ref="J409:L411">J410</f>
        <v>10</v>
      </c>
      <c r="K409" s="267">
        <f t="shared" si="68"/>
        <v>0</v>
      </c>
      <c r="L409" s="267">
        <f t="shared" si="68"/>
        <v>10</v>
      </c>
      <c r="M409" s="103">
        <f>M411</f>
        <v>0</v>
      </c>
      <c r="N409" s="103">
        <f>N411</f>
        <v>0</v>
      </c>
    </row>
    <row r="410" spans="1:14" s="148" customFormat="1" ht="14.25">
      <c r="A410" s="83" t="s">
        <v>348</v>
      </c>
      <c r="B410" s="24" t="s">
        <v>287</v>
      </c>
      <c r="C410" s="24" t="s">
        <v>20</v>
      </c>
      <c r="D410" s="24" t="s">
        <v>20</v>
      </c>
      <c r="E410" s="24" t="s">
        <v>277</v>
      </c>
      <c r="F410" s="30"/>
      <c r="G410" s="22"/>
      <c r="H410" s="22"/>
      <c r="I410" s="22"/>
      <c r="J410" s="268">
        <f t="shared" si="68"/>
        <v>10</v>
      </c>
      <c r="K410" s="268">
        <f t="shared" si="68"/>
        <v>0</v>
      </c>
      <c r="L410" s="268">
        <f t="shared" si="68"/>
        <v>10</v>
      </c>
      <c r="M410" s="103"/>
      <c r="N410" s="103"/>
    </row>
    <row r="411" spans="1:17" ht="30" customHeight="1">
      <c r="A411" s="99" t="s">
        <v>366</v>
      </c>
      <c r="B411" s="24" t="s">
        <v>287</v>
      </c>
      <c r="C411" s="24" t="s">
        <v>20</v>
      </c>
      <c r="D411" s="24" t="s">
        <v>20</v>
      </c>
      <c r="E411" s="24" t="s">
        <v>367</v>
      </c>
      <c r="F411" s="24"/>
      <c r="G411" s="38"/>
      <c r="H411" s="38"/>
      <c r="I411" s="38"/>
      <c r="J411" s="268">
        <f t="shared" si="68"/>
        <v>10</v>
      </c>
      <c r="K411" s="268">
        <f t="shared" si="68"/>
        <v>0</v>
      </c>
      <c r="L411" s="268">
        <f t="shared" si="68"/>
        <v>10</v>
      </c>
      <c r="M411" s="100">
        <f>M412</f>
        <v>0</v>
      </c>
      <c r="N411" s="100">
        <f>N412</f>
        <v>0</v>
      </c>
      <c r="Q411" s="172"/>
    </row>
    <row r="412" spans="1:14" ht="30" customHeight="1">
      <c r="A412" s="67" t="s">
        <v>164</v>
      </c>
      <c r="B412" s="24" t="s">
        <v>287</v>
      </c>
      <c r="C412" s="24" t="s">
        <v>20</v>
      </c>
      <c r="D412" s="24" t="s">
        <v>20</v>
      </c>
      <c r="E412" s="24" t="s">
        <v>367</v>
      </c>
      <c r="F412" s="24" t="s">
        <v>166</v>
      </c>
      <c r="G412" s="38"/>
      <c r="H412" s="38"/>
      <c r="I412" s="38"/>
      <c r="J412" s="268">
        <v>10</v>
      </c>
      <c r="K412" s="32"/>
      <c r="L412" s="32">
        <f>J412+K412</f>
        <v>10</v>
      </c>
      <c r="M412" s="33"/>
      <c r="N412" s="34"/>
    </row>
    <row r="413" spans="1:14" s="183" customFormat="1" ht="14.25">
      <c r="A413" s="82" t="s">
        <v>466</v>
      </c>
      <c r="B413" s="30" t="s">
        <v>287</v>
      </c>
      <c r="C413" s="30" t="s">
        <v>40</v>
      </c>
      <c r="D413" s="30"/>
      <c r="E413" s="30"/>
      <c r="F413" s="30"/>
      <c r="G413" s="22" t="e">
        <f>#REF!+#REF!</f>
        <v>#REF!</v>
      </c>
      <c r="H413" s="22" t="e">
        <f>#REF!+#REF!</f>
        <v>#REF!</v>
      </c>
      <c r="I413" s="22" t="e">
        <f>#REF!+#REF!</f>
        <v>#REF!</v>
      </c>
      <c r="J413" s="267">
        <f>J414+J417</f>
        <v>875</v>
      </c>
      <c r="K413" s="267">
        <f>K414+K417</f>
        <v>0</v>
      </c>
      <c r="L413" s="267">
        <f>L414+L417</f>
        <v>875</v>
      </c>
      <c r="M413" s="36" t="e">
        <f>#REF!+#REF!+M414</f>
        <v>#REF!</v>
      </c>
      <c r="N413" s="37" t="e">
        <f>#REF!+#REF!+N414</f>
        <v>#REF!</v>
      </c>
    </row>
    <row r="414" spans="1:14" s="183" customFormat="1" ht="15" customHeight="1">
      <c r="A414" s="83" t="s">
        <v>56</v>
      </c>
      <c r="B414" s="30" t="s">
        <v>287</v>
      </c>
      <c r="C414" s="30" t="s">
        <v>40</v>
      </c>
      <c r="D414" s="30" t="s">
        <v>12</v>
      </c>
      <c r="E414" s="30"/>
      <c r="F414" s="30"/>
      <c r="G414" s="22"/>
      <c r="H414" s="22"/>
      <c r="I414" s="22"/>
      <c r="J414" s="267">
        <f>J415</f>
        <v>800</v>
      </c>
      <c r="K414" s="267">
        <f>K415</f>
        <v>0</v>
      </c>
      <c r="L414" s="267">
        <f>L415</f>
        <v>800</v>
      </c>
      <c r="M414" s="47" t="e">
        <f>M415</f>
        <v>#REF!</v>
      </c>
      <c r="N414" s="64" t="e">
        <f>N415</f>
        <v>#REF!</v>
      </c>
    </row>
    <row r="415" spans="1:14" s="183" customFormat="1" ht="43.5" customHeight="1">
      <c r="A415" s="83" t="s">
        <v>327</v>
      </c>
      <c r="B415" s="24" t="s">
        <v>287</v>
      </c>
      <c r="C415" s="24" t="s">
        <v>40</v>
      </c>
      <c r="D415" s="24" t="s">
        <v>12</v>
      </c>
      <c r="E415" s="24" t="s">
        <v>343</v>
      </c>
      <c r="F415" s="24"/>
      <c r="G415" s="38"/>
      <c r="H415" s="38"/>
      <c r="I415" s="38"/>
      <c r="J415" s="268">
        <f>J416</f>
        <v>800</v>
      </c>
      <c r="K415" s="268">
        <f>K416</f>
        <v>0</v>
      </c>
      <c r="L415" s="268">
        <f>L416</f>
        <v>800</v>
      </c>
      <c r="M415" s="33" t="e">
        <f>#REF!+M416</f>
        <v>#REF!</v>
      </c>
      <c r="N415" s="34" t="e">
        <f>#REF!+N416</f>
        <v>#REF!</v>
      </c>
    </row>
    <row r="416" spans="1:14" s="183" customFormat="1" ht="37.5" customHeight="1">
      <c r="A416" s="83" t="s">
        <v>344</v>
      </c>
      <c r="B416" s="24" t="s">
        <v>287</v>
      </c>
      <c r="C416" s="24" t="s">
        <v>40</v>
      </c>
      <c r="D416" s="24" t="s">
        <v>12</v>
      </c>
      <c r="E416" s="24" t="s">
        <v>328</v>
      </c>
      <c r="F416" s="24" t="s">
        <v>345</v>
      </c>
      <c r="G416" s="38"/>
      <c r="H416" s="38"/>
      <c r="I416" s="38"/>
      <c r="J416" s="268">
        <v>800</v>
      </c>
      <c r="K416" s="32"/>
      <c r="L416" s="32">
        <f>J416+K416</f>
        <v>800</v>
      </c>
      <c r="M416" s="108"/>
      <c r="N416" s="109">
        <f>L416+M416</f>
        <v>800</v>
      </c>
    </row>
    <row r="417" spans="1:14" ht="26.25">
      <c r="A417" s="82" t="s">
        <v>372</v>
      </c>
      <c r="B417" s="30" t="s">
        <v>287</v>
      </c>
      <c r="C417" s="30" t="s">
        <v>40</v>
      </c>
      <c r="D417" s="30" t="s">
        <v>15</v>
      </c>
      <c r="E417" s="30"/>
      <c r="F417" s="30"/>
      <c r="G417" s="22">
        <f aca="true" t="shared" si="69" ref="G417:L419">G418</f>
        <v>50</v>
      </c>
      <c r="H417" s="22">
        <f t="shared" si="69"/>
        <v>44</v>
      </c>
      <c r="I417" s="22">
        <f t="shared" si="69"/>
        <v>0</v>
      </c>
      <c r="J417" s="267">
        <f t="shared" si="69"/>
        <v>75</v>
      </c>
      <c r="K417" s="25">
        <f t="shared" si="69"/>
        <v>0</v>
      </c>
      <c r="L417" s="25">
        <f t="shared" si="69"/>
        <v>75</v>
      </c>
      <c r="M417" s="33"/>
      <c r="N417" s="34"/>
    </row>
    <row r="418" spans="1:14" ht="39">
      <c r="A418" s="83" t="s">
        <v>373</v>
      </c>
      <c r="B418" s="24" t="s">
        <v>287</v>
      </c>
      <c r="C418" s="24" t="s">
        <v>40</v>
      </c>
      <c r="D418" s="24" t="s">
        <v>15</v>
      </c>
      <c r="E418" s="24" t="s">
        <v>120</v>
      </c>
      <c r="F418" s="24"/>
      <c r="G418" s="38">
        <f t="shared" si="69"/>
        <v>50</v>
      </c>
      <c r="H418" s="38">
        <f t="shared" si="69"/>
        <v>44</v>
      </c>
      <c r="I418" s="38">
        <f t="shared" si="69"/>
        <v>0</v>
      </c>
      <c r="J418" s="268">
        <f t="shared" si="69"/>
        <v>75</v>
      </c>
      <c r="K418" s="32">
        <f t="shared" si="69"/>
        <v>0</v>
      </c>
      <c r="L418" s="32">
        <f t="shared" si="69"/>
        <v>75</v>
      </c>
      <c r="M418" s="33"/>
      <c r="N418" s="34"/>
    </row>
    <row r="419" spans="1:14" ht="26.25">
      <c r="A419" s="83" t="s">
        <v>114</v>
      </c>
      <c r="B419" s="24" t="s">
        <v>287</v>
      </c>
      <c r="C419" s="24" t="s">
        <v>40</v>
      </c>
      <c r="D419" s="24" t="s">
        <v>15</v>
      </c>
      <c r="E419" s="24" t="s">
        <v>121</v>
      </c>
      <c r="F419" s="24"/>
      <c r="G419" s="38">
        <f t="shared" si="69"/>
        <v>50</v>
      </c>
      <c r="H419" s="38">
        <f t="shared" si="69"/>
        <v>44</v>
      </c>
      <c r="I419" s="38">
        <f t="shared" si="69"/>
        <v>0</v>
      </c>
      <c r="J419" s="32">
        <f>J420+J421</f>
        <v>75</v>
      </c>
      <c r="K419" s="32">
        <f>K420+K421</f>
        <v>0</v>
      </c>
      <c r="L419" s="32">
        <f>L420+L421</f>
        <v>75</v>
      </c>
      <c r="M419" s="66" t="e">
        <f>M420+M421+#REF!</f>
        <v>#REF!</v>
      </c>
      <c r="N419" s="66" t="e">
        <f>N420+N421+#REF!</f>
        <v>#REF!</v>
      </c>
    </row>
    <row r="420" spans="1:14" ht="26.25" hidden="1">
      <c r="A420" s="83" t="s">
        <v>112</v>
      </c>
      <c r="B420" s="24" t="s">
        <v>287</v>
      </c>
      <c r="C420" s="24" t="s">
        <v>40</v>
      </c>
      <c r="D420" s="24" t="s">
        <v>15</v>
      </c>
      <c r="E420" s="24" t="s">
        <v>121</v>
      </c>
      <c r="F420" s="24" t="s">
        <v>113</v>
      </c>
      <c r="G420" s="38">
        <v>50</v>
      </c>
      <c r="H420" s="38">
        <v>44</v>
      </c>
      <c r="I420" s="38"/>
      <c r="J420" s="268"/>
      <c r="K420" s="32"/>
      <c r="L420" s="32">
        <f>J420+K420</f>
        <v>0</v>
      </c>
      <c r="M420" s="33"/>
      <c r="N420" s="34"/>
    </row>
    <row r="421" spans="1:14" ht="17.25" customHeight="1" thickBot="1">
      <c r="A421" s="67" t="s">
        <v>164</v>
      </c>
      <c r="B421" s="24" t="s">
        <v>287</v>
      </c>
      <c r="C421" s="24" t="s">
        <v>40</v>
      </c>
      <c r="D421" s="24" t="s">
        <v>15</v>
      </c>
      <c r="E421" s="24" t="s">
        <v>121</v>
      </c>
      <c r="F421" s="24" t="s">
        <v>166</v>
      </c>
      <c r="G421" s="38"/>
      <c r="H421" s="31"/>
      <c r="I421" s="38"/>
      <c r="J421" s="268">
        <v>75</v>
      </c>
      <c r="K421" s="32"/>
      <c r="L421" s="32">
        <f>J421+K421</f>
        <v>75</v>
      </c>
      <c r="M421" s="56"/>
      <c r="N421" s="110"/>
    </row>
    <row r="422" spans="1:14" ht="17.25" customHeight="1">
      <c r="A422" s="67" t="s">
        <v>111</v>
      </c>
      <c r="B422" s="24" t="s">
        <v>287</v>
      </c>
      <c r="C422" s="24" t="s">
        <v>34</v>
      </c>
      <c r="D422" s="24"/>
      <c r="E422" s="24"/>
      <c r="F422" s="24"/>
      <c r="G422" s="38"/>
      <c r="H422" s="31"/>
      <c r="I422" s="38"/>
      <c r="J422" s="268">
        <f aca="true" t="shared" si="70" ref="J422:L424">J423</f>
        <v>390</v>
      </c>
      <c r="K422" s="268">
        <f t="shared" si="70"/>
        <v>900</v>
      </c>
      <c r="L422" s="268">
        <f t="shared" si="70"/>
        <v>1290</v>
      </c>
      <c r="M422" s="58"/>
      <c r="N422" s="185"/>
    </row>
    <row r="423" spans="1:14" ht="17.25" customHeight="1">
      <c r="A423" s="29" t="s">
        <v>65</v>
      </c>
      <c r="B423" s="24" t="s">
        <v>287</v>
      </c>
      <c r="C423" s="24" t="s">
        <v>34</v>
      </c>
      <c r="D423" s="24" t="s">
        <v>34</v>
      </c>
      <c r="E423" s="24"/>
      <c r="F423" s="24"/>
      <c r="G423" s="38"/>
      <c r="H423" s="31"/>
      <c r="I423" s="38"/>
      <c r="J423" s="268">
        <f t="shared" si="70"/>
        <v>390</v>
      </c>
      <c r="K423" s="268">
        <f t="shared" si="70"/>
        <v>900</v>
      </c>
      <c r="L423" s="268">
        <f t="shared" si="70"/>
        <v>1290</v>
      </c>
      <c r="M423" s="58"/>
      <c r="N423" s="185"/>
    </row>
    <row r="424" spans="1:14" ht="17.25" customHeight="1">
      <c r="A424" s="83" t="s">
        <v>348</v>
      </c>
      <c r="B424" s="24" t="s">
        <v>287</v>
      </c>
      <c r="C424" s="24" t="s">
        <v>34</v>
      </c>
      <c r="D424" s="24" t="s">
        <v>34</v>
      </c>
      <c r="E424" s="24" t="s">
        <v>277</v>
      </c>
      <c r="F424" s="24"/>
      <c r="G424" s="38"/>
      <c r="H424" s="31"/>
      <c r="I424" s="38"/>
      <c r="J424" s="268">
        <f t="shared" si="70"/>
        <v>390</v>
      </c>
      <c r="K424" s="268">
        <f t="shared" si="70"/>
        <v>900</v>
      </c>
      <c r="L424" s="268">
        <f t="shared" si="70"/>
        <v>1290</v>
      </c>
      <c r="M424" s="58"/>
      <c r="N424" s="185"/>
    </row>
    <row r="425" spans="1:14" ht="42" customHeight="1">
      <c r="A425" s="67" t="s">
        <v>471</v>
      </c>
      <c r="B425" s="24" t="s">
        <v>287</v>
      </c>
      <c r="C425" s="24" t="s">
        <v>34</v>
      </c>
      <c r="D425" s="24" t="s">
        <v>34</v>
      </c>
      <c r="E425" s="24" t="s">
        <v>472</v>
      </c>
      <c r="F425" s="24"/>
      <c r="G425" s="38"/>
      <c r="H425" s="31"/>
      <c r="I425" s="38"/>
      <c r="J425" s="268">
        <f>J426+J427</f>
        <v>390</v>
      </c>
      <c r="K425" s="268">
        <f>K426+K427</f>
        <v>900</v>
      </c>
      <c r="L425" s="268">
        <f>L426+L427</f>
        <v>1290</v>
      </c>
      <c r="M425" s="58"/>
      <c r="N425" s="185"/>
    </row>
    <row r="426" spans="1:14" ht="17.25" customHeight="1">
      <c r="A426" s="67" t="s">
        <v>164</v>
      </c>
      <c r="B426" s="24" t="s">
        <v>287</v>
      </c>
      <c r="C426" s="24" t="s">
        <v>34</v>
      </c>
      <c r="D426" s="24" t="s">
        <v>34</v>
      </c>
      <c r="E426" s="24" t="s">
        <v>472</v>
      </c>
      <c r="F426" s="24" t="s">
        <v>166</v>
      </c>
      <c r="G426" s="38"/>
      <c r="H426" s="31"/>
      <c r="I426" s="38"/>
      <c r="J426" s="268">
        <v>390</v>
      </c>
      <c r="K426" s="32"/>
      <c r="L426" s="32">
        <f>J426+K426</f>
        <v>390</v>
      </c>
      <c r="M426" s="58"/>
      <c r="N426" s="185"/>
    </row>
    <row r="427" spans="1:14" ht="38.25" customHeight="1">
      <c r="A427" s="67" t="s">
        <v>505</v>
      </c>
      <c r="B427" s="24" t="s">
        <v>287</v>
      </c>
      <c r="C427" s="24" t="s">
        <v>34</v>
      </c>
      <c r="D427" s="24" t="s">
        <v>34</v>
      </c>
      <c r="E427" s="24" t="s">
        <v>472</v>
      </c>
      <c r="F427" s="24" t="s">
        <v>504</v>
      </c>
      <c r="G427" s="38"/>
      <c r="H427" s="31"/>
      <c r="I427" s="38"/>
      <c r="J427" s="268"/>
      <c r="K427" s="32">
        <f>900</f>
        <v>900</v>
      </c>
      <c r="L427" s="32">
        <f>J427+K427</f>
        <v>900</v>
      </c>
      <c r="M427" s="58"/>
      <c r="N427" s="185"/>
    </row>
    <row r="428" spans="1:14" s="186" customFormat="1" ht="17.25" customHeight="1">
      <c r="A428" s="84" t="s">
        <v>68</v>
      </c>
      <c r="B428" s="30" t="s">
        <v>287</v>
      </c>
      <c r="C428" s="30" t="s">
        <v>67</v>
      </c>
      <c r="D428" s="30" t="s">
        <v>227</v>
      </c>
      <c r="E428" s="30"/>
      <c r="F428" s="30"/>
      <c r="G428" s="22"/>
      <c r="H428" s="26"/>
      <c r="I428" s="22"/>
      <c r="J428" s="25">
        <f>J432+J449+J438+J429</f>
        <v>4388.280000000001</v>
      </c>
      <c r="K428" s="25">
        <f>K432+K449+K438+K429</f>
        <v>3645.44</v>
      </c>
      <c r="L428" s="25">
        <f>L432+L449+L438+L429</f>
        <v>8033.72</v>
      </c>
      <c r="M428" s="111">
        <f>M432+M449+M438+M429</f>
        <v>0</v>
      </c>
      <c r="N428" s="111">
        <f>N432+N449+N438+N429</f>
        <v>0</v>
      </c>
    </row>
    <row r="429" spans="1:17" s="186" customFormat="1" ht="17.25" customHeight="1">
      <c r="A429" s="83" t="s">
        <v>70</v>
      </c>
      <c r="B429" s="30" t="s">
        <v>287</v>
      </c>
      <c r="C429" s="30" t="s">
        <v>67</v>
      </c>
      <c r="D429" s="30" t="s">
        <v>12</v>
      </c>
      <c r="E429" s="30"/>
      <c r="F429" s="30"/>
      <c r="G429" s="22"/>
      <c r="H429" s="26"/>
      <c r="I429" s="22"/>
      <c r="J429" s="25">
        <f aca="true" t="shared" si="71" ref="J429:N430">J430</f>
        <v>45</v>
      </c>
      <c r="K429" s="25">
        <f t="shared" si="71"/>
        <v>0</v>
      </c>
      <c r="L429" s="25">
        <f t="shared" si="71"/>
        <v>45</v>
      </c>
      <c r="M429" s="43">
        <f t="shared" si="71"/>
        <v>0</v>
      </c>
      <c r="N429" s="43">
        <f t="shared" si="71"/>
        <v>0</v>
      </c>
      <c r="O429" s="148"/>
      <c r="P429" s="148"/>
      <c r="Q429" s="148"/>
    </row>
    <row r="430" spans="1:14" s="186" customFormat="1" ht="17.25" customHeight="1">
      <c r="A430" s="83" t="s">
        <v>267</v>
      </c>
      <c r="B430" s="24" t="s">
        <v>287</v>
      </c>
      <c r="C430" s="24" t="s">
        <v>67</v>
      </c>
      <c r="D430" s="24" t="s">
        <v>12</v>
      </c>
      <c r="E430" s="24" t="s">
        <v>268</v>
      </c>
      <c r="F430" s="24"/>
      <c r="G430" s="22"/>
      <c r="H430" s="26"/>
      <c r="I430" s="22"/>
      <c r="J430" s="32">
        <f t="shared" si="71"/>
        <v>45</v>
      </c>
      <c r="K430" s="32">
        <f t="shared" si="71"/>
        <v>0</v>
      </c>
      <c r="L430" s="32">
        <f t="shared" si="71"/>
        <v>45</v>
      </c>
      <c r="M430" s="90">
        <f t="shared" si="71"/>
        <v>0</v>
      </c>
      <c r="N430" s="90">
        <f t="shared" si="71"/>
        <v>0</v>
      </c>
    </row>
    <row r="431" spans="1:14" s="186" customFormat="1" ht="17.25" customHeight="1" thickBot="1">
      <c r="A431" s="67" t="s">
        <v>375</v>
      </c>
      <c r="B431" s="24" t="s">
        <v>287</v>
      </c>
      <c r="C431" s="24" t="s">
        <v>67</v>
      </c>
      <c r="D431" s="24" t="s">
        <v>12</v>
      </c>
      <c r="E431" s="24" t="s">
        <v>268</v>
      </c>
      <c r="F431" s="24" t="s">
        <v>376</v>
      </c>
      <c r="G431" s="22"/>
      <c r="H431" s="26"/>
      <c r="I431" s="22"/>
      <c r="J431" s="32">
        <v>45</v>
      </c>
      <c r="K431" s="32"/>
      <c r="L431" s="32">
        <f>J431+K431</f>
        <v>45</v>
      </c>
      <c r="M431" s="56"/>
      <c r="N431" s="110"/>
    </row>
    <row r="432" spans="1:17" ht="18" customHeight="1" thickBot="1">
      <c r="A432" s="112" t="s">
        <v>71</v>
      </c>
      <c r="B432" s="30" t="s">
        <v>287</v>
      </c>
      <c r="C432" s="30" t="s">
        <v>67</v>
      </c>
      <c r="D432" s="30" t="s">
        <v>13</v>
      </c>
      <c r="E432" s="30"/>
      <c r="F432" s="30"/>
      <c r="G432" s="22"/>
      <c r="H432" s="26"/>
      <c r="I432" s="22"/>
      <c r="J432" s="25">
        <f>J433</f>
        <v>156.24</v>
      </c>
      <c r="K432" s="25">
        <f>K433</f>
        <v>150.3</v>
      </c>
      <c r="L432" s="25">
        <f>L433</f>
        <v>306.54</v>
      </c>
      <c r="M432" s="113"/>
      <c r="N432" s="114"/>
      <c r="O432" s="148"/>
      <c r="P432" s="148"/>
      <c r="Q432" s="148"/>
    </row>
    <row r="433" spans="1:14" ht="17.25" customHeight="1" thickBot="1">
      <c r="A433" s="40" t="s">
        <v>114</v>
      </c>
      <c r="B433" s="24" t="s">
        <v>287</v>
      </c>
      <c r="C433" s="24" t="s">
        <v>67</v>
      </c>
      <c r="D433" s="24" t="s">
        <v>13</v>
      </c>
      <c r="E433" s="24" t="s">
        <v>269</v>
      </c>
      <c r="F433" s="24"/>
      <c r="G433" s="38"/>
      <c r="H433" s="31"/>
      <c r="I433" s="38"/>
      <c r="J433" s="32">
        <f>J434+J435+J436+J437</f>
        <v>156.24</v>
      </c>
      <c r="K433" s="32">
        <f>K434+K435+K436+K437</f>
        <v>150.3</v>
      </c>
      <c r="L433" s="32">
        <f>L434+L435+L436+L437</f>
        <v>306.54</v>
      </c>
      <c r="M433" s="56"/>
      <c r="N433" s="110"/>
    </row>
    <row r="434" spans="1:14" ht="17.25" customHeight="1" thickBot="1">
      <c r="A434" s="40" t="s">
        <v>112</v>
      </c>
      <c r="B434" s="24" t="s">
        <v>287</v>
      </c>
      <c r="C434" s="24" t="s">
        <v>67</v>
      </c>
      <c r="D434" s="24" t="s">
        <v>13</v>
      </c>
      <c r="E434" s="24" t="s">
        <v>269</v>
      </c>
      <c r="F434" s="24" t="s">
        <v>171</v>
      </c>
      <c r="G434" s="38"/>
      <c r="H434" s="31"/>
      <c r="I434" s="38"/>
      <c r="J434" s="268">
        <v>156.24</v>
      </c>
      <c r="K434" s="32">
        <f>81+101.2625-156.24</f>
        <v>26.02249999999998</v>
      </c>
      <c r="L434" s="32">
        <f>J434+K434</f>
        <v>182.2625</v>
      </c>
      <c r="M434" s="56"/>
      <c r="N434" s="110"/>
    </row>
    <row r="435" spans="1:14" ht="17.25" customHeight="1" thickBot="1">
      <c r="A435" s="67" t="s">
        <v>173</v>
      </c>
      <c r="B435" s="24" t="s">
        <v>287</v>
      </c>
      <c r="C435" s="24" t="s">
        <v>67</v>
      </c>
      <c r="D435" s="24" t="s">
        <v>13</v>
      </c>
      <c r="E435" s="24" t="s">
        <v>269</v>
      </c>
      <c r="F435" s="24" t="s">
        <v>174</v>
      </c>
      <c r="G435" s="38"/>
      <c r="H435" s="31"/>
      <c r="I435" s="38"/>
      <c r="J435" s="268"/>
      <c r="K435" s="32">
        <v>14</v>
      </c>
      <c r="L435" s="32">
        <f>J435+K435</f>
        <v>14</v>
      </c>
      <c r="M435" s="56"/>
      <c r="N435" s="110"/>
    </row>
    <row r="436" spans="1:14" ht="17.25" customHeight="1" thickBot="1">
      <c r="A436" s="67" t="s">
        <v>164</v>
      </c>
      <c r="B436" s="24" t="s">
        <v>287</v>
      </c>
      <c r="C436" s="24" t="s">
        <v>67</v>
      </c>
      <c r="D436" s="24" t="s">
        <v>13</v>
      </c>
      <c r="E436" s="24" t="s">
        <v>269</v>
      </c>
      <c r="F436" s="24" t="s">
        <v>166</v>
      </c>
      <c r="G436" s="38"/>
      <c r="H436" s="31"/>
      <c r="I436" s="38"/>
      <c r="J436" s="268"/>
      <c r="K436" s="32">
        <v>92.504</v>
      </c>
      <c r="L436" s="32">
        <f>J436+K436</f>
        <v>92.504</v>
      </c>
      <c r="M436" s="56"/>
      <c r="N436" s="110"/>
    </row>
    <row r="437" spans="1:14" ht="24" customHeight="1">
      <c r="A437" s="72" t="s">
        <v>181</v>
      </c>
      <c r="B437" s="24" t="s">
        <v>287</v>
      </c>
      <c r="C437" s="24" t="s">
        <v>67</v>
      </c>
      <c r="D437" s="24" t="s">
        <v>13</v>
      </c>
      <c r="E437" s="24" t="s">
        <v>269</v>
      </c>
      <c r="F437" s="24" t="s">
        <v>182</v>
      </c>
      <c r="G437" s="38"/>
      <c r="H437" s="31"/>
      <c r="I437" s="38"/>
      <c r="J437" s="268"/>
      <c r="K437" s="32">
        <v>17.7735</v>
      </c>
      <c r="L437" s="32">
        <f>J437+K437</f>
        <v>17.7735</v>
      </c>
      <c r="M437" s="58"/>
      <c r="N437" s="185"/>
    </row>
    <row r="438" spans="1:14" ht="17.25" customHeight="1">
      <c r="A438" s="84" t="s">
        <v>185</v>
      </c>
      <c r="B438" s="30" t="s">
        <v>287</v>
      </c>
      <c r="C438" s="30" t="s">
        <v>67</v>
      </c>
      <c r="D438" s="30" t="s">
        <v>14</v>
      </c>
      <c r="E438" s="30"/>
      <c r="F438" s="24"/>
      <c r="G438" s="38"/>
      <c r="H438" s="31"/>
      <c r="I438" s="38"/>
      <c r="J438" s="32">
        <f>J439+J447</f>
        <v>4014.6800000000003</v>
      </c>
      <c r="K438" s="32">
        <f>K439+K447</f>
        <v>3647.5</v>
      </c>
      <c r="L438" s="32">
        <f>L439+L447</f>
        <v>7662.18</v>
      </c>
      <c r="M438" s="90">
        <f>M439+M447</f>
        <v>0</v>
      </c>
      <c r="N438" s="90">
        <f>N439+N447</f>
        <v>0</v>
      </c>
    </row>
    <row r="439" spans="1:14" ht="17.25" customHeight="1">
      <c r="A439" s="40" t="s">
        <v>270</v>
      </c>
      <c r="B439" s="24" t="s">
        <v>287</v>
      </c>
      <c r="C439" s="24" t="s">
        <v>67</v>
      </c>
      <c r="D439" s="24" t="s">
        <v>14</v>
      </c>
      <c r="E439" s="24" t="s">
        <v>271</v>
      </c>
      <c r="F439" s="24"/>
      <c r="G439" s="38"/>
      <c r="H439" s="31"/>
      <c r="I439" s="38"/>
      <c r="J439" s="32">
        <f>J444+J440+J442</f>
        <v>3814.6800000000003</v>
      </c>
      <c r="K439" s="32">
        <f>K444+K440+K442</f>
        <v>3647.5</v>
      </c>
      <c r="L439" s="32">
        <f>L444+L440+L442</f>
        <v>7462.18</v>
      </c>
      <c r="M439" s="155">
        <f>M444+M440+M442</f>
        <v>0</v>
      </c>
      <c r="N439" s="155">
        <f>N444+N440+N442</f>
        <v>0</v>
      </c>
    </row>
    <row r="440" spans="1:14" ht="63.75" customHeight="1" thickBot="1">
      <c r="A440" s="187" t="s">
        <v>460</v>
      </c>
      <c r="B440" s="24" t="s">
        <v>287</v>
      </c>
      <c r="C440" s="24" t="s">
        <v>67</v>
      </c>
      <c r="D440" s="24" t="s">
        <v>14</v>
      </c>
      <c r="E440" s="24" t="s">
        <v>461</v>
      </c>
      <c r="F440" s="24"/>
      <c r="G440" s="38"/>
      <c r="H440" s="31"/>
      <c r="I440" s="38"/>
      <c r="J440" s="32">
        <f>J441</f>
        <v>2232</v>
      </c>
      <c r="K440" s="32">
        <f>K441</f>
        <v>3393</v>
      </c>
      <c r="L440" s="32">
        <f>L441</f>
        <v>5625</v>
      </c>
      <c r="M440" s="56"/>
      <c r="N440" s="110"/>
    </row>
    <row r="441" spans="1:14" s="173" customFormat="1" ht="38.25" customHeight="1" thickBot="1">
      <c r="A441" s="188" t="s">
        <v>193</v>
      </c>
      <c r="B441" s="150" t="s">
        <v>287</v>
      </c>
      <c r="C441" s="150" t="s">
        <v>67</v>
      </c>
      <c r="D441" s="150" t="s">
        <v>14</v>
      </c>
      <c r="E441" s="150" t="s">
        <v>461</v>
      </c>
      <c r="F441" s="150" t="s">
        <v>194</v>
      </c>
      <c r="G441" s="152"/>
      <c r="H441" s="189"/>
      <c r="I441" s="152"/>
      <c r="J441" s="270">
        <v>2232</v>
      </c>
      <c r="K441" s="255">
        <v>3393</v>
      </c>
      <c r="L441" s="255">
        <f>J441+K441</f>
        <v>5625</v>
      </c>
      <c r="M441" s="190"/>
      <c r="N441" s="191"/>
    </row>
    <row r="442" spans="1:14" ht="58.5" customHeight="1" thickBot="1">
      <c r="A442" s="187" t="s">
        <v>462</v>
      </c>
      <c r="B442" s="24" t="s">
        <v>287</v>
      </c>
      <c r="C442" s="24" t="s">
        <v>67</v>
      </c>
      <c r="D442" s="24" t="s">
        <v>14</v>
      </c>
      <c r="E442" s="24" t="s">
        <v>272</v>
      </c>
      <c r="F442" s="24"/>
      <c r="G442" s="38"/>
      <c r="H442" s="31"/>
      <c r="I442" s="38"/>
      <c r="J442" s="32">
        <f>J443</f>
        <v>558</v>
      </c>
      <c r="K442" s="32">
        <f>K443</f>
        <v>4.5</v>
      </c>
      <c r="L442" s="32">
        <f>L443</f>
        <v>562.5</v>
      </c>
      <c r="M442" s="56"/>
      <c r="N442" s="110"/>
    </row>
    <row r="443" spans="1:14" ht="25.5" customHeight="1" thickBot="1">
      <c r="A443" s="40" t="s">
        <v>193</v>
      </c>
      <c r="B443" s="24" t="s">
        <v>287</v>
      </c>
      <c r="C443" s="24" t="s">
        <v>67</v>
      </c>
      <c r="D443" s="24" t="s">
        <v>14</v>
      </c>
      <c r="E443" s="24" t="s">
        <v>272</v>
      </c>
      <c r="F443" s="24" t="s">
        <v>194</v>
      </c>
      <c r="G443" s="38"/>
      <c r="H443" s="31"/>
      <c r="I443" s="38"/>
      <c r="J443" s="32">
        <v>558</v>
      </c>
      <c r="K443" s="32">
        <v>4.5</v>
      </c>
      <c r="L443" s="32">
        <f>J443+K443</f>
        <v>562.5</v>
      </c>
      <c r="M443" s="56"/>
      <c r="N443" s="110"/>
    </row>
    <row r="444" spans="1:14" ht="17.25" customHeight="1">
      <c r="A444" s="83" t="s">
        <v>273</v>
      </c>
      <c r="B444" s="24" t="s">
        <v>287</v>
      </c>
      <c r="C444" s="24" t="s">
        <v>67</v>
      </c>
      <c r="D444" s="24" t="s">
        <v>14</v>
      </c>
      <c r="E444" s="24" t="s">
        <v>274</v>
      </c>
      <c r="F444" s="24"/>
      <c r="G444" s="38"/>
      <c r="H444" s="31"/>
      <c r="I444" s="38"/>
      <c r="J444" s="32">
        <f>J445+J446</f>
        <v>1024.68</v>
      </c>
      <c r="K444" s="32">
        <f>K445+K446</f>
        <v>250</v>
      </c>
      <c r="L444" s="32">
        <f>L445+L446</f>
        <v>1274.68</v>
      </c>
      <c r="M444" s="244">
        <f>M445+M446</f>
        <v>0</v>
      </c>
      <c r="N444" s="244">
        <f>N445+N446</f>
        <v>0</v>
      </c>
    </row>
    <row r="445" spans="1:14" ht="17.25" customHeight="1" thickBot="1">
      <c r="A445" s="67" t="s">
        <v>164</v>
      </c>
      <c r="B445" s="24" t="s">
        <v>287</v>
      </c>
      <c r="C445" s="24" t="s">
        <v>67</v>
      </c>
      <c r="D445" s="24" t="s">
        <v>14</v>
      </c>
      <c r="E445" s="24" t="s">
        <v>274</v>
      </c>
      <c r="F445" s="24" t="s">
        <v>200</v>
      </c>
      <c r="G445" s="38"/>
      <c r="H445" s="31"/>
      <c r="I445" s="38"/>
      <c r="J445" s="268">
        <v>561</v>
      </c>
      <c r="K445" s="32">
        <f>50+200</f>
        <v>250</v>
      </c>
      <c r="L445" s="32">
        <f>J445+K445</f>
        <v>811</v>
      </c>
      <c r="M445" s="56"/>
      <c r="N445" s="110"/>
    </row>
    <row r="446" spans="1:14" ht="17.25" customHeight="1">
      <c r="A446" s="67" t="s">
        <v>164</v>
      </c>
      <c r="B446" s="24" t="s">
        <v>287</v>
      </c>
      <c r="C446" s="24" t="s">
        <v>67</v>
      </c>
      <c r="D446" s="24" t="s">
        <v>14</v>
      </c>
      <c r="E446" s="24" t="s">
        <v>477</v>
      </c>
      <c r="F446" s="24" t="s">
        <v>200</v>
      </c>
      <c r="G446" s="38"/>
      <c r="H446" s="31"/>
      <c r="I446" s="38"/>
      <c r="J446" s="268">
        <v>463.68</v>
      </c>
      <c r="K446" s="32"/>
      <c r="L446" s="32">
        <f>J446+K446</f>
        <v>463.68</v>
      </c>
      <c r="M446" s="58"/>
      <c r="N446" s="185"/>
    </row>
    <row r="447" spans="1:14" ht="39">
      <c r="A447" s="83" t="s">
        <v>465</v>
      </c>
      <c r="B447" s="24" t="s">
        <v>287</v>
      </c>
      <c r="C447" s="24" t="s">
        <v>67</v>
      </c>
      <c r="D447" s="24" t="s">
        <v>14</v>
      </c>
      <c r="E447" s="24" t="s">
        <v>377</v>
      </c>
      <c r="F447" s="24"/>
      <c r="G447" s="38"/>
      <c r="H447" s="31"/>
      <c r="I447" s="38"/>
      <c r="J447" s="32">
        <f>J448</f>
        <v>200</v>
      </c>
      <c r="K447" s="32">
        <f>K448</f>
        <v>0</v>
      </c>
      <c r="L447" s="32">
        <f>L448</f>
        <v>200</v>
      </c>
      <c r="M447" s="90">
        <f>M448</f>
        <v>0</v>
      </c>
      <c r="N447" s="90">
        <f>N448</f>
        <v>0</v>
      </c>
    </row>
    <row r="448" spans="1:14" ht="29.25" customHeight="1" thickBot="1">
      <c r="A448" s="83" t="s">
        <v>378</v>
      </c>
      <c r="B448" s="24" t="s">
        <v>287</v>
      </c>
      <c r="C448" s="24" t="s">
        <v>67</v>
      </c>
      <c r="D448" s="24" t="s">
        <v>14</v>
      </c>
      <c r="E448" s="24" t="s">
        <v>377</v>
      </c>
      <c r="F448" s="24" t="s">
        <v>379</v>
      </c>
      <c r="G448" s="38"/>
      <c r="H448" s="31"/>
      <c r="I448" s="38"/>
      <c r="J448" s="268">
        <v>200</v>
      </c>
      <c r="K448" s="32"/>
      <c r="L448" s="32">
        <f>J448+K448</f>
        <v>200</v>
      </c>
      <c r="M448" s="56"/>
      <c r="N448" s="110"/>
    </row>
    <row r="449" spans="1:14" ht="27.75" customHeight="1" thickBot="1">
      <c r="A449" s="115" t="s">
        <v>74</v>
      </c>
      <c r="B449" s="30" t="s">
        <v>287</v>
      </c>
      <c r="C449" s="30" t="s">
        <v>67</v>
      </c>
      <c r="D449" s="30" t="s">
        <v>18</v>
      </c>
      <c r="E449" s="30"/>
      <c r="F449" s="30"/>
      <c r="G449" s="38"/>
      <c r="H449" s="31"/>
      <c r="I449" s="38"/>
      <c r="J449" s="32">
        <f>J450+J453</f>
        <v>172.36</v>
      </c>
      <c r="K449" s="32">
        <f>K450+K453</f>
        <v>-152.36</v>
      </c>
      <c r="L449" s="32">
        <f>L450+L453</f>
        <v>20</v>
      </c>
      <c r="M449" s="56"/>
      <c r="N449" s="110"/>
    </row>
    <row r="450" spans="1:14" ht="33" customHeight="1" thickBot="1">
      <c r="A450" s="83" t="s">
        <v>275</v>
      </c>
      <c r="B450" s="24" t="s">
        <v>287</v>
      </c>
      <c r="C450" s="24" t="s">
        <v>67</v>
      </c>
      <c r="D450" s="24" t="s">
        <v>18</v>
      </c>
      <c r="E450" s="24" t="s">
        <v>132</v>
      </c>
      <c r="F450" s="24"/>
      <c r="G450" s="38"/>
      <c r="H450" s="31"/>
      <c r="I450" s="38"/>
      <c r="J450" s="32">
        <f aca="true" t="shared" si="72" ref="J450:L451">J451</f>
        <v>172.36</v>
      </c>
      <c r="K450" s="32">
        <f t="shared" si="72"/>
        <v>-172.36</v>
      </c>
      <c r="L450" s="32">
        <f t="shared" si="72"/>
        <v>0</v>
      </c>
      <c r="M450" s="56"/>
      <c r="N450" s="110"/>
    </row>
    <row r="451" spans="1:14" ht="17.25" customHeight="1" thickBot="1">
      <c r="A451" s="83" t="s">
        <v>133</v>
      </c>
      <c r="B451" s="24" t="s">
        <v>287</v>
      </c>
      <c r="C451" s="24" t="s">
        <v>67</v>
      </c>
      <c r="D451" s="24" t="s">
        <v>18</v>
      </c>
      <c r="E451" s="24" t="s">
        <v>134</v>
      </c>
      <c r="F451" s="24"/>
      <c r="G451" s="38"/>
      <c r="H451" s="31"/>
      <c r="I451" s="38"/>
      <c r="J451" s="32">
        <f t="shared" si="72"/>
        <v>172.36</v>
      </c>
      <c r="K451" s="32">
        <f t="shared" si="72"/>
        <v>-172.36</v>
      </c>
      <c r="L451" s="32">
        <f t="shared" si="72"/>
        <v>0</v>
      </c>
      <c r="M451" s="56"/>
      <c r="N451" s="110"/>
    </row>
    <row r="452" spans="1:14" ht="17.25" customHeight="1" thickBot="1">
      <c r="A452" s="83" t="s">
        <v>112</v>
      </c>
      <c r="B452" s="24" t="s">
        <v>287</v>
      </c>
      <c r="C452" s="24" t="s">
        <v>67</v>
      </c>
      <c r="D452" s="24" t="s">
        <v>18</v>
      </c>
      <c r="E452" s="24" t="s">
        <v>134</v>
      </c>
      <c r="F452" s="24" t="s">
        <v>171</v>
      </c>
      <c r="G452" s="38"/>
      <c r="H452" s="31"/>
      <c r="I452" s="38"/>
      <c r="J452" s="268">
        <v>172.36</v>
      </c>
      <c r="K452" s="32">
        <f>-172.36</f>
        <v>-172.36</v>
      </c>
      <c r="L452" s="32">
        <f>SUM(J452:K452)</f>
        <v>0</v>
      </c>
      <c r="M452" s="56"/>
      <c r="N452" s="110"/>
    </row>
    <row r="453" spans="1:14" ht="33" customHeight="1" thickBot="1">
      <c r="A453" s="83" t="s">
        <v>280</v>
      </c>
      <c r="B453" s="24" t="s">
        <v>287</v>
      </c>
      <c r="C453" s="24" t="s">
        <v>67</v>
      </c>
      <c r="D453" s="24" t="s">
        <v>18</v>
      </c>
      <c r="E453" s="24" t="s">
        <v>281</v>
      </c>
      <c r="F453" s="24"/>
      <c r="G453" s="38"/>
      <c r="H453" s="31"/>
      <c r="I453" s="38"/>
      <c r="J453" s="268">
        <f>J454</f>
        <v>0</v>
      </c>
      <c r="K453" s="268">
        <f>K454</f>
        <v>20</v>
      </c>
      <c r="L453" s="268">
        <f>L454</f>
        <v>20</v>
      </c>
      <c r="M453" s="56"/>
      <c r="N453" s="110"/>
    </row>
    <row r="454" spans="1:14" ht="17.25" customHeight="1" thickBot="1">
      <c r="A454" s="67" t="s">
        <v>164</v>
      </c>
      <c r="B454" s="24" t="s">
        <v>287</v>
      </c>
      <c r="C454" s="24" t="s">
        <v>67</v>
      </c>
      <c r="D454" s="24" t="s">
        <v>18</v>
      </c>
      <c r="E454" s="24" t="s">
        <v>281</v>
      </c>
      <c r="F454" s="24" t="s">
        <v>166</v>
      </c>
      <c r="G454" s="38"/>
      <c r="H454" s="31"/>
      <c r="I454" s="38"/>
      <c r="J454" s="268"/>
      <c r="K454" s="32">
        <v>20</v>
      </c>
      <c r="L454" s="32">
        <f>J454+K454</f>
        <v>20</v>
      </c>
      <c r="M454" s="56"/>
      <c r="N454" s="110"/>
    </row>
    <row r="455" spans="1:14" ht="19.5" customHeight="1" thickBot="1">
      <c r="A455" s="82" t="s">
        <v>77</v>
      </c>
      <c r="B455" s="30" t="s">
        <v>287</v>
      </c>
      <c r="C455" s="30" t="s">
        <v>23</v>
      </c>
      <c r="D455" s="30"/>
      <c r="E455" s="30"/>
      <c r="F455" s="30"/>
      <c r="G455" s="22"/>
      <c r="H455" s="26"/>
      <c r="I455" s="22"/>
      <c r="J455" s="267">
        <f>J456</f>
        <v>903.6</v>
      </c>
      <c r="K455" s="25">
        <f>K456</f>
        <v>0</v>
      </c>
      <c r="L455" s="25">
        <f>L456</f>
        <v>903.6</v>
      </c>
      <c r="M455" s="56"/>
      <c r="N455" s="110"/>
    </row>
    <row r="456" spans="1:14" ht="15.75" thickBot="1">
      <c r="A456" s="82" t="s">
        <v>57</v>
      </c>
      <c r="B456" s="30" t="s">
        <v>287</v>
      </c>
      <c r="C456" s="30" t="s">
        <v>23</v>
      </c>
      <c r="D456" s="30" t="s">
        <v>13</v>
      </c>
      <c r="E456" s="30"/>
      <c r="F456" s="30"/>
      <c r="G456" s="22">
        <f aca="true" t="shared" si="73" ref="G456:L458">G457</f>
        <v>0</v>
      </c>
      <c r="H456" s="22">
        <f t="shared" si="73"/>
        <v>666</v>
      </c>
      <c r="I456" s="22">
        <f t="shared" si="73"/>
        <v>0</v>
      </c>
      <c r="J456" s="267">
        <f t="shared" si="73"/>
        <v>903.6</v>
      </c>
      <c r="K456" s="25">
        <f t="shared" si="73"/>
        <v>0</v>
      </c>
      <c r="L456" s="25">
        <f t="shared" si="73"/>
        <v>903.6</v>
      </c>
      <c r="M456" s="56"/>
      <c r="N456" s="110"/>
    </row>
    <row r="457" spans="1:14" ht="29.25" customHeight="1" thickBot="1">
      <c r="A457" s="83" t="s">
        <v>368</v>
      </c>
      <c r="B457" s="24" t="s">
        <v>287</v>
      </c>
      <c r="C457" s="24" t="s">
        <v>23</v>
      </c>
      <c r="D457" s="24" t="s">
        <v>13</v>
      </c>
      <c r="E457" s="24" t="s">
        <v>369</v>
      </c>
      <c r="F457" s="24"/>
      <c r="G457" s="38">
        <f t="shared" si="73"/>
        <v>0</v>
      </c>
      <c r="H457" s="38">
        <f t="shared" si="73"/>
        <v>666</v>
      </c>
      <c r="I457" s="38">
        <f t="shared" si="73"/>
        <v>0</v>
      </c>
      <c r="J457" s="32">
        <f t="shared" si="73"/>
        <v>903.6</v>
      </c>
      <c r="K457" s="32">
        <f t="shared" si="73"/>
        <v>0</v>
      </c>
      <c r="L457" s="32">
        <f t="shared" si="73"/>
        <v>903.6</v>
      </c>
      <c r="M457" s="56"/>
      <c r="N457" s="110"/>
    </row>
    <row r="458" spans="1:14" ht="39.75" customHeight="1">
      <c r="A458" s="83" t="s">
        <v>370</v>
      </c>
      <c r="B458" s="24" t="s">
        <v>287</v>
      </c>
      <c r="C458" s="24" t="s">
        <v>23</v>
      </c>
      <c r="D458" s="24" t="s">
        <v>13</v>
      </c>
      <c r="E458" s="24" t="s">
        <v>371</v>
      </c>
      <c r="F458" s="24"/>
      <c r="G458" s="38">
        <f t="shared" si="73"/>
        <v>0</v>
      </c>
      <c r="H458" s="38">
        <f t="shared" si="73"/>
        <v>666</v>
      </c>
      <c r="I458" s="38">
        <f t="shared" si="73"/>
        <v>0</v>
      </c>
      <c r="J458" s="32">
        <f>J459+J460</f>
        <v>903.6</v>
      </c>
      <c r="K458" s="32">
        <f>K459+K460</f>
        <v>0</v>
      </c>
      <c r="L458" s="32">
        <f>L459+L460</f>
        <v>903.6</v>
      </c>
      <c r="M458" s="58"/>
      <c r="N458" s="95"/>
    </row>
    <row r="459" spans="1:14" ht="16.5" customHeight="1" hidden="1">
      <c r="A459" s="83" t="s">
        <v>238</v>
      </c>
      <c r="B459" s="24" t="s">
        <v>287</v>
      </c>
      <c r="C459" s="24" t="s">
        <v>23</v>
      </c>
      <c r="D459" s="24" t="s">
        <v>13</v>
      </c>
      <c r="E459" s="24" t="s">
        <v>371</v>
      </c>
      <c r="F459" s="24" t="s">
        <v>239</v>
      </c>
      <c r="G459" s="38"/>
      <c r="H459" s="38">
        <v>666</v>
      </c>
      <c r="I459" s="38"/>
      <c r="J459" s="268"/>
      <c r="K459" s="32"/>
      <c r="L459" s="32">
        <f>J459+K459</f>
        <v>0</v>
      </c>
      <c r="M459" s="33"/>
      <c r="N459" s="65"/>
    </row>
    <row r="460" spans="1:14" ht="16.5" customHeight="1" thickBot="1">
      <c r="A460" s="83" t="s">
        <v>363</v>
      </c>
      <c r="B460" s="24" t="s">
        <v>287</v>
      </c>
      <c r="C460" s="24" t="s">
        <v>23</v>
      </c>
      <c r="D460" s="24" t="s">
        <v>13</v>
      </c>
      <c r="E460" s="24" t="s">
        <v>371</v>
      </c>
      <c r="F460" s="24" t="s">
        <v>364</v>
      </c>
      <c r="G460" s="38"/>
      <c r="H460" s="38"/>
      <c r="I460" s="38"/>
      <c r="J460" s="268">
        <v>903.6</v>
      </c>
      <c r="K460" s="32"/>
      <c r="L460" s="32">
        <f>J460+K460</f>
        <v>903.6</v>
      </c>
      <c r="M460" s="54"/>
      <c r="N460" s="76"/>
    </row>
    <row r="461" spans="1:15" ht="15.75" thickBot="1">
      <c r="A461" s="246" t="s">
        <v>380</v>
      </c>
      <c r="B461" s="247" t="s">
        <v>242</v>
      </c>
      <c r="C461" s="247"/>
      <c r="D461" s="247"/>
      <c r="E461" s="247"/>
      <c r="F461" s="247"/>
      <c r="G461" s="248" t="e">
        <f>G462+G477</f>
        <v>#REF!</v>
      </c>
      <c r="H461" s="248" t="e">
        <f>H462+H477+#REF!</f>
        <v>#REF!</v>
      </c>
      <c r="I461" s="248" t="e">
        <f>I462+I477+#REF!</f>
        <v>#REF!</v>
      </c>
      <c r="J461" s="248">
        <f>J462+J468+J477+J517+J510</f>
        <v>9858.117</v>
      </c>
      <c r="K461" s="248">
        <f>K462+K468+K477+K517+K510</f>
        <v>526.535</v>
      </c>
      <c r="L461" s="248">
        <f>L462+L468+L477+L517+L510</f>
        <v>10384.652</v>
      </c>
      <c r="M461" s="78" t="e">
        <f>M462+M477+#REF!+M468</f>
        <v>#REF!</v>
      </c>
      <c r="N461" s="79" t="e">
        <f>N462+N477+#REF!+N468</f>
        <v>#REF!</v>
      </c>
      <c r="O461" s="172"/>
    </row>
    <row r="462" spans="1:14" s="183" customFormat="1" ht="14.25">
      <c r="A462" s="82" t="s">
        <v>10</v>
      </c>
      <c r="B462" s="30" t="s">
        <v>242</v>
      </c>
      <c r="C462" s="30" t="s">
        <v>12</v>
      </c>
      <c r="D462" s="30"/>
      <c r="E462" s="30"/>
      <c r="F462" s="30"/>
      <c r="G462" s="22" t="e">
        <f aca="true" t="shared" si="74" ref="G462:N464">G463</f>
        <v>#REF!</v>
      </c>
      <c r="H462" s="22" t="e">
        <f t="shared" si="74"/>
        <v>#REF!</v>
      </c>
      <c r="I462" s="22" t="e">
        <f t="shared" si="74"/>
        <v>#REF!</v>
      </c>
      <c r="J462" s="25">
        <f t="shared" si="74"/>
        <v>805</v>
      </c>
      <c r="K462" s="25">
        <f t="shared" si="74"/>
        <v>106.535</v>
      </c>
      <c r="L462" s="25">
        <f t="shared" si="74"/>
        <v>911.535</v>
      </c>
      <c r="M462" s="27" t="e">
        <f t="shared" si="74"/>
        <v>#REF!</v>
      </c>
      <c r="N462" s="28" t="e">
        <f t="shared" si="74"/>
        <v>#REF!</v>
      </c>
    </row>
    <row r="463" spans="1:14" s="148" customFormat="1" ht="63.75">
      <c r="A463" s="83" t="s">
        <v>209</v>
      </c>
      <c r="B463" s="30" t="s">
        <v>242</v>
      </c>
      <c r="C463" s="30" t="s">
        <v>12</v>
      </c>
      <c r="D463" s="30" t="s">
        <v>15</v>
      </c>
      <c r="E463" s="30"/>
      <c r="F463" s="30"/>
      <c r="G463" s="22" t="e">
        <f t="shared" si="74"/>
        <v>#REF!</v>
      </c>
      <c r="H463" s="22" t="e">
        <f t="shared" si="74"/>
        <v>#REF!</v>
      </c>
      <c r="I463" s="22" t="e">
        <f t="shared" si="74"/>
        <v>#REF!</v>
      </c>
      <c r="J463" s="25">
        <f t="shared" si="74"/>
        <v>805</v>
      </c>
      <c r="K463" s="25">
        <f t="shared" si="74"/>
        <v>106.535</v>
      </c>
      <c r="L463" s="25">
        <f t="shared" si="74"/>
        <v>911.535</v>
      </c>
      <c r="M463" s="47" t="e">
        <f t="shared" si="74"/>
        <v>#REF!</v>
      </c>
      <c r="N463" s="64" t="e">
        <f t="shared" si="74"/>
        <v>#REF!</v>
      </c>
    </row>
    <row r="464" spans="1:14" ht="26.25">
      <c r="A464" s="83" t="s">
        <v>275</v>
      </c>
      <c r="B464" s="24" t="s">
        <v>242</v>
      </c>
      <c r="C464" s="24" t="s">
        <v>12</v>
      </c>
      <c r="D464" s="24" t="s">
        <v>15</v>
      </c>
      <c r="E464" s="24" t="s">
        <v>132</v>
      </c>
      <c r="F464" s="24"/>
      <c r="G464" s="38" t="e">
        <f t="shared" si="74"/>
        <v>#REF!</v>
      </c>
      <c r="H464" s="38" t="e">
        <f t="shared" si="74"/>
        <v>#REF!</v>
      </c>
      <c r="I464" s="38" t="e">
        <f t="shared" si="74"/>
        <v>#REF!</v>
      </c>
      <c r="J464" s="32">
        <f t="shared" si="74"/>
        <v>805</v>
      </c>
      <c r="K464" s="32">
        <f t="shared" si="74"/>
        <v>106.535</v>
      </c>
      <c r="L464" s="32">
        <f t="shared" si="74"/>
        <v>911.535</v>
      </c>
      <c r="M464" s="33" t="e">
        <f t="shared" si="74"/>
        <v>#REF!</v>
      </c>
      <c r="N464" s="34" t="e">
        <f t="shared" si="74"/>
        <v>#REF!</v>
      </c>
    </row>
    <row r="465" spans="1:14" ht="15">
      <c r="A465" s="83" t="s">
        <v>133</v>
      </c>
      <c r="B465" s="24" t="s">
        <v>242</v>
      </c>
      <c r="C465" s="24" t="s">
        <v>12</v>
      </c>
      <c r="D465" s="24" t="s">
        <v>15</v>
      </c>
      <c r="E465" s="24" t="s">
        <v>134</v>
      </c>
      <c r="F465" s="24"/>
      <c r="G465" s="38" t="e">
        <f>#REF!</f>
        <v>#REF!</v>
      </c>
      <c r="H465" s="38" t="e">
        <f>#REF!</f>
        <v>#REF!</v>
      </c>
      <c r="I465" s="38" t="e">
        <f>#REF!</f>
        <v>#REF!</v>
      </c>
      <c r="J465" s="32">
        <f>J466+J467</f>
        <v>805</v>
      </c>
      <c r="K465" s="32">
        <f>K466+K467</f>
        <v>106.535</v>
      </c>
      <c r="L465" s="32">
        <f>L466+L467</f>
        <v>911.535</v>
      </c>
      <c r="M465" s="33" t="e">
        <f>#REF!</f>
        <v>#REF!</v>
      </c>
      <c r="N465" s="34" t="e">
        <f>#REF!</f>
        <v>#REF!</v>
      </c>
    </row>
    <row r="466" spans="1:15" ht="15">
      <c r="A466" s="72" t="s">
        <v>381</v>
      </c>
      <c r="B466" s="24" t="s">
        <v>242</v>
      </c>
      <c r="C466" s="24" t="s">
        <v>12</v>
      </c>
      <c r="D466" s="24" t="s">
        <v>15</v>
      </c>
      <c r="E466" s="24" t="s">
        <v>134</v>
      </c>
      <c r="F466" s="24" t="s">
        <v>171</v>
      </c>
      <c r="G466" s="38"/>
      <c r="H466" s="116"/>
      <c r="I466" s="116"/>
      <c r="J466" s="32">
        <v>805</v>
      </c>
      <c r="K466" s="32">
        <v>106.535</v>
      </c>
      <c r="L466" s="32">
        <f>J466+K466</f>
        <v>911.535</v>
      </c>
      <c r="M466" s="33"/>
      <c r="N466" s="34"/>
      <c r="O466" s="96"/>
    </row>
    <row r="467" spans="1:15" ht="26.25" hidden="1">
      <c r="A467" s="83" t="s">
        <v>110</v>
      </c>
      <c r="B467" s="24" t="s">
        <v>242</v>
      </c>
      <c r="C467" s="24" t="s">
        <v>12</v>
      </c>
      <c r="D467" s="24" t="s">
        <v>15</v>
      </c>
      <c r="E467" s="24" t="s">
        <v>134</v>
      </c>
      <c r="F467" s="24" t="s">
        <v>109</v>
      </c>
      <c r="G467" s="38"/>
      <c r="H467" s="116">
        <v>774.87</v>
      </c>
      <c r="I467" s="116"/>
      <c r="J467" s="32"/>
      <c r="K467" s="32"/>
      <c r="L467" s="32">
        <f>J467+K467</f>
        <v>0</v>
      </c>
      <c r="M467" s="33">
        <f>-78.244</f>
        <v>-78.244</v>
      </c>
      <c r="N467" s="34">
        <f>L467+M467</f>
        <v>-78.244</v>
      </c>
      <c r="O467" s="96"/>
    </row>
    <row r="468" spans="1:14" s="183" customFormat="1" ht="14.25">
      <c r="A468" s="107" t="s">
        <v>47</v>
      </c>
      <c r="B468" s="30" t="s">
        <v>242</v>
      </c>
      <c r="C468" s="30" t="s">
        <v>20</v>
      </c>
      <c r="D468" s="30"/>
      <c r="E468" s="30"/>
      <c r="F468" s="30"/>
      <c r="G468" s="22" t="e">
        <f>G488+#REF!+#REF!</f>
        <v>#REF!</v>
      </c>
      <c r="H468" s="25" t="e">
        <f>H488+#REF!+H469</f>
        <v>#REF!</v>
      </c>
      <c r="I468" s="25" t="e">
        <f>I488+#REF!+I469</f>
        <v>#REF!</v>
      </c>
      <c r="J468" s="25">
        <f>J469</f>
        <v>255.24</v>
      </c>
      <c r="K468" s="25">
        <f>K469</f>
        <v>0</v>
      </c>
      <c r="L468" s="25">
        <f>L469</f>
        <v>255.24</v>
      </c>
      <c r="M468" s="36" t="e">
        <f>M469</f>
        <v>#REF!</v>
      </c>
      <c r="N468" s="37" t="e">
        <f>N469</f>
        <v>#REF!</v>
      </c>
    </row>
    <row r="469" spans="1:14" s="148" customFormat="1" ht="25.5">
      <c r="A469" s="83" t="s">
        <v>52</v>
      </c>
      <c r="B469" s="30" t="s">
        <v>242</v>
      </c>
      <c r="C469" s="30" t="s">
        <v>20</v>
      </c>
      <c r="D469" s="30" t="s">
        <v>20</v>
      </c>
      <c r="E469" s="30"/>
      <c r="F469" s="30"/>
      <c r="G469" s="22" t="e">
        <f>#REF!</f>
        <v>#REF!</v>
      </c>
      <c r="H469" s="22" t="e">
        <f>#REF!</f>
        <v>#REF!</v>
      </c>
      <c r="I469" s="22" t="e">
        <f>#REF!</f>
        <v>#REF!</v>
      </c>
      <c r="J469" s="25">
        <f>J470+J473</f>
        <v>255.24</v>
      </c>
      <c r="K469" s="25">
        <f>K470+K473</f>
        <v>0</v>
      </c>
      <c r="L469" s="25">
        <f>L470+L473</f>
        <v>255.24</v>
      </c>
      <c r="M469" s="47" t="e">
        <f>#REF!</f>
        <v>#REF!</v>
      </c>
      <c r="N469" s="97" t="e">
        <f>#REF!</f>
        <v>#REF!</v>
      </c>
    </row>
    <row r="470" spans="1:14" ht="26.25">
      <c r="A470" s="83" t="s">
        <v>114</v>
      </c>
      <c r="B470" s="24" t="s">
        <v>242</v>
      </c>
      <c r="C470" s="24" t="s">
        <v>20</v>
      </c>
      <c r="D470" s="24" t="s">
        <v>20</v>
      </c>
      <c r="E470" s="24" t="s">
        <v>382</v>
      </c>
      <c r="F470" s="24"/>
      <c r="G470" s="38"/>
      <c r="H470" s="38"/>
      <c r="I470" s="38"/>
      <c r="J470" s="32">
        <f>J471+J472</f>
        <v>129.24</v>
      </c>
      <c r="K470" s="32">
        <f>K471+K472</f>
        <v>0</v>
      </c>
      <c r="L470" s="32">
        <f>L471+L472</f>
        <v>129.24</v>
      </c>
      <c r="M470" s="33"/>
      <c r="N470" s="34"/>
    </row>
    <row r="471" spans="1:15" ht="26.25" hidden="1">
      <c r="A471" s="35" t="s">
        <v>116</v>
      </c>
      <c r="B471" s="24" t="s">
        <v>242</v>
      </c>
      <c r="C471" s="24" t="s">
        <v>20</v>
      </c>
      <c r="D471" s="24" t="s">
        <v>20</v>
      </c>
      <c r="E471" s="24" t="s">
        <v>382</v>
      </c>
      <c r="F471" s="24" t="s">
        <v>113</v>
      </c>
      <c r="G471" s="38"/>
      <c r="H471" s="38"/>
      <c r="I471" s="38"/>
      <c r="J471" s="32"/>
      <c r="K471" s="32"/>
      <c r="L471" s="32">
        <f>J471+K471</f>
        <v>0</v>
      </c>
      <c r="M471" s="33"/>
      <c r="N471" s="34"/>
      <c r="O471" s="96"/>
    </row>
    <row r="472" spans="1:15" ht="15">
      <c r="A472" s="72" t="s">
        <v>381</v>
      </c>
      <c r="B472" s="24" t="s">
        <v>242</v>
      </c>
      <c r="C472" s="24" t="s">
        <v>20</v>
      </c>
      <c r="D472" s="24" t="s">
        <v>20</v>
      </c>
      <c r="E472" s="24" t="s">
        <v>382</v>
      </c>
      <c r="F472" s="24" t="s">
        <v>171</v>
      </c>
      <c r="G472" s="38"/>
      <c r="H472" s="38"/>
      <c r="I472" s="38"/>
      <c r="J472" s="32">
        <v>129.24</v>
      </c>
      <c r="K472" s="32"/>
      <c r="L472" s="32">
        <f>J472+K472</f>
        <v>129.24</v>
      </c>
      <c r="M472" s="33"/>
      <c r="N472" s="34"/>
      <c r="O472" s="96"/>
    </row>
    <row r="473" spans="1:14" ht="26.25">
      <c r="A473" s="83" t="s">
        <v>276</v>
      </c>
      <c r="B473" s="24" t="s">
        <v>242</v>
      </c>
      <c r="C473" s="24" t="s">
        <v>20</v>
      </c>
      <c r="D473" s="24" t="s">
        <v>20</v>
      </c>
      <c r="E473" s="24" t="s">
        <v>277</v>
      </c>
      <c r="F473" s="24"/>
      <c r="G473" s="38"/>
      <c r="H473" s="38"/>
      <c r="I473" s="38"/>
      <c r="J473" s="32">
        <f>J474</f>
        <v>126</v>
      </c>
      <c r="K473" s="32">
        <f>K474</f>
        <v>0</v>
      </c>
      <c r="L473" s="32">
        <f>L474</f>
        <v>126</v>
      </c>
      <c r="M473" s="33"/>
      <c r="N473" s="34"/>
    </row>
    <row r="474" spans="1:14" ht="39">
      <c r="A474" s="83" t="s">
        <v>465</v>
      </c>
      <c r="B474" s="24" t="s">
        <v>242</v>
      </c>
      <c r="C474" s="24" t="s">
        <v>20</v>
      </c>
      <c r="D474" s="24" t="s">
        <v>20</v>
      </c>
      <c r="E474" s="24" t="s">
        <v>377</v>
      </c>
      <c r="F474" s="24"/>
      <c r="G474" s="38"/>
      <c r="H474" s="38"/>
      <c r="I474" s="38"/>
      <c r="J474" s="32">
        <f>J475+J476</f>
        <v>126</v>
      </c>
      <c r="K474" s="32">
        <f>K475+K476</f>
        <v>0</v>
      </c>
      <c r="L474" s="32">
        <f>L475+L476</f>
        <v>126</v>
      </c>
      <c r="M474" s="33"/>
      <c r="N474" s="34"/>
    </row>
    <row r="475" spans="1:14" ht="26.25" hidden="1">
      <c r="A475" s="83" t="s">
        <v>110</v>
      </c>
      <c r="B475" s="24" t="s">
        <v>242</v>
      </c>
      <c r="C475" s="24" t="s">
        <v>20</v>
      </c>
      <c r="D475" s="24" t="s">
        <v>20</v>
      </c>
      <c r="E475" s="24" t="s">
        <v>377</v>
      </c>
      <c r="F475" s="24" t="s">
        <v>109</v>
      </c>
      <c r="G475" s="38"/>
      <c r="H475" s="38"/>
      <c r="I475" s="38"/>
      <c r="J475" s="32"/>
      <c r="K475" s="32"/>
      <c r="L475" s="32">
        <f>J475+K475</f>
        <v>0</v>
      </c>
      <c r="M475" s="33"/>
      <c r="N475" s="34"/>
    </row>
    <row r="476" spans="1:14" ht="27" customHeight="1">
      <c r="A476" s="67" t="s">
        <v>164</v>
      </c>
      <c r="B476" s="24" t="s">
        <v>242</v>
      </c>
      <c r="C476" s="24" t="s">
        <v>20</v>
      </c>
      <c r="D476" s="24" t="s">
        <v>20</v>
      </c>
      <c r="E476" s="24" t="s">
        <v>377</v>
      </c>
      <c r="F476" s="24" t="s">
        <v>166</v>
      </c>
      <c r="G476" s="38"/>
      <c r="H476" s="38"/>
      <c r="I476" s="38"/>
      <c r="J476" s="32">
        <v>126</v>
      </c>
      <c r="K476" s="32"/>
      <c r="L476" s="32">
        <f>J476+K476</f>
        <v>126</v>
      </c>
      <c r="M476" s="39"/>
      <c r="N476" s="39"/>
    </row>
    <row r="477" spans="1:14" s="183" customFormat="1" ht="14.25">
      <c r="A477" s="82" t="s">
        <v>466</v>
      </c>
      <c r="B477" s="30" t="s">
        <v>242</v>
      </c>
      <c r="C477" s="30" t="s">
        <v>40</v>
      </c>
      <c r="D477" s="30"/>
      <c r="E477" s="30"/>
      <c r="F477" s="30"/>
      <c r="G477" s="22" t="e">
        <f>G478+#REF!</f>
        <v>#REF!</v>
      </c>
      <c r="H477" s="22" t="e">
        <f>H478+#REF!</f>
        <v>#REF!</v>
      </c>
      <c r="I477" s="22" t="e">
        <f>I478+#REF!</f>
        <v>#REF!</v>
      </c>
      <c r="J477" s="25">
        <f>J478+J502</f>
        <v>7157.277</v>
      </c>
      <c r="K477" s="25">
        <f>K478+K502</f>
        <v>300</v>
      </c>
      <c r="L477" s="25">
        <f>L478+L502</f>
        <v>7457.277</v>
      </c>
      <c r="M477" s="117" t="e">
        <f>M478+#REF!+M502</f>
        <v>#REF!</v>
      </c>
      <c r="N477" s="118" t="e">
        <f>N478+#REF!+N502</f>
        <v>#REF!</v>
      </c>
    </row>
    <row r="478" spans="1:14" s="148" customFormat="1" ht="14.25">
      <c r="A478" s="83" t="s">
        <v>56</v>
      </c>
      <c r="B478" s="30" t="s">
        <v>242</v>
      </c>
      <c r="C478" s="30" t="s">
        <v>40</v>
      </c>
      <c r="D478" s="30" t="s">
        <v>12</v>
      </c>
      <c r="E478" s="30"/>
      <c r="F478" s="30"/>
      <c r="G478" s="22">
        <f>G479+G486</f>
        <v>137.57999999999998</v>
      </c>
      <c r="H478" s="22">
        <f>H479+H486</f>
        <v>3820.25</v>
      </c>
      <c r="I478" s="22">
        <f>I479+I486</f>
        <v>0</v>
      </c>
      <c r="J478" s="25">
        <f>J479+J486+J498+J500</f>
        <v>4394.456</v>
      </c>
      <c r="K478" s="25">
        <f>K479+K486+K498+K500</f>
        <v>300</v>
      </c>
      <c r="L478" s="25">
        <f>L479+L486+L498+L500</f>
        <v>4694.456</v>
      </c>
      <c r="M478" s="47" t="e">
        <f>M479+M486</f>
        <v>#REF!</v>
      </c>
      <c r="N478" s="97" t="e">
        <f>N479+N486</f>
        <v>#REF!</v>
      </c>
    </row>
    <row r="479" spans="1:14" ht="15">
      <c r="A479" s="83" t="s">
        <v>383</v>
      </c>
      <c r="B479" s="24" t="s">
        <v>242</v>
      </c>
      <c r="C479" s="24" t="s">
        <v>40</v>
      </c>
      <c r="D479" s="24" t="s">
        <v>12</v>
      </c>
      <c r="E479" s="24" t="s">
        <v>384</v>
      </c>
      <c r="F479" s="24"/>
      <c r="G479" s="38">
        <f aca="true" t="shared" si="75" ref="G479:N479">G480</f>
        <v>67.58</v>
      </c>
      <c r="H479" s="38">
        <f t="shared" si="75"/>
        <v>2510.85</v>
      </c>
      <c r="I479" s="38">
        <f t="shared" si="75"/>
        <v>0</v>
      </c>
      <c r="J479" s="32">
        <f t="shared" si="75"/>
        <v>1243.808</v>
      </c>
      <c r="K479" s="32">
        <f t="shared" si="75"/>
        <v>-200</v>
      </c>
      <c r="L479" s="32">
        <f>L480</f>
        <v>1043.808</v>
      </c>
      <c r="M479" s="33" t="e">
        <f t="shared" si="75"/>
        <v>#REF!</v>
      </c>
      <c r="N479" s="34" t="e">
        <f t="shared" si="75"/>
        <v>#REF!</v>
      </c>
    </row>
    <row r="480" spans="1:14" ht="26.25">
      <c r="A480" s="83" t="s">
        <v>114</v>
      </c>
      <c r="B480" s="24" t="s">
        <v>242</v>
      </c>
      <c r="C480" s="24" t="s">
        <v>40</v>
      </c>
      <c r="D480" s="24" t="s">
        <v>12</v>
      </c>
      <c r="E480" s="24" t="s">
        <v>385</v>
      </c>
      <c r="F480" s="24"/>
      <c r="G480" s="38">
        <f>G481</f>
        <v>67.58</v>
      </c>
      <c r="H480" s="38">
        <f>H481</f>
        <v>2510.85</v>
      </c>
      <c r="I480" s="38">
        <f>I481</f>
        <v>0</v>
      </c>
      <c r="J480" s="32">
        <f>J481+J482+J483+J484+J485</f>
        <v>1243.808</v>
      </c>
      <c r="K480" s="32">
        <f>K481+K482+K483+K484+K485</f>
        <v>-200</v>
      </c>
      <c r="L480" s="32">
        <f>L481+L482+L483+L484+L485</f>
        <v>1043.808</v>
      </c>
      <c r="M480" s="33" t="e">
        <f>M481+#REF!+#REF!+M482+M483+M485+M484</f>
        <v>#REF!</v>
      </c>
      <c r="N480" s="65" t="e">
        <f>N481+#REF!+#REF!+N482+N483+N485+N484</f>
        <v>#REF!</v>
      </c>
    </row>
    <row r="481" spans="1:15" ht="26.25" hidden="1">
      <c r="A481" s="83" t="s">
        <v>112</v>
      </c>
      <c r="B481" s="24" t="s">
        <v>242</v>
      </c>
      <c r="C481" s="24" t="s">
        <v>40</v>
      </c>
      <c r="D481" s="24" t="s">
        <v>12</v>
      </c>
      <c r="E481" s="24" t="s">
        <v>385</v>
      </c>
      <c r="F481" s="24" t="s">
        <v>113</v>
      </c>
      <c r="G481" s="38">
        <f>67.58</f>
        <v>67.58</v>
      </c>
      <c r="H481" s="31">
        <v>2510.85</v>
      </c>
      <c r="I481" s="38"/>
      <c r="J481" s="32"/>
      <c r="K481" s="32"/>
      <c r="L481" s="32">
        <f>J481+K481</f>
        <v>0</v>
      </c>
      <c r="M481" s="33">
        <f>-4-35</f>
        <v>-39</v>
      </c>
      <c r="N481" s="34">
        <f>L481+M481</f>
        <v>-39</v>
      </c>
      <c r="O481" s="176"/>
    </row>
    <row r="482" spans="1:15" ht="15.75" customHeight="1">
      <c r="A482" s="67" t="s">
        <v>170</v>
      </c>
      <c r="B482" s="24" t="s">
        <v>242</v>
      </c>
      <c r="C482" s="24" t="s">
        <v>40</v>
      </c>
      <c r="D482" s="24" t="s">
        <v>12</v>
      </c>
      <c r="E482" s="24" t="s">
        <v>385</v>
      </c>
      <c r="F482" s="24" t="s">
        <v>171</v>
      </c>
      <c r="G482" s="38"/>
      <c r="H482" s="31"/>
      <c r="I482" s="38"/>
      <c r="J482" s="32">
        <v>708.808</v>
      </c>
      <c r="K482" s="32"/>
      <c r="L482" s="32">
        <f>J482+K482</f>
        <v>708.808</v>
      </c>
      <c r="M482" s="33"/>
      <c r="N482" s="34"/>
      <c r="O482" s="176"/>
    </row>
    <row r="483" spans="1:15" ht="30" customHeight="1" hidden="1">
      <c r="A483" s="67" t="s">
        <v>173</v>
      </c>
      <c r="B483" s="24" t="s">
        <v>242</v>
      </c>
      <c r="C483" s="24" t="s">
        <v>40</v>
      </c>
      <c r="D483" s="24" t="s">
        <v>12</v>
      </c>
      <c r="E483" s="24" t="s">
        <v>385</v>
      </c>
      <c r="F483" s="24" t="s">
        <v>174</v>
      </c>
      <c r="G483" s="38"/>
      <c r="H483" s="31"/>
      <c r="I483" s="38"/>
      <c r="J483" s="32"/>
      <c r="K483" s="32"/>
      <c r="L483" s="32">
        <f>J483+K483</f>
        <v>0</v>
      </c>
      <c r="M483" s="33"/>
      <c r="N483" s="34"/>
      <c r="O483" s="176"/>
    </row>
    <row r="484" spans="1:15" ht="30" customHeight="1" hidden="1">
      <c r="A484" s="67" t="s">
        <v>177</v>
      </c>
      <c r="B484" s="24" t="s">
        <v>242</v>
      </c>
      <c r="C484" s="24" t="s">
        <v>40</v>
      </c>
      <c r="D484" s="24" t="s">
        <v>12</v>
      </c>
      <c r="E484" s="24" t="s">
        <v>385</v>
      </c>
      <c r="F484" s="24" t="s">
        <v>178</v>
      </c>
      <c r="G484" s="38"/>
      <c r="H484" s="31"/>
      <c r="I484" s="38"/>
      <c r="J484" s="32"/>
      <c r="K484" s="32"/>
      <c r="L484" s="32">
        <f>J484+K484</f>
        <v>0</v>
      </c>
      <c r="M484" s="33"/>
      <c r="N484" s="34"/>
      <c r="O484" s="176"/>
    </row>
    <row r="485" spans="1:15" ht="30" customHeight="1">
      <c r="A485" s="67" t="s">
        <v>164</v>
      </c>
      <c r="B485" s="24" t="s">
        <v>242</v>
      </c>
      <c r="C485" s="24" t="s">
        <v>40</v>
      </c>
      <c r="D485" s="24" t="s">
        <v>12</v>
      </c>
      <c r="E485" s="24" t="s">
        <v>385</v>
      </c>
      <c r="F485" s="24" t="s">
        <v>166</v>
      </c>
      <c r="G485" s="38"/>
      <c r="H485" s="31"/>
      <c r="I485" s="38"/>
      <c r="J485" s="32">
        <v>535</v>
      </c>
      <c r="K485" s="32">
        <f>-200</f>
        <v>-200</v>
      </c>
      <c r="L485" s="32">
        <f>J485+K485</f>
        <v>335</v>
      </c>
      <c r="M485" s="33"/>
      <c r="N485" s="34"/>
      <c r="O485" s="176"/>
    </row>
    <row r="486" spans="1:14" ht="26.25">
      <c r="A486" s="83" t="s">
        <v>386</v>
      </c>
      <c r="B486" s="24" t="s">
        <v>242</v>
      </c>
      <c r="C486" s="24" t="s">
        <v>40</v>
      </c>
      <c r="D486" s="24" t="s">
        <v>12</v>
      </c>
      <c r="E486" s="24" t="s">
        <v>387</v>
      </c>
      <c r="F486" s="24"/>
      <c r="G486" s="38">
        <f aca="true" t="shared" si="76" ref="G486:M486">G487+G495</f>
        <v>70</v>
      </c>
      <c r="H486" s="38">
        <f t="shared" si="76"/>
        <v>1309.4</v>
      </c>
      <c r="I486" s="38">
        <f t="shared" si="76"/>
        <v>0</v>
      </c>
      <c r="J486" s="32">
        <f t="shared" si="76"/>
        <v>3113.848</v>
      </c>
      <c r="K486" s="32">
        <f t="shared" si="76"/>
        <v>500</v>
      </c>
      <c r="L486" s="32">
        <f>L487+L495</f>
        <v>3613.848</v>
      </c>
      <c r="M486" s="33">
        <f t="shared" si="76"/>
        <v>90</v>
      </c>
      <c r="N486" s="34">
        <f>N487+N495</f>
        <v>90</v>
      </c>
    </row>
    <row r="487" spans="1:14" ht="26.25">
      <c r="A487" s="83" t="s">
        <v>114</v>
      </c>
      <c r="B487" s="24" t="s">
        <v>242</v>
      </c>
      <c r="C487" s="24" t="s">
        <v>40</v>
      </c>
      <c r="D487" s="24" t="s">
        <v>12</v>
      </c>
      <c r="E487" s="24" t="s">
        <v>388</v>
      </c>
      <c r="F487" s="24"/>
      <c r="G487" s="38">
        <f>G488</f>
        <v>70</v>
      </c>
      <c r="H487" s="38">
        <f>H488</f>
        <v>1274.4</v>
      </c>
      <c r="I487" s="38">
        <f>I488</f>
        <v>0</v>
      </c>
      <c r="J487" s="32">
        <f>J488+J490+J492+J489+J491+J493+J494</f>
        <v>3075.848</v>
      </c>
      <c r="K487" s="32">
        <f>K488+K490+K492+K489+K491+K493+K494</f>
        <v>500</v>
      </c>
      <c r="L487" s="32">
        <f>L488+L490+L492+L489+L491+L493+L494</f>
        <v>3575.848</v>
      </c>
      <c r="M487" s="33">
        <f>M488+M490+M492+M489+M491</f>
        <v>90</v>
      </c>
      <c r="N487" s="33">
        <f>N488+N490+N492+N489+N491</f>
        <v>90</v>
      </c>
    </row>
    <row r="488" spans="1:15" ht="26.25" hidden="1">
      <c r="A488" s="83" t="s">
        <v>112</v>
      </c>
      <c r="B488" s="24" t="s">
        <v>242</v>
      </c>
      <c r="C488" s="24" t="s">
        <v>40</v>
      </c>
      <c r="D488" s="24" t="s">
        <v>12</v>
      </c>
      <c r="E488" s="24" t="s">
        <v>388</v>
      </c>
      <c r="F488" s="24" t="s">
        <v>113</v>
      </c>
      <c r="G488" s="38">
        <f>10+60</f>
        <v>70</v>
      </c>
      <c r="H488" s="31">
        <v>1274.4</v>
      </c>
      <c r="I488" s="38"/>
      <c r="J488" s="32"/>
      <c r="K488" s="32"/>
      <c r="L488" s="32">
        <f aca="true" t="shared" si="77" ref="L488:L494">J488+K488</f>
        <v>0</v>
      </c>
      <c r="M488" s="33">
        <v>90</v>
      </c>
      <c r="N488" s="34">
        <f>L488+M488</f>
        <v>90</v>
      </c>
      <c r="O488" s="125"/>
    </row>
    <row r="489" spans="1:15" ht="15">
      <c r="A489" s="67" t="s">
        <v>381</v>
      </c>
      <c r="B489" s="24" t="s">
        <v>242</v>
      </c>
      <c r="C489" s="24" t="s">
        <v>40</v>
      </c>
      <c r="D489" s="24" t="s">
        <v>12</v>
      </c>
      <c r="E489" s="24" t="s">
        <v>388</v>
      </c>
      <c r="F489" s="24" t="s">
        <v>171</v>
      </c>
      <c r="G489" s="38"/>
      <c r="H489" s="31"/>
      <c r="I489" s="38"/>
      <c r="J489" s="32">
        <v>2039.648</v>
      </c>
      <c r="K489" s="32"/>
      <c r="L489" s="32">
        <f t="shared" si="77"/>
        <v>2039.648</v>
      </c>
      <c r="M489" s="33"/>
      <c r="N489" s="34"/>
      <c r="O489" s="125"/>
    </row>
    <row r="490" spans="1:15" ht="25.5">
      <c r="A490" s="67" t="s">
        <v>249</v>
      </c>
      <c r="B490" s="24" t="s">
        <v>242</v>
      </c>
      <c r="C490" s="24" t="s">
        <v>40</v>
      </c>
      <c r="D490" s="24" t="s">
        <v>12</v>
      </c>
      <c r="E490" s="24" t="s">
        <v>388</v>
      </c>
      <c r="F490" s="24" t="s">
        <v>174</v>
      </c>
      <c r="G490" s="38"/>
      <c r="H490" s="31"/>
      <c r="I490" s="38"/>
      <c r="J490" s="32">
        <v>80</v>
      </c>
      <c r="K490" s="32"/>
      <c r="L490" s="32">
        <f t="shared" si="77"/>
        <v>80</v>
      </c>
      <c r="M490" s="33"/>
      <c r="N490" s="34"/>
      <c r="O490" s="125"/>
    </row>
    <row r="491" spans="1:15" ht="39" customHeight="1">
      <c r="A491" s="67" t="s">
        <v>177</v>
      </c>
      <c r="B491" s="24" t="s">
        <v>242</v>
      </c>
      <c r="C491" s="24" t="s">
        <v>40</v>
      </c>
      <c r="D491" s="24" t="s">
        <v>12</v>
      </c>
      <c r="E491" s="24" t="s">
        <v>388</v>
      </c>
      <c r="F491" s="24" t="s">
        <v>178</v>
      </c>
      <c r="G491" s="38"/>
      <c r="H491" s="31"/>
      <c r="I491" s="38"/>
      <c r="J491" s="32"/>
      <c r="K491" s="32"/>
      <c r="L491" s="32">
        <f t="shared" si="77"/>
        <v>0</v>
      </c>
      <c r="M491" s="33"/>
      <c r="N491" s="34"/>
      <c r="O491" s="125"/>
    </row>
    <row r="492" spans="1:15" ht="25.5">
      <c r="A492" s="67" t="s">
        <v>250</v>
      </c>
      <c r="B492" s="24" t="s">
        <v>242</v>
      </c>
      <c r="C492" s="24" t="s">
        <v>40</v>
      </c>
      <c r="D492" s="24" t="s">
        <v>12</v>
      </c>
      <c r="E492" s="24" t="s">
        <v>388</v>
      </c>
      <c r="F492" s="24" t="s">
        <v>166</v>
      </c>
      <c r="G492" s="38"/>
      <c r="H492" s="31"/>
      <c r="I492" s="38"/>
      <c r="J492" s="32">
        <v>956.2</v>
      </c>
      <c r="K492" s="32">
        <f>300-55+200</f>
        <v>445</v>
      </c>
      <c r="L492" s="32">
        <f t="shared" si="77"/>
        <v>1401.2</v>
      </c>
      <c r="M492" s="33"/>
      <c r="N492" s="34"/>
      <c r="O492" s="125"/>
    </row>
    <row r="493" spans="1:15" ht="38.25">
      <c r="A493" s="67" t="s">
        <v>296</v>
      </c>
      <c r="B493" s="24" t="s">
        <v>242</v>
      </c>
      <c r="C493" s="24" t="s">
        <v>40</v>
      </c>
      <c r="D493" s="24" t="s">
        <v>12</v>
      </c>
      <c r="E493" s="24" t="s">
        <v>388</v>
      </c>
      <c r="F493" s="24" t="s">
        <v>180</v>
      </c>
      <c r="G493" s="38"/>
      <c r="H493" s="31"/>
      <c r="I493" s="38"/>
      <c r="J493" s="32"/>
      <c r="K493" s="32">
        <f>22</f>
        <v>22</v>
      </c>
      <c r="L493" s="32">
        <f t="shared" si="77"/>
        <v>22</v>
      </c>
      <c r="M493" s="33"/>
      <c r="N493" s="34"/>
      <c r="O493" s="125"/>
    </row>
    <row r="494" spans="1:15" ht="26.25">
      <c r="A494" s="72" t="s">
        <v>181</v>
      </c>
      <c r="B494" s="24" t="s">
        <v>242</v>
      </c>
      <c r="C494" s="24" t="s">
        <v>40</v>
      </c>
      <c r="D494" s="24" t="s">
        <v>12</v>
      </c>
      <c r="E494" s="24" t="s">
        <v>388</v>
      </c>
      <c r="F494" s="24" t="s">
        <v>182</v>
      </c>
      <c r="G494" s="38"/>
      <c r="H494" s="31"/>
      <c r="I494" s="38"/>
      <c r="J494" s="32"/>
      <c r="K494" s="32">
        <f>33</f>
        <v>33</v>
      </c>
      <c r="L494" s="32">
        <f t="shared" si="77"/>
        <v>33</v>
      </c>
      <c r="M494" s="33"/>
      <c r="N494" s="34"/>
      <c r="O494" s="125"/>
    </row>
    <row r="495" spans="1:14" ht="26.25">
      <c r="A495" s="83" t="s">
        <v>114</v>
      </c>
      <c r="B495" s="24" t="s">
        <v>242</v>
      </c>
      <c r="C495" s="24" t="s">
        <v>40</v>
      </c>
      <c r="D495" s="24" t="s">
        <v>12</v>
      </c>
      <c r="E495" s="24" t="s">
        <v>389</v>
      </c>
      <c r="F495" s="24"/>
      <c r="G495" s="38">
        <f aca="true" t="shared" si="78" ref="G495:N495">G496</f>
        <v>0</v>
      </c>
      <c r="H495" s="31">
        <f t="shared" si="78"/>
        <v>35</v>
      </c>
      <c r="I495" s="38">
        <f t="shared" si="78"/>
        <v>0</v>
      </c>
      <c r="J495" s="32">
        <f>J496+J497</f>
        <v>38</v>
      </c>
      <c r="K495" s="32">
        <f>K496+K497</f>
        <v>0</v>
      </c>
      <c r="L495" s="32">
        <f>L496+L497</f>
        <v>38</v>
      </c>
      <c r="M495" s="33">
        <f t="shared" si="78"/>
        <v>0</v>
      </c>
      <c r="N495" s="34">
        <f t="shared" si="78"/>
        <v>0</v>
      </c>
    </row>
    <row r="496" spans="1:14" ht="26.25">
      <c r="A496" s="83" t="s">
        <v>112</v>
      </c>
      <c r="B496" s="24" t="s">
        <v>242</v>
      </c>
      <c r="C496" s="24" t="s">
        <v>40</v>
      </c>
      <c r="D496" s="24" t="s">
        <v>12</v>
      </c>
      <c r="E496" s="24" t="s">
        <v>389</v>
      </c>
      <c r="F496" s="24" t="s">
        <v>113</v>
      </c>
      <c r="G496" s="38"/>
      <c r="H496" s="31">
        <v>35</v>
      </c>
      <c r="I496" s="38"/>
      <c r="J496" s="32"/>
      <c r="K496" s="32"/>
      <c r="L496" s="32">
        <f>J496+K496</f>
        <v>0</v>
      </c>
      <c r="M496" s="33"/>
      <c r="N496" s="34">
        <f>L496+M496</f>
        <v>0</v>
      </c>
    </row>
    <row r="497" spans="1:14" ht="25.5">
      <c r="A497" s="67" t="s">
        <v>250</v>
      </c>
      <c r="B497" s="24" t="s">
        <v>242</v>
      </c>
      <c r="C497" s="24" t="s">
        <v>40</v>
      </c>
      <c r="D497" s="24" t="s">
        <v>12</v>
      </c>
      <c r="E497" s="24" t="s">
        <v>389</v>
      </c>
      <c r="F497" s="24" t="s">
        <v>166</v>
      </c>
      <c r="G497" s="38"/>
      <c r="H497" s="31"/>
      <c r="I497" s="38"/>
      <c r="J497" s="32">
        <v>38</v>
      </c>
      <c r="K497" s="32"/>
      <c r="L497" s="32">
        <f>J497+K497</f>
        <v>38</v>
      </c>
      <c r="M497" s="33"/>
      <c r="N497" s="34"/>
    </row>
    <row r="498" spans="1:14" ht="26.25" hidden="1">
      <c r="A498" s="83" t="s">
        <v>390</v>
      </c>
      <c r="B498" s="24" t="s">
        <v>242</v>
      </c>
      <c r="C498" s="24" t="s">
        <v>40</v>
      </c>
      <c r="D498" s="24" t="s">
        <v>12</v>
      </c>
      <c r="E498" s="24" t="s">
        <v>391</v>
      </c>
      <c r="F498" s="24"/>
      <c r="G498" s="38"/>
      <c r="H498" s="31"/>
      <c r="I498" s="38"/>
      <c r="J498" s="32">
        <f>J499</f>
        <v>0</v>
      </c>
      <c r="K498" s="32">
        <f>K499</f>
        <v>0</v>
      </c>
      <c r="L498" s="32">
        <f>L499</f>
        <v>0</v>
      </c>
      <c r="M498" s="33"/>
      <c r="N498" s="34"/>
    </row>
    <row r="499" spans="1:14" ht="26.25" hidden="1">
      <c r="A499" s="83" t="s">
        <v>112</v>
      </c>
      <c r="B499" s="24" t="s">
        <v>242</v>
      </c>
      <c r="C499" s="24" t="s">
        <v>40</v>
      </c>
      <c r="D499" s="24" t="s">
        <v>12</v>
      </c>
      <c r="E499" s="24" t="s">
        <v>391</v>
      </c>
      <c r="F499" s="24" t="s">
        <v>113</v>
      </c>
      <c r="G499" s="38"/>
      <c r="H499" s="31"/>
      <c r="I499" s="38"/>
      <c r="J499" s="32"/>
      <c r="K499" s="32"/>
      <c r="L499" s="32">
        <f>J499+K499</f>
        <v>0</v>
      </c>
      <c r="M499" s="33"/>
      <c r="N499" s="34"/>
    </row>
    <row r="500" spans="1:14" ht="26.25">
      <c r="A500" s="83" t="s">
        <v>463</v>
      </c>
      <c r="B500" s="24" t="s">
        <v>242</v>
      </c>
      <c r="C500" s="24" t="s">
        <v>40</v>
      </c>
      <c r="D500" s="24" t="s">
        <v>12</v>
      </c>
      <c r="E500" s="24" t="s">
        <v>464</v>
      </c>
      <c r="F500" s="24"/>
      <c r="G500" s="32">
        <f aca="true" t="shared" si="79" ref="G500:L500">G501</f>
        <v>0</v>
      </c>
      <c r="H500" s="32">
        <f t="shared" si="79"/>
        <v>0</v>
      </c>
      <c r="I500" s="32">
        <f t="shared" si="79"/>
        <v>0</v>
      </c>
      <c r="J500" s="32">
        <f t="shared" si="79"/>
        <v>36.8</v>
      </c>
      <c r="K500" s="32">
        <f t="shared" si="79"/>
        <v>0</v>
      </c>
      <c r="L500" s="32">
        <f t="shared" si="79"/>
        <v>36.8</v>
      </c>
      <c r="M500" s="33"/>
      <c r="N500" s="34"/>
    </row>
    <row r="501" spans="1:14" ht="25.5">
      <c r="A501" s="67" t="s">
        <v>250</v>
      </c>
      <c r="B501" s="24" t="s">
        <v>242</v>
      </c>
      <c r="C501" s="24" t="s">
        <v>40</v>
      </c>
      <c r="D501" s="24" t="s">
        <v>12</v>
      </c>
      <c r="E501" s="24" t="s">
        <v>464</v>
      </c>
      <c r="F501" s="24" t="s">
        <v>166</v>
      </c>
      <c r="G501" s="38"/>
      <c r="H501" s="31"/>
      <c r="I501" s="38"/>
      <c r="J501" s="32">
        <v>36.8</v>
      </c>
      <c r="K501" s="32"/>
      <c r="L501" s="32">
        <f>J501+K501</f>
        <v>36.8</v>
      </c>
      <c r="M501" s="33"/>
      <c r="N501" s="34"/>
    </row>
    <row r="502" spans="1:14" ht="26.25">
      <c r="A502" s="82" t="s">
        <v>392</v>
      </c>
      <c r="B502" s="30" t="s">
        <v>242</v>
      </c>
      <c r="C502" s="30" t="s">
        <v>40</v>
      </c>
      <c r="D502" s="30" t="s">
        <v>15</v>
      </c>
      <c r="E502" s="30"/>
      <c r="F502" s="30"/>
      <c r="G502" s="22">
        <f aca="true" t="shared" si="80" ref="G502:L504">G503</f>
        <v>0</v>
      </c>
      <c r="H502" s="22">
        <f t="shared" si="80"/>
        <v>1780.9</v>
      </c>
      <c r="I502" s="22">
        <f t="shared" si="80"/>
        <v>0</v>
      </c>
      <c r="J502" s="25">
        <f t="shared" si="80"/>
        <v>2762.821</v>
      </c>
      <c r="K502" s="25">
        <f t="shared" si="80"/>
        <v>0</v>
      </c>
      <c r="L502" s="25">
        <f t="shared" si="80"/>
        <v>2762.821</v>
      </c>
      <c r="M502" s="33"/>
      <c r="N502" s="34"/>
    </row>
    <row r="503" spans="1:14" ht="39">
      <c r="A503" s="83" t="s">
        <v>373</v>
      </c>
      <c r="B503" s="24" t="s">
        <v>242</v>
      </c>
      <c r="C503" s="24" t="s">
        <v>40</v>
      </c>
      <c r="D503" s="24" t="s">
        <v>15</v>
      </c>
      <c r="E503" s="24" t="s">
        <v>120</v>
      </c>
      <c r="F503" s="24"/>
      <c r="G503" s="38">
        <f t="shared" si="80"/>
        <v>0</v>
      </c>
      <c r="H503" s="38">
        <f t="shared" si="80"/>
        <v>1780.9</v>
      </c>
      <c r="I503" s="38">
        <f t="shared" si="80"/>
        <v>0</v>
      </c>
      <c r="J503" s="32">
        <f t="shared" si="80"/>
        <v>2762.821</v>
      </c>
      <c r="K503" s="32">
        <f t="shared" si="80"/>
        <v>0</v>
      </c>
      <c r="L503" s="32">
        <f>L504</f>
        <v>2762.821</v>
      </c>
      <c r="M503" s="33"/>
      <c r="N503" s="34"/>
    </row>
    <row r="504" spans="1:14" ht="26.25">
      <c r="A504" s="83" t="s">
        <v>114</v>
      </c>
      <c r="B504" s="24" t="s">
        <v>242</v>
      </c>
      <c r="C504" s="24" t="s">
        <v>40</v>
      </c>
      <c r="D504" s="24" t="s">
        <v>15</v>
      </c>
      <c r="E504" s="24" t="s">
        <v>121</v>
      </c>
      <c r="F504" s="24"/>
      <c r="G504" s="38">
        <f t="shared" si="80"/>
        <v>0</v>
      </c>
      <c r="H504" s="38">
        <f t="shared" si="80"/>
        <v>1780.9</v>
      </c>
      <c r="I504" s="38">
        <f t="shared" si="80"/>
        <v>0</v>
      </c>
      <c r="J504" s="32">
        <f>J505+J506+J507+J509+J508</f>
        <v>2762.821</v>
      </c>
      <c r="K504" s="32">
        <f>K505+K506+K507+K509+K508</f>
        <v>0</v>
      </c>
      <c r="L504" s="32">
        <f>L505+L506+L507+L509+L508</f>
        <v>2762.821</v>
      </c>
      <c r="M504" s="33"/>
      <c r="N504" s="34"/>
    </row>
    <row r="505" spans="1:14" ht="26.25" hidden="1">
      <c r="A505" s="83" t="s">
        <v>112</v>
      </c>
      <c r="B505" s="24" t="s">
        <v>242</v>
      </c>
      <c r="C505" s="24" t="s">
        <v>40</v>
      </c>
      <c r="D505" s="24" t="s">
        <v>15</v>
      </c>
      <c r="E505" s="24" t="s">
        <v>121</v>
      </c>
      <c r="F505" s="24" t="s">
        <v>113</v>
      </c>
      <c r="G505" s="38"/>
      <c r="H505" s="31">
        <v>1780.9</v>
      </c>
      <c r="I505" s="38"/>
      <c r="J505" s="32"/>
      <c r="K505" s="32"/>
      <c r="L505" s="32">
        <f>J505+K505</f>
        <v>0</v>
      </c>
      <c r="M505" s="33"/>
      <c r="N505" s="34"/>
    </row>
    <row r="506" spans="1:14" ht="15.75" thickBot="1">
      <c r="A506" s="67" t="s">
        <v>381</v>
      </c>
      <c r="B506" s="24" t="s">
        <v>242</v>
      </c>
      <c r="C506" s="24" t="s">
        <v>40</v>
      </c>
      <c r="D506" s="24" t="s">
        <v>15</v>
      </c>
      <c r="E506" s="24" t="s">
        <v>121</v>
      </c>
      <c r="F506" s="24" t="s">
        <v>171</v>
      </c>
      <c r="G506" s="38"/>
      <c r="H506" s="31"/>
      <c r="I506" s="38"/>
      <c r="J506" s="32">
        <f>1676.819+573.428-315.647</f>
        <v>1934.6</v>
      </c>
      <c r="K506" s="32"/>
      <c r="L506" s="32">
        <f>J506+K506</f>
        <v>1934.6</v>
      </c>
      <c r="M506" s="119"/>
      <c r="N506" s="110"/>
    </row>
    <row r="507" spans="1:14" ht="26.25" hidden="1" thickBot="1">
      <c r="A507" s="67" t="s">
        <v>249</v>
      </c>
      <c r="B507" s="24" t="s">
        <v>242</v>
      </c>
      <c r="C507" s="24" t="s">
        <v>40</v>
      </c>
      <c r="D507" s="24" t="s">
        <v>15</v>
      </c>
      <c r="E507" s="24" t="s">
        <v>121</v>
      </c>
      <c r="F507" s="24" t="s">
        <v>174</v>
      </c>
      <c r="G507" s="38"/>
      <c r="H507" s="31"/>
      <c r="I507" s="38"/>
      <c r="J507" s="32"/>
      <c r="K507" s="32"/>
      <c r="L507" s="32">
        <f>J507+K507</f>
        <v>0</v>
      </c>
      <c r="M507" s="119"/>
      <c r="N507" s="110"/>
    </row>
    <row r="508" spans="1:14" ht="39.75" customHeight="1" thickBot="1">
      <c r="A508" s="67" t="s">
        <v>177</v>
      </c>
      <c r="B508" s="24" t="s">
        <v>242</v>
      </c>
      <c r="C508" s="24" t="s">
        <v>40</v>
      </c>
      <c r="D508" s="24" t="s">
        <v>15</v>
      </c>
      <c r="E508" s="24" t="s">
        <v>121</v>
      </c>
      <c r="F508" s="24" t="s">
        <v>178</v>
      </c>
      <c r="G508" s="38"/>
      <c r="H508" s="31"/>
      <c r="I508" s="38"/>
      <c r="J508" s="32">
        <v>82.83</v>
      </c>
      <c r="K508" s="32"/>
      <c r="L508" s="32">
        <f>J508+K508</f>
        <v>82.83</v>
      </c>
      <c r="M508" s="119"/>
      <c r="N508" s="110"/>
    </row>
    <row r="509" spans="1:14" ht="26.25" thickBot="1">
      <c r="A509" s="67" t="s">
        <v>250</v>
      </c>
      <c r="B509" s="24" t="s">
        <v>242</v>
      </c>
      <c r="C509" s="24" t="s">
        <v>40</v>
      </c>
      <c r="D509" s="24" t="s">
        <v>15</v>
      </c>
      <c r="E509" s="24" t="s">
        <v>121</v>
      </c>
      <c r="F509" s="24" t="s">
        <v>166</v>
      </c>
      <c r="G509" s="38"/>
      <c r="H509" s="31"/>
      <c r="I509" s="38"/>
      <c r="J509" s="32">
        <f>2360.471-1934.6-82.83+402.35</f>
        <v>745.3910000000001</v>
      </c>
      <c r="K509" s="32"/>
      <c r="L509" s="32">
        <f>J509+K509</f>
        <v>745.3910000000001</v>
      </c>
      <c r="M509" s="119"/>
      <c r="N509" s="110"/>
    </row>
    <row r="510" spans="1:14" s="148" customFormat="1" ht="14.25">
      <c r="A510" s="84" t="s">
        <v>68</v>
      </c>
      <c r="B510" s="30" t="s">
        <v>242</v>
      </c>
      <c r="C510" s="30" t="s">
        <v>67</v>
      </c>
      <c r="D510" s="30" t="s">
        <v>227</v>
      </c>
      <c r="E510" s="30"/>
      <c r="F510" s="30"/>
      <c r="G510" s="22"/>
      <c r="H510" s="26"/>
      <c r="I510" s="22"/>
      <c r="J510" s="25">
        <f aca="true" t="shared" si="81" ref="J510:L511">J511</f>
        <v>321</v>
      </c>
      <c r="K510" s="25">
        <f t="shared" si="81"/>
        <v>0</v>
      </c>
      <c r="L510" s="25">
        <f t="shared" si="81"/>
        <v>321</v>
      </c>
      <c r="M510" s="151"/>
      <c r="N510" s="192"/>
    </row>
    <row r="511" spans="1:14" s="148" customFormat="1" ht="25.5">
      <c r="A511" s="115" t="s">
        <v>74</v>
      </c>
      <c r="B511" s="30" t="s">
        <v>242</v>
      </c>
      <c r="C511" s="30" t="s">
        <v>67</v>
      </c>
      <c r="D511" s="30" t="s">
        <v>18</v>
      </c>
      <c r="E511" s="30"/>
      <c r="F511" s="30"/>
      <c r="G511" s="22"/>
      <c r="H511" s="26"/>
      <c r="I511" s="22"/>
      <c r="J511" s="25">
        <f t="shared" si="81"/>
        <v>321</v>
      </c>
      <c r="K511" s="25">
        <f t="shared" si="81"/>
        <v>0</v>
      </c>
      <c r="L511" s="25">
        <f t="shared" si="81"/>
        <v>321</v>
      </c>
      <c r="M511" s="151"/>
      <c r="N511" s="192"/>
    </row>
    <row r="512" spans="1:14" ht="15">
      <c r="A512" s="83" t="s">
        <v>348</v>
      </c>
      <c r="B512" s="24" t="s">
        <v>242</v>
      </c>
      <c r="C512" s="24" t="s">
        <v>67</v>
      </c>
      <c r="D512" s="24" t="s">
        <v>18</v>
      </c>
      <c r="E512" s="24" t="s">
        <v>277</v>
      </c>
      <c r="F512" s="24"/>
      <c r="G512" s="38">
        <f aca="true" t="shared" si="82" ref="G512:M512">G513+G515</f>
        <v>75</v>
      </c>
      <c r="H512" s="38">
        <f t="shared" si="82"/>
        <v>62.88</v>
      </c>
      <c r="I512" s="38">
        <f t="shared" si="82"/>
        <v>0</v>
      </c>
      <c r="J512" s="32">
        <f t="shared" si="82"/>
        <v>321</v>
      </c>
      <c r="K512" s="32">
        <f t="shared" si="82"/>
        <v>0</v>
      </c>
      <c r="L512" s="32">
        <f t="shared" si="82"/>
        <v>321</v>
      </c>
      <c r="M512" s="33">
        <f t="shared" si="82"/>
        <v>40</v>
      </c>
      <c r="N512" s="34">
        <f>N513+N515</f>
        <v>361</v>
      </c>
    </row>
    <row r="513" spans="1:14" ht="39">
      <c r="A513" s="35" t="s">
        <v>278</v>
      </c>
      <c r="B513" s="24" t="s">
        <v>242</v>
      </c>
      <c r="C513" s="24" t="s">
        <v>67</v>
      </c>
      <c r="D513" s="24" t="s">
        <v>18</v>
      </c>
      <c r="E513" s="24" t="s">
        <v>279</v>
      </c>
      <c r="F513" s="24"/>
      <c r="G513" s="38">
        <f aca="true" t="shared" si="83" ref="G513:N513">G514</f>
        <v>35</v>
      </c>
      <c r="H513" s="38">
        <f t="shared" si="83"/>
        <v>62.88</v>
      </c>
      <c r="I513" s="38">
        <f t="shared" si="83"/>
        <v>0</v>
      </c>
      <c r="J513" s="32">
        <f t="shared" si="83"/>
        <v>321</v>
      </c>
      <c r="K513" s="32">
        <f t="shared" si="83"/>
        <v>0</v>
      </c>
      <c r="L513" s="32">
        <f t="shared" si="83"/>
        <v>321</v>
      </c>
      <c r="M513" s="33">
        <f t="shared" si="83"/>
        <v>40</v>
      </c>
      <c r="N513" s="34">
        <f t="shared" si="83"/>
        <v>361</v>
      </c>
    </row>
    <row r="514" spans="1:14" ht="38.25">
      <c r="A514" s="67" t="s">
        <v>164</v>
      </c>
      <c r="B514" s="24" t="s">
        <v>242</v>
      </c>
      <c r="C514" s="24" t="s">
        <v>67</v>
      </c>
      <c r="D514" s="24" t="s">
        <v>18</v>
      </c>
      <c r="E514" s="24" t="s">
        <v>279</v>
      </c>
      <c r="F514" s="24" t="s">
        <v>166</v>
      </c>
      <c r="G514" s="38">
        <f>15.4+19.6</f>
        <v>35</v>
      </c>
      <c r="H514" s="31">
        <v>62.88</v>
      </c>
      <c r="I514" s="38"/>
      <c r="J514" s="32">
        <v>321</v>
      </c>
      <c r="K514" s="32"/>
      <c r="L514" s="32">
        <f>J514+K514</f>
        <v>321</v>
      </c>
      <c r="M514" s="33">
        <f>40</f>
        <v>40</v>
      </c>
      <c r="N514" s="34">
        <f>L514+M514</f>
        <v>361</v>
      </c>
    </row>
    <row r="515" spans="1:14" ht="30" customHeight="1" hidden="1">
      <c r="A515" s="83" t="s">
        <v>280</v>
      </c>
      <c r="B515" s="24" t="s">
        <v>242</v>
      </c>
      <c r="C515" s="24" t="s">
        <v>67</v>
      </c>
      <c r="D515" s="24" t="s">
        <v>18</v>
      </c>
      <c r="E515" s="24" t="s">
        <v>281</v>
      </c>
      <c r="F515" s="24"/>
      <c r="G515" s="38">
        <f aca="true" t="shared" si="84" ref="G515:N515">G516</f>
        <v>40</v>
      </c>
      <c r="H515" s="31">
        <f t="shared" si="84"/>
        <v>0</v>
      </c>
      <c r="I515" s="38">
        <f t="shared" si="84"/>
        <v>0</v>
      </c>
      <c r="J515" s="32">
        <f t="shared" si="84"/>
        <v>0</v>
      </c>
      <c r="K515" s="32">
        <f t="shared" si="84"/>
        <v>0</v>
      </c>
      <c r="L515" s="32">
        <f t="shared" si="84"/>
        <v>0</v>
      </c>
      <c r="M515" s="33">
        <f t="shared" si="84"/>
        <v>0</v>
      </c>
      <c r="N515" s="34">
        <f t="shared" si="84"/>
        <v>0</v>
      </c>
    </row>
    <row r="516" spans="1:14" ht="38.25" hidden="1">
      <c r="A516" s="67" t="s">
        <v>164</v>
      </c>
      <c r="B516" s="24" t="s">
        <v>287</v>
      </c>
      <c r="C516" s="24" t="s">
        <v>67</v>
      </c>
      <c r="D516" s="24" t="s">
        <v>18</v>
      </c>
      <c r="E516" s="24" t="s">
        <v>281</v>
      </c>
      <c r="F516" s="24" t="s">
        <v>166</v>
      </c>
      <c r="G516" s="38">
        <v>40</v>
      </c>
      <c r="H516" s="31"/>
      <c r="I516" s="38"/>
      <c r="J516" s="32"/>
      <c r="K516" s="32"/>
      <c r="L516" s="32">
        <f>J516+K516</f>
        <v>0</v>
      </c>
      <c r="M516" s="33"/>
      <c r="N516" s="34">
        <f>L516+M516</f>
        <v>0</v>
      </c>
    </row>
    <row r="517" spans="1:14" ht="15.75" thickBot="1">
      <c r="A517" s="29" t="s">
        <v>64</v>
      </c>
      <c r="B517" s="30" t="s">
        <v>242</v>
      </c>
      <c r="C517" s="30" t="s">
        <v>22</v>
      </c>
      <c r="D517" s="24"/>
      <c r="E517" s="24"/>
      <c r="F517" s="24"/>
      <c r="G517" s="38"/>
      <c r="H517" s="31">
        <f>H518</f>
        <v>0</v>
      </c>
      <c r="I517" s="31">
        <f>I518</f>
        <v>0</v>
      </c>
      <c r="J517" s="25">
        <f>J518</f>
        <v>1319.6</v>
      </c>
      <c r="K517" s="25">
        <f>K518</f>
        <v>120</v>
      </c>
      <c r="L517" s="25">
        <f>L518</f>
        <v>1439.6</v>
      </c>
      <c r="M517" s="119"/>
      <c r="N517" s="110"/>
    </row>
    <row r="518" spans="1:14" ht="15.75" thickBot="1">
      <c r="A518" s="82" t="s">
        <v>395</v>
      </c>
      <c r="B518" s="30" t="s">
        <v>242</v>
      </c>
      <c r="C518" s="30" t="s">
        <v>22</v>
      </c>
      <c r="D518" s="30" t="s">
        <v>12</v>
      </c>
      <c r="E518" s="30"/>
      <c r="F518" s="30"/>
      <c r="G518" s="22">
        <f aca="true" t="shared" si="85" ref="G518:L520">G519</f>
        <v>0</v>
      </c>
      <c r="H518" s="22">
        <f t="shared" si="85"/>
        <v>0</v>
      </c>
      <c r="I518" s="22">
        <f t="shared" si="85"/>
        <v>0</v>
      </c>
      <c r="J518" s="25">
        <f t="shared" si="85"/>
        <v>1319.6</v>
      </c>
      <c r="K518" s="25">
        <f t="shared" si="85"/>
        <v>120</v>
      </c>
      <c r="L518" s="25">
        <f t="shared" si="85"/>
        <v>1439.6</v>
      </c>
      <c r="M518" s="119"/>
      <c r="N518" s="110"/>
    </row>
    <row r="519" spans="1:14" ht="27" thickBot="1">
      <c r="A519" s="83" t="s">
        <v>374</v>
      </c>
      <c r="B519" s="24" t="s">
        <v>242</v>
      </c>
      <c r="C519" s="24" t="s">
        <v>22</v>
      </c>
      <c r="D519" s="24" t="s">
        <v>12</v>
      </c>
      <c r="E519" s="24" t="s">
        <v>393</v>
      </c>
      <c r="F519" s="24"/>
      <c r="G519" s="38">
        <f t="shared" si="85"/>
        <v>0</v>
      </c>
      <c r="H519" s="38">
        <f t="shared" si="85"/>
        <v>0</v>
      </c>
      <c r="I519" s="38">
        <f t="shared" si="85"/>
        <v>0</v>
      </c>
      <c r="J519" s="32">
        <f t="shared" si="85"/>
        <v>1319.6</v>
      </c>
      <c r="K519" s="32">
        <f t="shared" si="85"/>
        <v>120</v>
      </c>
      <c r="L519" s="32">
        <f t="shared" si="85"/>
        <v>1439.6</v>
      </c>
      <c r="M519" s="119"/>
      <c r="N519" s="110"/>
    </row>
    <row r="520" spans="1:14" ht="26.25">
      <c r="A520" s="83" t="s">
        <v>396</v>
      </c>
      <c r="B520" s="24" t="s">
        <v>242</v>
      </c>
      <c r="C520" s="24" t="s">
        <v>22</v>
      </c>
      <c r="D520" s="24" t="s">
        <v>12</v>
      </c>
      <c r="E520" s="24" t="s">
        <v>394</v>
      </c>
      <c r="F520" s="24"/>
      <c r="G520" s="38">
        <f t="shared" si="85"/>
        <v>0</v>
      </c>
      <c r="H520" s="38">
        <f t="shared" si="85"/>
        <v>0</v>
      </c>
      <c r="I520" s="38">
        <f t="shared" si="85"/>
        <v>0</v>
      </c>
      <c r="J520" s="32">
        <f>J521+J522+J523</f>
        <v>1319.6</v>
      </c>
      <c r="K520" s="32">
        <f>K521+K522+K523</f>
        <v>120</v>
      </c>
      <c r="L520" s="32">
        <f>L521+L522+L523</f>
        <v>1439.6</v>
      </c>
      <c r="M520" s="33">
        <f>M521+M522+M523</f>
        <v>0</v>
      </c>
      <c r="N520" s="33">
        <f>N521+N522+N523</f>
        <v>0</v>
      </c>
    </row>
    <row r="521" spans="1:14" ht="27" hidden="1" thickBot="1">
      <c r="A521" s="83" t="s">
        <v>110</v>
      </c>
      <c r="B521" s="24" t="s">
        <v>242</v>
      </c>
      <c r="C521" s="24" t="s">
        <v>22</v>
      </c>
      <c r="D521" s="24" t="s">
        <v>12</v>
      </c>
      <c r="E521" s="24" t="s">
        <v>394</v>
      </c>
      <c r="F521" s="24" t="s">
        <v>109</v>
      </c>
      <c r="G521" s="38"/>
      <c r="H521" s="31"/>
      <c r="I521" s="38"/>
      <c r="J521" s="32"/>
      <c r="K521" s="32"/>
      <c r="L521" s="32">
        <f>J521+K521</f>
        <v>0</v>
      </c>
      <c r="M521" s="119"/>
      <c r="N521" s="119"/>
    </row>
    <row r="522" spans="1:14" ht="26.25" thickBot="1">
      <c r="A522" s="67" t="s">
        <v>249</v>
      </c>
      <c r="B522" s="24" t="s">
        <v>242</v>
      </c>
      <c r="C522" s="24" t="s">
        <v>22</v>
      </c>
      <c r="D522" s="24" t="s">
        <v>12</v>
      </c>
      <c r="E522" s="24" t="s">
        <v>394</v>
      </c>
      <c r="F522" s="24" t="s">
        <v>174</v>
      </c>
      <c r="G522" s="38"/>
      <c r="H522" s="31"/>
      <c r="I522" s="38"/>
      <c r="J522" s="32">
        <v>85</v>
      </c>
      <c r="K522" s="32"/>
      <c r="L522" s="32">
        <f>J522+K522</f>
        <v>85</v>
      </c>
      <c r="M522" s="119"/>
      <c r="N522" s="119"/>
    </row>
    <row r="523" spans="1:14" ht="26.25" thickBot="1">
      <c r="A523" s="67" t="s">
        <v>250</v>
      </c>
      <c r="B523" s="24" t="s">
        <v>242</v>
      </c>
      <c r="C523" s="24" t="s">
        <v>22</v>
      </c>
      <c r="D523" s="24" t="s">
        <v>12</v>
      </c>
      <c r="E523" s="24" t="s">
        <v>394</v>
      </c>
      <c r="F523" s="24" t="s">
        <v>166</v>
      </c>
      <c r="G523" s="38"/>
      <c r="H523" s="31"/>
      <c r="I523" s="38"/>
      <c r="J523" s="32">
        <v>1234.6</v>
      </c>
      <c r="K523" s="32">
        <v>120</v>
      </c>
      <c r="L523" s="32">
        <f>J523+K523</f>
        <v>1354.6</v>
      </c>
      <c r="M523" s="119"/>
      <c r="N523" s="119"/>
    </row>
    <row r="524" spans="1:18" s="198" customFormat="1" ht="13.5" customHeight="1" thickBot="1">
      <c r="A524" s="193" t="s">
        <v>397</v>
      </c>
      <c r="B524" s="194"/>
      <c r="C524" s="194"/>
      <c r="D524" s="194"/>
      <c r="E524" s="194"/>
      <c r="F524" s="194"/>
      <c r="G524" s="195" t="e">
        <f>#REF!+G24+G142+#REF!+G240+G247+G461</f>
        <v>#REF!</v>
      </c>
      <c r="H524" s="196" t="e">
        <f>#REF!+H24+H142+#REF!+H240+H247+H461</f>
        <v>#REF!</v>
      </c>
      <c r="I524" s="195" t="e">
        <f>#REF!+I24+I142+#REF!+I240+I247+I461</f>
        <v>#REF!</v>
      </c>
      <c r="J524" s="271">
        <f>J24+J142+J240+J247+J461</f>
        <v>345740.2403700001</v>
      </c>
      <c r="K524" s="271">
        <f>K24+K142+K240+K247+K461</f>
        <v>59638.94987000001</v>
      </c>
      <c r="L524" s="271">
        <f>L24+L142+L240+L247+L461</f>
        <v>405379.19024</v>
      </c>
      <c r="M524" s="120" t="e">
        <f>#REF!+M24+M142+#REF!+M240+M247+M461</f>
        <v>#REF!</v>
      </c>
      <c r="N524" s="121" t="e">
        <f>#REF!+N24+N142+#REF!+N240+N247+N461</f>
        <v>#REF!</v>
      </c>
      <c r="O524" s="197"/>
      <c r="P524" s="198">
        <v>349447.45</v>
      </c>
      <c r="Q524" s="199"/>
      <c r="R524" s="199"/>
    </row>
    <row r="525" spans="1:18" s="198" customFormat="1" ht="13.5" customHeight="1">
      <c r="A525" s="200"/>
      <c r="B525" s="201"/>
      <c r="C525" s="201"/>
      <c r="D525" s="201"/>
      <c r="E525" s="201"/>
      <c r="F525" s="201"/>
      <c r="G525" s="202"/>
      <c r="H525" s="122"/>
      <c r="I525" s="202"/>
      <c r="J525" s="122">
        <v>345740.24037</v>
      </c>
      <c r="K525" s="122">
        <v>11773.70038</v>
      </c>
      <c r="L525" s="122">
        <f>J526-L524</f>
        <v>-405379.19024</v>
      </c>
      <c r="M525" s="122"/>
      <c r="N525" s="122"/>
      <c r="O525" s="197"/>
      <c r="Q525" s="199"/>
      <c r="R525" s="199"/>
    </row>
    <row r="526" spans="1:18" ht="15">
      <c r="A526" s="203"/>
      <c r="B526" s="124"/>
      <c r="C526" s="124"/>
      <c r="D526" s="124"/>
      <c r="E526" s="124"/>
      <c r="F526" s="124"/>
      <c r="G526" s="124"/>
      <c r="H526" s="123"/>
      <c r="I526" s="124"/>
      <c r="J526" s="253">
        <f>J524-J525</f>
        <v>0</v>
      </c>
      <c r="K526" s="253">
        <f>331821.44-J526</f>
        <v>331821.44</v>
      </c>
      <c r="L526" s="157">
        <v>408529.82753</v>
      </c>
      <c r="N526" s="125"/>
      <c r="P526" s="172"/>
      <c r="Q526" s="125"/>
      <c r="R526" s="125"/>
    </row>
    <row r="527" spans="1:18" ht="25.5" customHeight="1">
      <c r="A527" s="204"/>
      <c r="B527" s="124"/>
      <c r="C527" s="124"/>
      <c r="D527" s="124"/>
      <c r="E527" s="124"/>
      <c r="F527" s="124"/>
      <c r="G527" s="124"/>
      <c r="H527" s="123"/>
      <c r="I527" s="124"/>
      <c r="J527" s="157">
        <f>J526-L524</f>
        <v>-405379.19024</v>
      </c>
      <c r="K527" s="157">
        <f>K526+K525</f>
        <v>343595.14038</v>
      </c>
      <c r="L527" s="160"/>
      <c r="N527" s="125"/>
      <c r="P527" s="172"/>
      <c r="Q527" s="125"/>
      <c r="R527" s="125"/>
    </row>
    <row r="528" spans="1:18" ht="15.75" customHeight="1">
      <c r="A528" s="204"/>
      <c r="B528" s="124"/>
      <c r="C528" s="124"/>
      <c r="D528" s="124"/>
      <c r="E528" s="124"/>
      <c r="F528" s="124"/>
      <c r="G528" s="124"/>
      <c r="H528" s="123"/>
      <c r="I528" s="124"/>
      <c r="J528" s="157"/>
      <c r="K528" s="253">
        <f>J526+K527</f>
        <v>343595.14038</v>
      </c>
      <c r="L528" s="157"/>
      <c r="N528" s="125"/>
      <c r="P528" s="172"/>
      <c r="Q528" s="125"/>
      <c r="R528" s="125"/>
    </row>
    <row r="529" spans="1:16" ht="15">
      <c r="A529" s="205"/>
      <c r="B529" s="124"/>
      <c r="C529" s="124"/>
      <c r="D529" s="124"/>
      <c r="E529" s="124"/>
      <c r="F529" s="124"/>
      <c r="G529" s="124"/>
      <c r="H529" s="123"/>
      <c r="I529" s="124"/>
      <c r="J529" s="157"/>
      <c r="K529" s="157"/>
      <c r="L529" s="157"/>
      <c r="N529" s="125"/>
      <c r="P529" s="172"/>
    </row>
    <row r="530" spans="1:16" ht="15.75" thickBot="1">
      <c r="A530" s="125"/>
      <c r="H530" s="125"/>
      <c r="N530" s="125"/>
      <c r="P530" s="172"/>
    </row>
    <row r="531" spans="1:15" ht="15.75" thickBot="1">
      <c r="A531" s="125"/>
      <c r="E531" s="226">
        <f>SUM(J532:J542)</f>
        <v>23402.091</v>
      </c>
      <c r="F531" s="142" t="s">
        <v>12</v>
      </c>
      <c r="G531" s="127" t="e">
        <f>#REF!+G143+G248+G462</f>
        <v>#REF!</v>
      </c>
      <c r="H531" s="127" t="e">
        <f>#REF!+H143+H248+H462</f>
        <v>#REF!</v>
      </c>
      <c r="I531" s="126" t="e">
        <f>#REF!+I143+I248+I462</f>
        <v>#REF!</v>
      </c>
      <c r="J531" s="158">
        <f>J532+J533+J534+J535+J536+J537+J538+J539+J540+J541+J542</f>
        <v>23402.091</v>
      </c>
      <c r="K531" s="158">
        <f>K532+K533+K534+K535+K536+K537+K538+K539+K540+K541+K542</f>
        <v>2074.0389999999998</v>
      </c>
      <c r="L531" s="158">
        <f>L532+L533+L534+L535+L536+L537+L538+L539+L540+L541+L542</f>
        <v>25476.129999999997</v>
      </c>
      <c r="M531" s="126" t="e">
        <f>#REF!+M143+M248+M462</f>
        <v>#REF!</v>
      </c>
      <c r="N531" s="127" t="e">
        <f>#REF!+N143+N248+N462</f>
        <v>#REF!</v>
      </c>
      <c r="O531" s="154">
        <f>SUM(L532:L542)</f>
        <v>25476.129999999997</v>
      </c>
    </row>
    <row r="532" spans="1:18" ht="15">
      <c r="A532" s="125"/>
      <c r="E532" s="171"/>
      <c r="F532" s="206" t="s">
        <v>398</v>
      </c>
      <c r="G532" s="128" t="e">
        <f aca="true" t="shared" si="86" ref="G532:N532">G249</f>
        <v>#REF!</v>
      </c>
      <c r="H532" s="128" t="e">
        <f t="shared" si="86"/>
        <v>#REF!</v>
      </c>
      <c r="I532" s="128" t="e">
        <f t="shared" si="86"/>
        <v>#REF!</v>
      </c>
      <c r="J532" s="159">
        <f t="shared" si="86"/>
        <v>982.738</v>
      </c>
      <c r="K532" s="159">
        <f t="shared" si="86"/>
        <v>127.254</v>
      </c>
      <c r="L532" s="159">
        <f>L249</f>
        <v>1109.992</v>
      </c>
      <c r="M532" s="128" t="e">
        <f t="shared" si="86"/>
        <v>#REF!</v>
      </c>
      <c r="N532" s="128" t="e">
        <f t="shared" si="86"/>
        <v>#REF!</v>
      </c>
      <c r="O532" s="20">
        <f>J532+K532</f>
        <v>1109.992</v>
      </c>
      <c r="Q532" s="154"/>
      <c r="R532" s="154"/>
    </row>
    <row r="533" spans="1:15" ht="15">
      <c r="A533" s="125"/>
      <c r="E533" s="171"/>
      <c r="F533" s="207" t="s">
        <v>399</v>
      </c>
      <c r="G533" s="129" t="e">
        <f>G255</f>
        <v>#REF!</v>
      </c>
      <c r="H533" s="129" t="e">
        <f aca="true" t="shared" si="87" ref="H533:N533">H254</f>
        <v>#REF!</v>
      </c>
      <c r="I533" s="129" t="e">
        <f t="shared" si="87"/>
        <v>#REF!</v>
      </c>
      <c r="J533" s="160">
        <f t="shared" si="87"/>
        <v>1216.4470000000001</v>
      </c>
      <c r="K533" s="160">
        <f t="shared" si="87"/>
        <v>150.663</v>
      </c>
      <c r="L533" s="160">
        <f>L254</f>
        <v>1367.1100000000001</v>
      </c>
      <c r="M533" s="129" t="e">
        <f t="shared" si="87"/>
        <v>#REF!</v>
      </c>
      <c r="N533" s="129" t="e">
        <f t="shared" si="87"/>
        <v>#REF!</v>
      </c>
      <c r="O533" s="20">
        <f>J533+K533</f>
        <v>1367.1100000000001</v>
      </c>
    </row>
    <row r="534" spans="5:15" ht="15">
      <c r="E534" s="171"/>
      <c r="F534" s="207" t="s">
        <v>400</v>
      </c>
      <c r="G534" s="129" t="e">
        <f>G264+G463+#REF!+G144</f>
        <v>#REF!</v>
      </c>
      <c r="H534" s="71" t="e">
        <f>H264+H463+#REF!+H144</f>
        <v>#REF!</v>
      </c>
      <c r="I534" s="71" t="e">
        <f>I264+I463+#REF!+I144</f>
        <v>#REF!</v>
      </c>
      <c r="J534" s="160">
        <f>J264+J463+J144</f>
        <v>15979.512</v>
      </c>
      <c r="K534" s="160">
        <f>K264+K463+K144</f>
        <v>1354.018</v>
      </c>
      <c r="L534" s="160">
        <f>L264+L463+L144</f>
        <v>17333.53</v>
      </c>
      <c r="M534" s="71" t="e">
        <f>M264+M463+#REF!+M144</f>
        <v>#REF!</v>
      </c>
      <c r="N534" s="71" t="e">
        <f>N264+N463+#REF!+N144</f>
        <v>#REF!</v>
      </c>
      <c r="O534" s="20">
        <f aca="true" t="shared" si="88" ref="O534:O597">J534+K534</f>
        <v>17333.53</v>
      </c>
    </row>
    <row r="535" spans="5:15" ht="15">
      <c r="E535" s="171"/>
      <c r="F535" s="207" t="s">
        <v>401</v>
      </c>
      <c r="G535" s="129" t="e">
        <f>#REF!</f>
        <v>#REF!</v>
      </c>
      <c r="H535" s="130">
        <f aca="true" t="shared" si="89" ref="H535:N535">H282</f>
        <v>0</v>
      </c>
      <c r="I535" s="130">
        <f t="shared" si="89"/>
        <v>0</v>
      </c>
      <c r="J535" s="160">
        <f t="shared" si="89"/>
        <v>11.7</v>
      </c>
      <c r="K535" s="160">
        <f t="shared" si="89"/>
        <v>0</v>
      </c>
      <c r="L535" s="160">
        <f>L282</f>
        <v>11.7</v>
      </c>
      <c r="M535" s="130">
        <f t="shared" si="89"/>
        <v>0</v>
      </c>
      <c r="N535" s="130">
        <f t="shared" si="89"/>
        <v>0</v>
      </c>
      <c r="O535" s="20">
        <f t="shared" si="88"/>
        <v>11.7</v>
      </c>
    </row>
    <row r="536" spans="5:15" ht="15">
      <c r="E536" s="171"/>
      <c r="F536" s="207" t="s">
        <v>402</v>
      </c>
      <c r="G536" s="129" t="e">
        <f>G150</f>
        <v>#REF!</v>
      </c>
      <c r="H536" s="129" t="e">
        <f>H150</f>
        <v>#REF!</v>
      </c>
      <c r="I536" s="129" t="e">
        <f>I150</f>
        <v>#REF!</v>
      </c>
      <c r="J536" s="160">
        <f>J150+J286</f>
        <v>3746.5939999999996</v>
      </c>
      <c r="K536" s="160">
        <f>K150+K286</f>
        <v>432.404</v>
      </c>
      <c r="L536" s="160">
        <f>L150+L286</f>
        <v>4178.998</v>
      </c>
      <c r="M536" s="129" t="e">
        <f>M150</f>
        <v>#REF!</v>
      </c>
      <c r="N536" s="71" t="e">
        <f>N150</f>
        <v>#REF!</v>
      </c>
      <c r="O536" s="20">
        <f t="shared" si="88"/>
        <v>4178.998</v>
      </c>
    </row>
    <row r="537" spans="5:15" ht="15">
      <c r="E537" s="171"/>
      <c r="F537" s="207" t="s">
        <v>403</v>
      </c>
      <c r="G537" s="129">
        <f aca="true" t="shared" si="90" ref="G537:N537">G292</f>
        <v>0</v>
      </c>
      <c r="H537" s="129">
        <f t="shared" si="90"/>
        <v>20</v>
      </c>
      <c r="I537" s="129">
        <f t="shared" si="90"/>
        <v>0</v>
      </c>
      <c r="J537" s="160">
        <f t="shared" si="90"/>
        <v>0</v>
      </c>
      <c r="K537" s="160">
        <f t="shared" si="90"/>
        <v>0</v>
      </c>
      <c r="L537" s="160">
        <f>L292</f>
        <v>0</v>
      </c>
      <c r="M537" s="129">
        <f t="shared" si="90"/>
        <v>0</v>
      </c>
      <c r="N537" s="71">
        <f t="shared" si="90"/>
        <v>0</v>
      </c>
      <c r="O537" s="20">
        <f t="shared" si="88"/>
        <v>0</v>
      </c>
    </row>
    <row r="538" spans="5:15" ht="15" hidden="1">
      <c r="E538" s="171"/>
      <c r="F538" s="208" t="s">
        <v>404</v>
      </c>
      <c r="G538" s="209" t="e">
        <f>#REF!</f>
        <v>#REF!</v>
      </c>
      <c r="H538" s="209" t="e">
        <f>#REF!</f>
        <v>#REF!</v>
      </c>
      <c r="I538" s="209" t="e">
        <f>#REF!</f>
        <v>#REF!</v>
      </c>
      <c r="J538" s="161"/>
      <c r="K538" s="161"/>
      <c r="L538" s="161"/>
      <c r="M538" s="129" t="e">
        <f>#REF!</f>
        <v>#REF!</v>
      </c>
      <c r="N538" s="71" t="e">
        <f>#REF!</f>
        <v>#REF!</v>
      </c>
      <c r="O538" s="20">
        <f t="shared" si="88"/>
        <v>0</v>
      </c>
    </row>
    <row r="539" spans="5:15" ht="15">
      <c r="E539" s="171"/>
      <c r="F539" s="208" t="s">
        <v>404</v>
      </c>
      <c r="G539" s="209"/>
      <c r="H539" s="209"/>
      <c r="I539" s="209"/>
      <c r="J539" s="161">
        <f>J159</f>
        <v>110</v>
      </c>
      <c r="K539" s="161">
        <f>K159</f>
        <v>0</v>
      </c>
      <c r="L539" s="161">
        <f>L159</f>
        <v>110</v>
      </c>
      <c r="M539" s="131">
        <f>M159</f>
        <v>0</v>
      </c>
      <c r="N539" s="131">
        <f>N159</f>
        <v>0</v>
      </c>
      <c r="O539" s="20">
        <f t="shared" si="88"/>
        <v>110</v>
      </c>
    </row>
    <row r="540" spans="5:15" ht="15" hidden="1">
      <c r="E540" s="171"/>
      <c r="F540" s="207" t="s">
        <v>405</v>
      </c>
      <c r="G540" s="129" t="e">
        <f>#REF!</f>
        <v>#REF!</v>
      </c>
      <c r="H540" s="129" t="e">
        <f>#REF!</f>
        <v>#REF!</v>
      </c>
      <c r="I540" s="129" t="e">
        <f>#REF!</f>
        <v>#REF!</v>
      </c>
      <c r="J540" s="160"/>
      <c r="K540" s="160"/>
      <c r="L540" s="160"/>
      <c r="M540" s="129" t="e">
        <f>#REF!</f>
        <v>#REF!</v>
      </c>
      <c r="N540" s="71" t="e">
        <f>#REF!</f>
        <v>#REF!</v>
      </c>
      <c r="O540" s="20">
        <f t="shared" si="88"/>
        <v>0</v>
      </c>
    </row>
    <row r="541" spans="5:15" ht="15.75" thickBot="1">
      <c r="E541" s="171"/>
      <c r="F541" s="207" t="s">
        <v>406</v>
      </c>
      <c r="G541" s="129"/>
      <c r="H541" s="129"/>
      <c r="I541" s="129"/>
      <c r="J541" s="160">
        <f>J297+J168+J166</f>
        <v>1355.1</v>
      </c>
      <c r="K541" s="160">
        <f>K297+K168+K166</f>
        <v>9.7</v>
      </c>
      <c r="L541" s="160">
        <f>L297+L168+L166</f>
        <v>1364.8</v>
      </c>
      <c r="M541" s="71">
        <f>M297+M168</f>
        <v>0</v>
      </c>
      <c r="N541" s="71">
        <f>N297+N168</f>
        <v>0</v>
      </c>
      <c r="O541" s="20">
        <f t="shared" si="88"/>
        <v>1364.8</v>
      </c>
    </row>
    <row r="542" spans="5:15" ht="15.75" hidden="1" thickBot="1">
      <c r="E542" s="171"/>
      <c r="F542" s="210" t="s">
        <v>407</v>
      </c>
      <c r="G542" s="133" t="e">
        <f>G170+#REF!</f>
        <v>#REF!</v>
      </c>
      <c r="H542" s="133" t="e">
        <f>H170+#REF!</f>
        <v>#REF!</v>
      </c>
      <c r="I542" s="133" t="e">
        <f>I170+#REF!</f>
        <v>#REF!</v>
      </c>
      <c r="J542" s="162"/>
      <c r="K542" s="162"/>
      <c r="L542" s="162"/>
      <c r="M542" s="133" t="e">
        <f>M170+#REF!</f>
        <v>#REF!</v>
      </c>
      <c r="N542" s="132" t="e">
        <f>N170+#REF!</f>
        <v>#REF!</v>
      </c>
      <c r="O542" s="20">
        <f t="shared" si="88"/>
        <v>0</v>
      </c>
    </row>
    <row r="543" spans="5:15" ht="15.75" thickBot="1">
      <c r="E543" s="226">
        <f>J544</f>
        <v>543.1</v>
      </c>
      <c r="F543" s="211" t="s">
        <v>13</v>
      </c>
      <c r="G543" s="212"/>
      <c r="H543" s="212"/>
      <c r="I543" s="212"/>
      <c r="J543" s="163">
        <f>J544</f>
        <v>543.1</v>
      </c>
      <c r="K543" s="163">
        <f>K544</f>
        <v>0</v>
      </c>
      <c r="L543" s="164">
        <f>L544</f>
        <v>543.1</v>
      </c>
      <c r="M543" s="135"/>
      <c r="N543" s="136"/>
      <c r="O543" s="20">
        <f t="shared" si="88"/>
        <v>543.1</v>
      </c>
    </row>
    <row r="544" spans="5:15" ht="15.75" thickBot="1">
      <c r="E544" s="171"/>
      <c r="F544" s="213" t="s">
        <v>408</v>
      </c>
      <c r="G544" s="137"/>
      <c r="H544" s="137"/>
      <c r="I544" s="137"/>
      <c r="J544" s="165">
        <f>J171</f>
        <v>543.1</v>
      </c>
      <c r="K544" s="165">
        <f>K171</f>
        <v>0</v>
      </c>
      <c r="L544" s="165">
        <f>L171</f>
        <v>543.1</v>
      </c>
      <c r="M544" s="137"/>
      <c r="N544" s="136"/>
      <c r="O544" s="20">
        <f t="shared" si="88"/>
        <v>543.1</v>
      </c>
    </row>
    <row r="545" spans="5:15" ht="15.75" thickBot="1">
      <c r="E545" s="226">
        <f>SUM(J546:J548)</f>
        <v>300</v>
      </c>
      <c r="F545" s="142" t="s">
        <v>14</v>
      </c>
      <c r="G545" s="139">
        <f>G311+G241</f>
        <v>0</v>
      </c>
      <c r="H545" s="139">
        <f>H311+H241</f>
        <v>583.7</v>
      </c>
      <c r="I545" s="139">
        <f>I311+I241</f>
        <v>0</v>
      </c>
      <c r="J545" s="163">
        <f>J546+J547+J548</f>
        <v>300</v>
      </c>
      <c r="K545" s="163">
        <f>K546+K547+K548</f>
        <v>-200</v>
      </c>
      <c r="L545" s="163">
        <f>L546+L547+L548</f>
        <v>100</v>
      </c>
      <c r="M545" s="134">
        <f>M546+M547+M548</f>
        <v>0</v>
      </c>
      <c r="N545" s="134">
        <f>N546+N547+N548</f>
        <v>0</v>
      </c>
      <c r="O545" s="20">
        <f t="shared" si="88"/>
        <v>100</v>
      </c>
    </row>
    <row r="546" spans="5:15" ht="15">
      <c r="E546" s="171"/>
      <c r="F546" s="206" t="s">
        <v>409</v>
      </c>
      <c r="G546" s="128">
        <f>G242</f>
        <v>0</v>
      </c>
      <c r="H546" s="128">
        <f>H242</f>
        <v>526.1</v>
      </c>
      <c r="I546" s="128">
        <f>I242</f>
        <v>0</v>
      </c>
      <c r="J546" s="159">
        <f>J242+J176</f>
        <v>200</v>
      </c>
      <c r="K546" s="159">
        <f>K242+K176</f>
        <v>-200</v>
      </c>
      <c r="L546" s="159">
        <f>L242+L176</f>
        <v>0</v>
      </c>
      <c r="M546" s="138">
        <f>M242+M176</f>
        <v>0</v>
      </c>
      <c r="N546" s="138">
        <f>N242+N176</f>
        <v>0</v>
      </c>
      <c r="O546" s="20">
        <f t="shared" si="88"/>
        <v>0</v>
      </c>
    </row>
    <row r="547" spans="5:15" ht="15">
      <c r="E547" s="171"/>
      <c r="F547" s="207" t="s">
        <v>410</v>
      </c>
      <c r="G547" s="129">
        <f aca="true" t="shared" si="91" ref="G547:N547">G312</f>
        <v>0</v>
      </c>
      <c r="H547" s="129">
        <f t="shared" si="91"/>
        <v>57.6</v>
      </c>
      <c r="I547" s="129">
        <f t="shared" si="91"/>
        <v>0</v>
      </c>
      <c r="J547" s="160">
        <f t="shared" si="91"/>
        <v>75</v>
      </c>
      <c r="K547" s="160">
        <f t="shared" si="91"/>
        <v>0</v>
      </c>
      <c r="L547" s="160">
        <f>L312</f>
        <v>75</v>
      </c>
      <c r="M547" s="129">
        <f t="shared" si="91"/>
        <v>0</v>
      </c>
      <c r="N547" s="71">
        <f t="shared" si="91"/>
        <v>0</v>
      </c>
      <c r="O547" s="20">
        <f t="shared" si="88"/>
        <v>75</v>
      </c>
    </row>
    <row r="548" spans="5:15" ht="15.75" thickBot="1">
      <c r="E548" s="171"/>
      <c r="F548" s="214" t="s">
        <v>411</v>
      </c>
      <c r="G548" s="137"/>
      <c r="H548" s="137"/>
      <c r="I548" s="137"/>
      <c r="J548" s="165">
        <f>J317</f>
        <v>25</v>
      </c>
      <c r="K548" s="165">
        <f>K317</f>
        <v>0</v>
      </c>
      <c r="L548" s="165">
        <f>L317</f>
        <v>25</v>
      </c>
      <c r="M548" s="136">
        <f>M317</f>
        <v>0</v>
      </c>
      <c r="N548" s="136">
        <f>N317</f>
        <v>0</v>
      </c>
      <c r="O548" s="20">
        <f t="shared" si="88"/>
        <v>25</v>
      </c>
    </row>
    <row r="549" spans="5:15" ht="15.75" thickBot="1">
      <c r="E549" s="226">
        <f>SUM(J550:J553)</f>
        <v>7909.74</v>
      </c>
      <c r="F549" s="215" t="s">
        <v>15</v>
      </c>
      <c r="G549" s="139" t="e">
        <f>G184+G323</f>
        <v>#REF!</v>
      </c>
      <c r="H549" s="139" t="e">
        <f>H184+H323</f>
        <v>#REF!</v>
      </c>
      <c r="I549" s="139" t="e">
        <f>I184+I323</f>
        <v>#REF!</v>
      </c>
      <c r="J549" s="163">
        <f>J550+J551+J552+J553</f>
        <v>7909.74</v>
      </c>
      <c r="K549" s="163">
        <f>K550+K551+K552+K553</f>
        <v>5868.851000000001</v>
      </c>
      <c r="L549" s="163">
        <f>L550+L551+L552+L553</f>
        <v>13778.590999999999</v>
      </c>
      <c r="M549" s="139" t="e">
        <f>M184+M323</f>
        <v>#REF!</v>
      </c>
      <c r="N549" s="140" t="e">
        <f>N184+N323</f>
        <v>#REF!</v>
      </c>
      <c r="O549" s="20">
        <f t="shared" si="88"/>
        <v>13778.591</v>
      </c>
    </row>
    <row r="550" spans="5:15" ht="15">
      <c r="E550" s="171"/>
      <c r="F550" s="206" t="s">
        <v>412</v>
      </c>
      <c r="G550" s="128" t="e">
        <f>#REF!+G324</f>
        <v>#REF!</v>
      </c>
      <c r="H550" s="216" t="e">
        <f>#REF!+H324</f>
        <v>#REF!</v>
      </c>
      <c r="I550" s="128" t="e">
        <f>#REF!+I324</f>
        <v>#REF!</v>
      </c>
      <c r="J550" s="159">
        <f>J324</f>
        <v>230</v>
      </c>
      <c r="K550" s="159">
        <f>K324</f>
        <v>0</v>
      </c>
      <c r="L550" s="159">
        <f>L324</f>
        <v>230</v>
      </c>
      <c r="M550" s="128" t="e">
        <f>#REF!+M324</f>
        <v>#REF!</v>
      </c>
      <c r="N550" s="138" t="e">
        <f>#REF!+N324</f>
        <v>#REF!</v>
      </c>
      <c r="O550" s="20">
        <f t="shared" si="88"/>
        <v>230</v>
      </c>
    </row>
    <row r="551" spans="5:15" ht="15">
      <c r="E551" s="171"/>
      <c r="F551" s="207" t="s">
        <v>413</v>
      </c>
      <c r="G551" s="137" t="e">
        <f>#REF!</f>
        <v>#REF!</v>
      </c>
      <c r="H551" s="137" t="e">
        <f>#REF!</f>
        <v>#REF!</v>
      </c>
      <c r="I551" s="137" t="e">
        <f>#REF!</f>
        <v>#REF!</v>
      </c>
      <c r="J551" s="160">
        <f>J185</f>
        <v>0</v>
      </c>
      <c r="K551" s="160">
        <f>K185</f>
        <v>3949.65</v>
      </c>
      <c r="L551" s="160">
        <f>L185</f>
        <v>3949.65</v>
      </c>
      <c r="M551" s="137" t="e">
        <f>#REF!</f>
        <v>#REF!</v>
      </c>
      <c r="N551" s="136" t="e">
        <f>#REF!</f>
        <v>#REF!</v>
      </c>
      <c r="O551" s="20">
        <f t="shared" si="88"/>
        <v>3949.65</v>
      </c>
    </row>
    <row r="552" spans="5:15" ht="15" hidden="1">
      <c r="E552" s="171"/>
      <c r="F552" s="213" t="s">
        <v>414</v>
      </c>
      <c r="G552" s="137"/>
      <c r="H552" s="141" t="e">
        <f>#REF!</f>
        <v>#REF!</v>
      </c>
      <c r="I552" s="141" t="e">
        <f>#REF!</f>
        <v>#REF!</v>
      </c>
      <c r="J552" s="165"/>
      <c r="K552" s="165"/>
      <c r="L552" s="165"/>
      <c r="M552" s="141" t="e">
        <f>#REF!</f>
        <v>#REF!</v>
      </c>
      <c r="N552" s="136" t="e">
        <f>#REF!</f>
        <v>#REF!</v>
      </c>
      <c r="O552" s="20">
        <f t="shared" si="88"/>
        <v>0</v>
      </c>
    </row>
    <row r="553" spans="5:15" ht="15.75" thickBot="1">
      <c r="E553" s="171"/>
      <c r="F553" s="210" t="s">
        <v>415</v>
      </c>
      <c r="G553" s="133" t="e">
        <f aca="true" t="shared" si="92" ref="G553:N553">G329+G190</f>
        <v>#REF!</v>
      </c>
      <c r="H553" s="133" t="e">
        <f t="shared" si="92"/>
        <v>#REF!</v>
      </c>
      <c r="I553" s="133" t="e">
        <f t="shared" si="92"/>
        <v>#REF!</v>
      </c>
      <c r="J553" s="162">
        <f t="shared" si="92"/>
        <v>7679.74</v>
      </c>
      <c r="K553" s="162">
        <f t="shared" si="92"/>
        <v>1919.201</v>
      </c>
      <c r="L553" s="162">
        <f t="shared" si="92"/>
        <v>9598.940999999999</v>
      </c>
      <c r="M553" s="133" t="e">
        <f t="shared" si="92"/>
        <v>#REF!</v>
      </c>
      <c r="N553" s="132" t="e">
        <f t="shared" si="92"/>
        <v>#REF!</v>
      </c>
      <c r="O553" s="20">
        <f t="shared" si="88"/>
        <v>9598.940999999999</v>
      </c>
    </row>
    <row r="554" spans="5:15" ht="15.75" thickBot="1">
      <c r="E554" s="224">
        <f>SUM(J555:J558)</f>
        <v>21437.782</v>
      </c>
      <c r="F554" s="142" t="s">
        <v>17</v>
      </c>
      <c r="G554" s="139" t="e">
        <f>G346</f>
        <v>#REF!</v>
      </c>
      <c r="H554" s="143" t="e">
        <f>H346+H199</f>
        <v>#REF!</v>
      </c>
      <c r="I554" s="143" t="e">
        <f>I346+I199</f>
        <v>#REF!</v>
      </c>
      <c r="J554" s="163">
        <f>J555+J556+J557+J558</f>
        <v>21437.782</v>
      </c>
      <c r="K554" s="163">
        <f>K555+K556+K557+K558</f>
        <v>6404.7092999999995</v>
      </c>
      <c r="L554" s="163">
        <f>L555+L556+L557+L558</f>
        <v>27842.4913</v>
      </c>
      <c r="M554" s="143" t="e">
        <f>M346+M199</f>
        <v>#REF!</v>
      </c>
      <c r="N554" s="143" t="e">
        <f>N346+N199</f>
        <v>#REF!</v>
      </c>
      <c r="O554" s="154">
        <f>J554+K554</f>
        <v>27842.491299999998</v>
      </c>
    </row>
    <row r="555" spans="5:15" ht="15">
      <c r="E555" s="171"/>
      <c r="F555" s="206" t="s">
        <v>416</v>
      </c>
      <c r="G555" s="128">
        <f>G355</f>
        <v>-40</v>
      </c>
      <c r="H555" s="144">
        <f>H355+H200</f>
        <v>0</v>
      </c>
      <c r="I555" s="144">
        <f>I355+I200</f>
        <v>31353.699999999997</v>
      </c>
      <c r="J555" s="159">
        <f>J200+J347</f>
        <v>14347.462</v>
      </c>
      <c r="K555" s="159">
        <f>K200+K347</f>
        <v>0</v>
      </c>
      <c r="L555" s="159">
        <f>L200+L347</f>
        <v>14347.462</v>
      </c>
      <c r="M555" s="144" t="e">
        <f>M200+M347</f>
        <v>#REF!</v>
      </c>
      <c r="N555" s="144" t="e">
        <f>N200+N347</f>
        <v>#REF!</v>
      </c>
      <c r="O555" s="20">
        <f t="shared" si="88"/>
        <v>14347.462</v>
      </c>
    </row>
    <row r="556" spans="5:15" ht="15">
      <c r="E556" s="171"/>
      <c r="F556" s="207" t="s">
        <v>417</v>
      </c>
      <c r="G556" s="129" t="e">
        <f aca="true" t="shared" si="93" ref="G556:N556">G359</f>
        <v>#REF!</v>
      </c>
      <c r="H556" s="129" t="e">
        <f t="shared" si="93"/>
        <v>#REF!</v>
      </c>
      <c r="I556" s="130" t="e">
        <f t="shared" si="93"/>
        <v>#REF!</v>
      </c>
      <c r="J556" s="160">
        <f>J359+J208</f>
        <v>6590.32</v>
      </c>
      <c r="K556" s="160">
        <f>K359+K208</f>
        <v>6364.7092999999995</v>
      </c>
      <c r="L556" s="160">
        <f>L359+L208</f>
        <v>12955.029300000002</v>
      </c>
      <c r="M556" s="130" t="e">
        <f t="shared" si="93"/>
        <v>#REF!</v>
      </c>
      <c r="N556" s="71" t="e">
        <f t="shared" si="93"/>
        <v>#REF!</v>
      </c>
      <c r="O556" s="20">
        <f t="shared" si="88"/>
        <v>12955.029299999998</v>
      </c>
    </row>
    <row r="557" spans="5:15" ht="15.75" thickBot="1">
      <c r="E557" s="171"/>
      <c r="F557" s="207" t="s">
        <v>418</v>
      </c>
      <c r="G557" s="129">
        <f aca="true" t="shared" si="94" ref="G557:N557">G372</f>
        <v>-786.5</v>
      </c>
      <c r="H557" s="129">
        <f t="shared" si="94"/>
        <v>0</v>
      </c>
      <c r="I557" s="129">
        <f t="shared" si="94"/>
        <v>0</v>
      </c>
      <c r="J557" s="160">
        <f>J372+J211</f>
        <v>500</v>
      </c>
      <c r="K557" s="160">
        <f>K372+K211</f>
        <v>40</v>
      </c>
      <c r="L557" s="160">
        <f>L372+L211</f>
        <v>540</v>
      </c>
      <c r="M557" s="129">
        <f t="shared" si="94"/>
        <v>0</v>
      </c>
      <c r="N557" s="71">
        <f t="shared" si="94"/>
        <v>100</v>
      </c>
      <c r="O557" s="20">
        <f t="shared" si="88"/>
        <v>540</v>
      </c>
    </row>
    <row r="558" spans="5:15" ht="15.75" hidden="1" thickBot="1">
      <c r="E558" s="171"/>
      <c r="F558" s="210" t="s">
        <v>419</v>
      </c>
      <c r="G558" s="133" t="e">
        <f>#REF!</f>
        <v>#REF!</v>
      </c>
      <c r="H558" s="133" t="e">
        <f>#REF!</f>
        <v>#REF!</v>
      </c>
      <c r="I558" s="133" t="e">
        <f>#REF!</f>
        <v>#REF!</v>
      </c>
      <c r="J558" s="162"/>
      <c r="K558" s="162"/>
      <c r="L558" s="162"/>
      <c r="M558" s="133" t="e">
        <f>#REF!</f>
        <v>#REF!</v>
      </c>
      <c r="N558" s="132" t="e">
        <f>#REF!</f>
        <v>#REF!</v>
      </c>
      <c r="O558" s="20">
        <f t="shared" si="88"/>
        <v>0</v>
      </c>
    </row>
    <row r="559" spans="5:15" ht="15.75" thickBot="1">
      <c r="E559" s="224">
        <f>SUM(J560:J564)</f>
        <v>223217.77036999998</v>
      </c>
      <c r="F559" s="142" t="s">
        <v>20</v>
      </c>
      <c r="G559" s="146" t="e">
        <f>#REF!+G25+#REF!+#REF!+G376</f>
        <v>#REF!</v>
      </c>
      <c r="H559" s="146" t="e">
        <f>#REF!+H25+#REF!+#REF!+H376</f>
        <v>#REF!</v>
      </c>
      <c r="I559" s="146" t="e">
        <f>#REF!+I25+#REF!+#REF!+I376</f>
        <v>#REF!</v>
      </c>
      <c r="J559" s="163">
        <f>J560+J561+J562+J563+J564</f>
        <v>223217.77036999998</v>
      </c>
      <c r="K559" s="163">
        <f>K560+K561+K562+K563+K564</f>
        <v>38687.35057</v>
      </c>
      <c r="L559" s="163">
        <f>L560+L561+L562+L563+L564</f>
        <v>261905.12094000005</v>
      </c>
      <c r="M559" s="140" t="e">
        <f>#REF!+M25+#REF!+#REF!+M376+M468</f>
        <v>#REF!</v>
      </c>
      <c r="N559" s="140" t="e">
        <f>#REF!+N25+#REF!+#REF!+N376+N468</f>
        <v>#REF!</v>
      </c>
      <c r="O559" s="20">
        <f t="shared" si="88"/>
        <v>261905.12094</v>
      </c>
    </row>
    <row r="560" spans="5:15" ht="15">
      <c r="E560" s="171"/>
      <c r="F560" s="206" t="s">
        <v>420</v>
      </c>
      <c r="G560" s="128">
        <f>G26</f>
        <v>-926.36</v>
      </c>
      <c r="H560" s="144">
        <f aca="true" t="shared" si="95" ref="H560:N560">H26+H377</f>
        <v>4401</v>
      </c>
      <c r="I560" s="144">
        <f t="shared" si="95"/>
        <v>0</v>
      </c>
      <c r="J560" s="159">
        <f t="shared" si="95"/>
        <v>451.78</v>
      </c>
      <c r="K560" s="159">
        <f t="shared" si="95"/>
        <v>7542.42</v>
      </c>
      <c r="L560" s="159">
        <f t="shared" si="95"/>
        <v>7994.2</v>
      </c>
      <c r="M560" s="144">
        <f t="shared" si="95"/>
        <v>870.6</v>
      </c>
      <c r="N560" s="144">
        <f t="shared" si="95"/>
        <v>3422.38</v>
      </c>
      <c r="O560" s="20">
        <f t="shared" si="88"/>
        <v>7994.2</v>
      </c>
    </row>
    <row r="561" spans="5:15" ht="15">
      <c r="E561" s="171"/>
      <c r="F561" s="207" t="s">
        <v>421</v>
      </c>
      <c r="G561" s="71" t="e">
        <f>G36+#REF!</f>
        <v>#REF!</v>
      </c>
      <c r="H561" s="71" t="e">
        <f>H36</f>
        <v>#REF!</v>
      </c>
      <c r="I561" s="71" t="e">
        <f>I36</f>
        <v>#REF!</v>
      </c>
      <c r="J561" s="160">
        <f>J36+J381</f>
        <v>214871.56837</v>
      </c>
      <c r="K561" s="160">
        <f>K36+K381</f>
        <v>28966.159570000003</v>
      </c>
      <c r="L561" s="160">
        <f>L36+L381</f>
        <v>243837.72794</v>
      </c>
      <c r="M561" s="71" t="e">
        <f>M36+M381</f>
        <v>#REF!</v>
      </c>
      <c r="N561" s="71" t="e">
        <f>N36+N381</f>
        <v>#REF!</v>
      </c>
      <c r="O561" s="20">
        <f t="shared" si="88"/>
        <v>243837.72794</v>
      </c>
    </row>
    <row r="562" spans="5:15" ht="15">
      <c r="E562" s="171"/>
      <c r="F562" s="207" t="s">
        <v>422</v>
      </c>
      <c r="G562" s="130" t="e">
        <f>#REF!+G88+#REF!+G403+#REF!</f>
        <v>#REF!</v>
      </c>
      <c r="H562" s="71" t="e">
        <f>#REF!+H88+#REF!+H403+#REF!</f>
        <v>#REF!</v>
      </c>
      <c r="I562" s="71" t="e">
        <f>#REF!+I88+#REF!+I403+#REF!</f>
        <v>#REF!</v>
      </c>
      <c r="J562" s="160">
        <f>J88+J403</f>
        <v>200</v>
      </c>
      <c r="K562" s="160">
        <f>K88+K403</f>
        <v>200</v>
      </c>
      <c r="L562" s="160">
        <f>L88+L403</f>
        <v>400</v>
      </c>
      <c r="M562" s="160" t="e">
        <f>M88+M403+#REF!</f>
        <v>#REF!</v>
      </c>
      <c r="N562" s="160" t="e">
        <f>N88+N403+#REF!</f>
        <v>#REF!</v>
      </c>
      <c r="O562" s="20">
        <f t="shared" si="88"/>
        <v>400</v>
      </c>
    </row>
    <row r="563" spans="5:17" ht="15">
      <c r="E563" s="171"/>
      <c r="F563" s="207" t="s">
        <v>423</v>
      </c>
      <c r="G563" s="129" t="e">
        <f>G93+#REF!</f>
        <v>#REF!</v>
      </c>
      <c r="H563" s="129" t="e">
        <f>H93+#REF!+#REF!</f>
        <v>#REF!</v>
      </c>
      <c r="I563" s="129" t="e">
        <f>I93+#REF!+#REF!</f>
        <v>#REF!</v>
      </c>
      <c r="J563" s="160">
        <f>J93+J469+J409</f>
        <v>455.44</v>
      </c>
      <c r="K563" s="160">
        <f>K93+K469+K409</f>
        <v>1798.7</v>
      </c>
      <c r="L563" s="160">
        <f>L93+L469+L409</f>
        <v>2254.1400000000003</v>
      </c>
      <c r="M563" s="71" t="e">
        <f>M93+#REF!+#REF!+M469+M409</f>
        <v>#REF!</v>
      </c>
      <c r="N563" s="71" t="e">
        <f>N93+#REF!+#REF!+N469+N409</f>
        <v>#REF!</v>
      </c>
      <c r="O563" s="20">
        <f t="shared" si="88"/>
        <v>2254.14</v>
      </c>
      <c r="Q563" s="172">
        <f>L563-O563</f>
        <v>0</v>
      </c>
    </row>
    <row r="564" spans="5:15" ht="15.75" thickBot="1">
      <c r="E564" s="171"/>
      <c r="F564" s="210" t="s">
        <v>424</v>
      </c>
      <c r="G564" s="133" t="e">
        <f aca="true" t="shared" si="96" ref="G564:N564">G102</f>
        <v>#REF!</v>
      </c>
      <c r="H564" s="133" t="e">
        <f t="shared" si="96"/>
        <v>#REF!</v>
      </c>
      <c r="I564" s="133" t="e">
        <f t="shared" si="96"/>
        <v>#REF!</v>
      </c>
      <c r="J564" s="162">
        <f t="shared" si="96"/>
        <v>7238.982</v>
      </c>
      <c r="K564" s="162">
        <f t="shared" si="96"/>
        <v>180.071</v>
      </c>
      <c r="L564" s="162">
        <f>L102</f>
        <v>7419.053</v>
      </c>
      <c r="M564" s="133" t="e">
        <f t="shared" si="96"/>
        <v>#REF!</v>
      </c>
      <c r="N564" s="132" t="e">
        <f t="shared" si="96"/>
        <v>#REF!</v>
      </c>
      <c r="O564" s="20">
        <f t="shared" si="88"/>
        <v>7419.053</v>
      </c>
    </row>
    <row r="565" spans="5:15" ht="15.75" thickBot="1">
      <c r="E565" s="225">
        <f>SUM(J566:J569)</f>
        <v>8032.277</v>
      </c>
      <c r="F565" s="142" t="s">
        <v>40</v>
      </c>
      <c r="G565" s="139" t="e">
        <f>G413+G477</f>
        <v>#REF!</v>
      </c>
      <c r="H565" s="139" t="e">
        <f>H413+H477</f>
        <v>#REF!</v>
      </c>
      <c r="I565" s="139" t="e">
        <f>I413+I477</f>
        <v>#REF!</v>
      </c>
      <c r="J565" s="163">
        <f>J566+J567+J569+J568</f>
        <v>8032.277</v>
      </c>
      <c r="K565" s="163">
        <f>K566+K567+K569+K568</f>
        <v>813.76</v>
      </c>
      <c r="L565" s="163">
        <f>L566+L567+L569+L568</f>
        <v>8846.037</v>
      </c>
      <c r="M565" s="139" t="e">
        <f>M413+M477</f>
        <v>#REF!</v>
      </c>
      <c r="N565" s="140" t="e">
        <f>N413+N477</f>
        <v>#REF!</v>
      </c>
      <c r="O565" s="20">
        <f t="shared" si="88"/>
        <v>8846.037</v>
      </c>
    </row>
    <row r="566" spans="5:15" ht="15">
      <c r="E566" s="171"/>
      <c r="F566" s="206" t="s">
        <v>425</v>
      </c>
      <c r="G566" s="128">
        <f>G478</f>
        <v>137.57999999999998</v>
      </c>
      <c r="H566" s="128">
        <f>H478</f>
        <v>3820.25</v>
      </c>
      <c r="I566" s="138">
        <f>I478</f>
        <v>0</v>
      </c>
      <c r="J566" s="159">
        <f>J478+J414+J215</f>
        <v>5194.456</v>
      </c>
      <c r="K566" s="159">
        <f>K478+K414+K215</f>
        <v>813.76</v>
      </c>
      <c r="L566" s="159">
        <f>L478+L414+L215</f>
        <v>6008.216</v>
      </c>
      <c r="M566" s="138" t="e">
        <f>M478+M414</f>
        <v>#REF!</v>
      </c>
      <c r="N566" s="138" t="e">
        <f>N478+N414</f>
        <v>#REF!</v>
      </c>
      <c r="O566" s="20">
        <f t="shared" si="88"/>
        <v>6008.216</v>
      </c>
    </row>
    <row r="567" spans="5:15" ht="15" hidden="1">
      <c r="E567" s="171"/>
      <c r="F567" s="208" t="s">
        <v>426</v>
      </c>
      <c r="G567" s="209" t="e">
        <f>#REF!</f>
        <v>#REF!</v>
      </c>
      <c r="H567" s="131" t="e">
        <f>#REF!</f>
        <v>#REF!</v>
      </c>
      <c r="I567" s="131" t="e">
        <f>#REF!</f>
        <v>#REF!</v>
      </c>
      <c r="J567" s="161"/>
      <c r="K567" s="161"/>
      <c r="L567" s="161"/>
      <c r="M567" s="71" t="e">
        <f>#REF!</f>
        <v>#REF!</v>
      </c>
      <c r="N567" s="71" t="e">
        <f>#REF!</f>
        <v>#REF!</v>
      </c>
      <c r="O567" s="20">
        <f t="shared" si="88"/>
        <v>0</v>
      </c>
    </row>
    <row r="568" spans="5:15" ht="15.75" thickBot="1">
      <c r="E568" s="171"/>
      <c r="F568" s="217" t="s">
        <v>426</v>
      </c>
      <c r="G568" s="218"/>
      <c r="H568" s="145"/>
      <c r="I568" s="145"/>
      <c r="J568" s="166">
        <f>J502+J417</f>
        <v>2837.821</v>
      </c>
      <c r="K568" s="166">
        <f>K502+K417</f>
        <v>0</v>
      </c>
      <c r="L568" s="166">
        <f>L502+L417</f>
        <v>2837.821</v>
      </c>
      <c r="M568" s="132"/>
      <c r="N568" s="132"/>
      <c r="O568" s="20">
        <f t="shared" si="88"/>
        <v>2837.821</v>
      </c>
    </row>
    <row r="569" spans="5:15" ht="15.75" hidden="1" thickBot="1">
      <c r="E569" s="171"/>
      <c r="F569" s="210" t="s">
        <v>427</v>
      </c>
      <c r="G569" s="133" t="e">
        <f>#REF!+#REF!</f>
        <v>#REF!</v>
      </c>
      <c r="H569" s="132" t="e">
        <f>#REF!+#REF!</f>
        <v>#REF!</v>
      </c>
      <c r="I569" s="132" t="e">
        <f>#REF!+#REF!</f>
        <v>#REF!</v>
      </c>
      <c r="J569" s="162"/>
      <c r="K569" s="162"/>
      <c r="L569" s="162"/>
      <c r="M569" s="132" t="e">
        <f>#REF!+#REF!</f>
        <v>#REF!</v>
      </c>
      <c r="N569" s="132" t="e">
        <f>#REF!+#REF!</f>
        <v>#REF!</v>
      </c>
      <c r="O569" s="20">
        <f t="shared" si="88"/>
        <v>0</v>
      </c>
    </row>
    <row r="570" spans="5:15" ht="15.75" thickBot="1">
      <c r="E570" s="171" t="e">
        <f>SUM(H571:H576)</f>
        <v>#REF!</v>
      </c>
      <c r="F570" s="142" t="s">
        <v>34</v>
      </c>
      <c r="G570" s="139" t="e">
        <f>#REF!+#REF!</f>
        <v>#REF!</v>
      </c>
      <c r="H570" s="146" t="e">
        <f>#REF!+#REF!+#REF!</f>
        <v>#REF!</v>
      </c>
      <c r="I570" s="146" t="e">
        <f>#REF!+#REF!+#REF!</f>
        <v>#REF!</v>
      </c>
      <c r="J570" s="163">
        <f>J571+J572+J573+J574+J575+J576</f>
        <v>390</v>
      </c>
      <c r="K570" s="163">
        <f>K571+K572+K573+K574+K575+K576</f>
        <v>900</v>
      </c>
      <c r="L570" s="163">
        <f>L571+L572+L573+L574+L575+L576</f>
        <v>1290</v>
      </c>
      <c r="M570" s="146" t="e">
        <f>#REF!+#REF!+#REF!</f>
        <v>#REF!</v>
      </c>
      <c r="N570" s="140" t="e">
        <f>#REF!+#REF!+#REF!</f>
        <v>#REF!</v>
      </c>
      <c r="O570" s="20">
        <f t="shared" si="88"/>
        <v>1290</v>
      </c>
    </row>
    <row r="571" spans="5:15" ht="15" hidden="1">
      <c r="E571" s="171"/>
      <c r="F571" s="206" t="s">
        <v>428</v>
      </c>
      <c r="G571" s="128" t="e">
        <f>#REF!</f>
        <v>#REF!</v>
      </c>
      <c r="H571" s="128" t="e">
        <f>#REF!</f>
        <v>#REF!</v>
      </c>
      <c r="I571" s="128" t="e">
        <f>#REF!</f>
        <v>#REF!</v>
      </c>
      <c r="J571" s="159"/>
      <c r="K571" s="159"/>
      <c r="L571" s="159"/>
      <c r="M571" s="138" t="e">
        <f>#REF!+#REF!</f>
        <v>#REF!</v>
      </c>
      <c r="N571" s="138" t="e">
        <f>#REF!+#REF!</f>
        <v>#REF!</v>
      </c>
      <c r="O571" s="20">
        <f t="shared" si="88"/>
        <v>0</v>
      </c>
    </row>
    <row r="572" spans="5:15" ht="15" hidden="1">
      <c r="E572" s="171"/>
      <c r="F572" s="207" t="s">
        <v>429</v>
      </c>
      <c r="G572" s="129" t="e">
        <f>#REF!+#REF!</f>
        <v>#REF!</v>
      </c>
      <c r="H572" s="129" t="e">
        <f>#REF!+#REF!</f>
        <v>#REF!</v>
      </c>
      <c r="I572" s="129" t="e">
        <f>#REF!+#REF!</f>
        <v>#REF!</v>
      </c>
      <c r="J572" s="160"/>
      <c r="K572" s="160"/>
      <c r="L572" s="160"/>
      <c r="M572" s="160" t="e">
        <f>#REF!</f>
        <v>#REF!</v>
      </c>
      <c r="N572" s="160" t="e">
        <f>#REF!</f>
        <v>#REF!</v>
      </c>
      <c r="O572" s="20">
        <f t="shared" si="88"/>
        <v>0</v>
      </c>
    </row>
    <row r="573" spans="5:15" ht="15" hidden="1">
      <c r="E573" s="171"/>
      <c r="F573" s="207" t="s">
        <v>430</v>
      </c>
      <c r="G573" s="129" t="e">
        <f>#REF!</f>
        <v>#REF!</v>
      </c>
      <c r="H573" s="129" t="e">
        <f>#REF!</f>
        <v>#REF!</v>
      </c>
      <c r="I573" s="129" t="e">
        <f>#REF!</f>
        <v>#REF!</v>
      </c>
      <c r="J573" s="160"/>
      <c r="K573" s="160"/>
      <c r="L573" s="160"/>
      <c r="M573" s="129" t="e">
        <f>#REF!</f>
        <v>#REF!</v>
      </c>
      <c r="N573" s="71" t="e">
        <f>#REF!</f>
        <v>#REF!</v>
      </c>
      <c r="O573" s="20">
        <f t="shared" si="88"/>
        <v>0</v>
      </c>
    </row>
    <row r="574" spans="3:15" ht="15" hidden="1">
      <c r="C574" s="20" t="s">
        <v>431</v>
      </c>
      <c r="E574" s="171"/>
      <c r="F574" s="208" t="s">
        <v>432</v>
      </c>
      <c r="G574" s="209" t="e">
        <f>#REF!</f>
        <v>#REF!</v>
      </c>
      <c r="H574" s="209" t="e">
        <f>#REF!+#REF!</f>
        <v>#REF!</v>
      </c>
      <c r="I574" s="209" t="e">
        <f>#REF!+#REF!</f>
        <v>#REF!</v>
      </c>
      <c r="J574" s="161"/>
      <c r="K574" s="161"/>
      <c r="L574" s="161"/>
      <c r="M574" s="129" t="e">
        <f>#REF!+#REF!</f>
        <v>#REF!</v>
      </c>
      <c r="N574" s="71" t="e">
        <f>#REF!+#REF!</f>
        <v>#REF!</v>
      </c>
      <c r="O574" s="20">
        <f t="shared" si="88"/>
        <v>0</v>
      </c>
    </row>
    <row r="575" spans="5:15" ht="15.75" thickBot="1">
      <c r="E575" s="171"/>
      <c r="F575" s="217" t="s">
        <v>433</v>
      </c>
      <c r="G575" s="218"/>
      <c r="H575" s="218"/>
      <c r="I575" s="218"/>
      <c r="J575" s="166">
        <f>J423</f>
        <v>390</v>
      </c>
      <c r="K575" s="166">
        <f>K423</f>
        <v>900</v>
      </c>
      <c r="L575" s="166">
        <f>L423</f>
        <v>1290</v>
      </c>
      <c r="M575" s="166">
        <f>M423</f>
        <v>0</v>
      </c>
      <c r="N575" s="166">
        <f>N423</f>
        <v>0</v>
      </c>
      <c r="O575" s="20">
        <f t="shared" si="88"/>
        <v>1290</v>
      </c>
    </row>
    <row r="576" spans="5:15" ht="15.75" hidden="1" thickBot="1">
      <c r="E576" s="171"/>
      <c r="F576" s="210" t="s">
        <v>434</v>
      </c>
      <c r="G576" s="133">
        <f aca="true" t="shared" si="97" ref="G576:N576">G10</f>
        <v>0</v>
      </c>
      <c r="H576" s="133">
        <f t="shared" si="97"/>
        <v>1049.66</v>
      </c>
      <c r="I576" s="133">
        <f t="shared" si="97"/>
        <v>0</v>
      </c>
      <c r="J576" s="162">
        <f t="shared" si="97"/>
        <v>0</v>
      </c>
      <c r="K576" s="162">
        <f t="shared" si="97"/>
        <v>0</v>
      </c>
      <c r="L576" s="162">
        <f>L10</f>
        <v>0</v>
      </c>
      <c r="M576" s="133">
        <f t="shared" si="97"/>
        <v>33</v>
      </c>
      <c r="N576" s="132">
        <f t="shared" si="97"/>
        <v>33</v>
      </c>
      <c r="O576" s="20">
        <f t="shared" si="88"/>
        <v>0</v>
      </c>
    </row>
    <row r="577" spans="5:15" ht="15.75" thickBot="1">
      <c r="E577" s="171" t="e">
        <f>SUM(H578:H582)</f>
        <v>#REF!</v>
      </c>
      <c r="F577" s="142" t="s">
        <v>67</v>
      </c>
      <c r="G577" s="139" t="e">
        <f>G123+#REF!+#REF!</f>
        <v>#REF!</v>
      </c>
      <c r="H577" s="140" t="e">
        <f>H123+#REF!+#REF!</f>
        <v>#REF!</v>
      </c>
      <c r="I577" s="140" t="e">
        <f>I123+#REF!+#REF!</f>
        <v>#REF!</v>
      </c>
      <c r="J577" s="163">
        <f>J578+J579+J580+J581+J582</f>
        <v>22539.980000000003</v>
      </c>
      <c r="K577" s="163">
        <f>K578+K579+K580+K581+K582</f>
        <v>3645.44</v>
      </c>
      <c r="L577" s="163">
        <f>L578+L579+L580+L581+L582</f>
        <v>26185.420000000002</v>
      </c>
      <c r="M577" s="140" t="e">
        <f>M123+#REF!+#REF!</f>
        <v>#REF!</v>
      </c>
      <c r="N577" s="140" t="e">
        <f>N123+#REF!+#REF!</f>
        <v>#REF!</v>
      </c>
      <c r="O577" s="20">
        <f t="shared" si="88"/>
        <v>26185.420000000002</v>
      </c>
    </row>
    <row r="578" spans="5:15" ht="15">
      <c r="E578" s="171"/>
      <c r="F578" s="206" t="s">
        <v>435</v>
      </c>
      <c r="G578" s="128" t="e">
        <f>#REF!</f>
        <v>#REF!</v>
      </c>
      <c r="H578" s="128" t="e">
        <f>#REF!</f>
        <v>#REF!</v>
      </c>
      <c r="I578" s="128" t="e">
        <f>#REF!</f>
        <v>#REF!</v>
      </c>
      <c r="J578" s="159">
        <f>J429</f>
        <v>45</v>
      </c>
      <c r="K578" s="159">
        <f>K429</f>
        <v>0</v>
      </c>
      <c r="L578" s="159">
        <f>L429</f>
        <v>45</v>
      </c>
      <c r="M578" s="159">
        <f>M429</f>
        <v>0</v>
      </c>
      <c r="N578" s="159">
        <f>N429</f>
        <v>0</v>
      </c>
      <c r="O578" s="20">
        <f t="shared" si="88"/>
        <v>45</v>
      </c>
    </row>
    <row r="579" spans="5:15" ht="15">
      <c r="E579" s="171"/>
      <c r="F579" s="207" t="s">
        <v>436</v>
      </c>
      <c r="G579" s="129" t="e">
        <f>#REF!</f>
        <v>#REF!</v>
      </c>
      <c r="H579" s="129" t="e">
        <f>#REF!</f>
        <v>#REF!</v>
      </c>
      <c r="I579" s="129" t="e">
        <f>#REF!</f>
        <v>#REF!</v>
      </c>
      <c r="J579" s="160">
        <f>J432</f>
        <v>156.24</v>
      </c>
      <c r="K579" s="160">
        <f>K432</f>
        <v>150.3</v>
      </c>
      <c r="L579" s="160">
        <f>L432</f>
        <v>306.54</v>
      </c>
      <c r="M579" s="160">
        <f>M432</f>
        <v>0</v>
      </c>
      <c r="N579" s="160">
        <f>N432</f>
        <v>0</v>
      </c>
      <c r="O579" s="20">
        <f t="shared" si="88"/>
        <v>306.54</v>
      </c>
    </row>
    <row r="580" spans="5:15" ht="15">
      <c r="E580" s="171"/>
      <c r="F580" s="207" t="s">
        <v>437</v>
      </c>
      <c r="G580" s="129" t="e">
        <f>#REF!+#REF!+G124</f>
        <v>#REF!</v>
      </c>
      <c r="H580" s="129" t="e">
        <f>#REF!+#REF!+H124</f>
        <v>#REF!</v>
      </c>
      <c r="I580" s="129" t="e">
        <f>#REF!+#REF!+I124</f>
        <v>#REF!</v>
      </c>
      <c r="J580" s="160">
        <f>J124+J438</f>
        <v>4014.6800000000003</v>
      </c>
      <c r="K580" s="160">
        <f>K124+K438</f>
        <v>3647.5</v>
      </c>
      <c r="L580" s="160">
        <f>L124+L438</f>
        <v>7662.18</v>
      </c>
      <c r="M580" s="160" t="e">
        <f>M124+M438</f>
        <v>#REF!</v>
      </c>
      <c r="N580" s="160" t="e">
        <f>N124+N438</f>
        <v>#REF!</v>
      </c>
      <c r="O580" s="20">
        <f t="shared" si="88"/>
        <v>7662.18</v>
      </c>
    </row>
    <row r="581" spans="5:15" ht="15">
      <c r="E581" s="171"/>
      <c r="F581" s="210" t="s">
        <v>438</v>
      </c>
      <c r="G581" s="133" t="e">
        <f aca="true" t="shared" si="98" ref="G581:N581">G127</f>
        <v>#REF!</v>
      </c>
      <c r="H581" s="133" t="e">
        <f t="shared" si="98"/>
        <v>#REF!</v>
      </c>
      <c r="I581" s="133" t="e">
        <f t="shared" si="98"/>
        <v>#REF!</v>
      </c>
      <c r="J581" s="162">
        <f t="shared" si="98"/>
        <v>17830.7</v>
      </c>
      <c r="K581" s="162">
        <f t="shared" si="98"/>
        <v>0</v>
      </c>
      <c r="L581" s="162">
        <f>L127</f>
        <v>17830.7</v>
      </c>
      <c r="M581" s="162" t="e">
        <f t="shared" si="98"/>
        <v>#REF!</v>
      </c>
      <c r="N581" s="162" t="e">
        <f t="shared" si="98"/>
        <v>#REF!</v>
      </c>
      <c r="O581" s="20">
        <f t="shared" si="88"/>
        <v>17830.7</v>
      </c>
    </row>
    <row r="582" spans="5:15" ht="15.75" thickBot="1">
      <c r="E582" s="171"/>
      <c r="F582" s="210" t="s">
        <v>439</v>
      </c>
      <c r="G582" s="133" t="e">
        <f>#REF!</f>
        <v>#REF!</v>
      </c>
      <c r="H582" s="133" t="e">
        <f>#REF!</f>
        <v>#REF!</v>
      </c>
      <c r="I582" s="133" t="e">
        <f>#REF!</f>
        <v>#REF!</v>
      </c>
      <c r="J582" s="162">
        <f>J449+J511</f>
        <v>493.36</v>
      </c>
      <c r="K582" s="162">
        <f>K449+K511</f>
        <v>-152.36</v>
      </c>
      <c r="L582" s="162">
        <f>L449+L511</f>
        <v>341</v>
      </c>
      <c r="M582" s="162">
        <f>M449+M511</f>
        <v>0</v>
      </c>
      <c r="N582" s="162">
        <f>N449+N511</f>
        <v>0</v>
      </c>
      <c r="O582" s="20">
        <f t="shared" si="88"/>
        <v>341</v>
      </c>
    </row>
    <row r="583" spans="5:15" ht="15.75" hidden="1" thickBot="1">
      <c r="E583" s="171" t="e">
        <f>SUM(H584:H587)</f>
        <v>#REF!</v>
      </c>
      <c r="F583" s="142" t="s">
        <v>22</v>
      </c>
      <c r="G583" s="139" t="e">
        <f>#REF!</f>
        <v>#REF!</v>
      </c>
      <c r="H583" s="139" t="e">
        <f>#REF!</f>
        <v>#REF!</v>
      </c>
      <c r="I583" s="139" t="e">
        <f>#REF!</f>
        <v>#REF!</v>
      </c>
      <c r="J583" s="163">
        <f>J584+J585+J586+J587</f>
        <v>0</v>
      </c>
      <c r="K583" s="163">
        <f>K584+K585+K586+K587</f>
        <v>0</v>
      </c>
      <c r="L583" s="163">
        <f>L584+L585+L586+L587</f>
        <v>0</v>
      </c>
      <c r="M583" s="139" t="e">
        <f>#REF!</f>
        <v>#REF!</v>
      </c>
      <c r="N583" s="140" t="e">
        <f>#REF!</f>
        <v>#REF!</v>
      </c>
      <c r="O583" s="20">
        <f t="shared" si="88"/>
        <v>0</v>
      </c>
    </row>
    <row r="584" spans="5:15" ht="15" hidden="1">
      <c r="E584" s="171"/>
      <c r="F584" s="206" t="s">
        <v>440</v>
      </c>
      <c r="G584" s="128" t="e">
        <f>#REF!</f>
        <v>#REF!</v>
      </c>
      <c r="H584" s="128" t="e">
        <f>#REF!</f>
        <v>#REF!</v>
      </c>
      <c r="I584" s="128" t="e">
        <f>#REF!</f>
        <v>#REF!</v>
      </c>
      <c r="J584" s="159"/>
      <c r="K584" s="159"/>
      <c r="L584" s="159"/>
      <c r="M584" s="128" t="e">
        <f>#REF!</f>
        <v>#REF!</v>
      </c>
      <c r="N584" s="138" t="e">
        <f>#REF!</f>
        <v>#REF!</v>
      </c>
      <c r="O584" s="20">
        <f t="shared" si="88"/>
        <v>0</v>
      </c>
    </row>
    <row r="585" spans="5:15" ht="15" hidden="1">
      <c r="E585" s="171"/>
      <c r="F585" s="207" t="s">
        <v>441</v>
      </c>
      <c r="G585" s="129" t="e">
        <f>#REF!</f>
        <v>#REF!</v>
      </c>
      <c r="H585" s="129" t="e">
        <f>#REF!</f>
        <v>#REF!</v>
      </c>
      <c r="I585" s="129" t="e">
        <f>#REF!</f>
        <v>#REF!</v>
      </c>
      <c r="J585" s="160"/>
      <c r="K585" s="160"/>
      <c r="L585" s="160"/>
      <c r="M585" s="129" t="e">
        <f>#REF!</f>
        <v>#REF!</v>
      </c>
      <c r="N585" s="71" t="e">
        <f>#REF!</f>
        <v>#REF!</v>
      </c>
      <c r="O585" s="20">
        <f t="shared" si="88"/>
        <v>0</v>
      </c>
    </row>
    <row r="586" spans="5:15" ht="15" hidden="1">
      <c r="E586" s="171"/>
      <c r="F586" s="207" t="s">
        <v>442</v>
      </c>
      <c r="G586" s="129" t="e">
        <f>#REF!</f>
        <v>#REF!</v>
      </c>
      <c r="H586" s="129" t="e">
        <f>#REF!</f>
        <v>#REF!</v>
      </c>
      <c r="I586" s="129" t="e">
        <f>#REF!</f>
        <v>#REF!</v>
      </c>
      <c r="J586" s="160"/>
      <c r="K586" s="160"/>
      <c r="L586" s="160"/>
      <c r="M586" s="129" t="e">
        <f>#REF!</f>
        <v>#REF!</v>
      </c>
      <c r="N586" s="71" t="e">
        <f>#REF!</f>
        <v>#REF!</v>
      </c>
      <c r="O586" s="20">
        <f t="shared" si="88"/>
        <v>0</v>
      </c>
    </row>
    <row r="587" spans="5:15" ht="15.75" hidden="1" thickBot="1">
      <c r="E587" s="171"/>
      <c r="F587" s="137">
        <v>1104</v>
      </c>
      <c r="G587" s="137" t="e">
        <f>G224</f>
        <v>#REF!</v>
      </c>
      <c r="H587" s="137" t="e">
        <f>H224</f>
        <v>#REF!</v>
      </c>
      <c r="I587" s="137" t="e">
        <f>I224</f>
        <v>#REF!</v>
      </c>
      <c r="J587" s="165"/>
      <c r="K587" s="165"/>
      <c r="L587" s="165"/>
      <c r="M587" s="137" t="e">
        <f>M224</f>
        <v>#REF!</v>
      </c>
      <c r="N587" s="136" t="e">
        <f>N224</f>
        <v>#REF!</v>
      </c>
      <c r="O587" s="20">
        <f t="shared" si="88"/>
        <v>0</v>
      </c>
    </row>
    <row r="588" spans="5:15" ht="15.75" thickBot="1">
      <c r="E588" s="171"/>
      <c r="F588" s="219">
        <v>11</v>
      </c>
      <c r="G588" s="139"/>
      <c r="H588" s="139"/>
      <c r="I588" s="139"/>
      <c r="J588" s="163">
        <f>J589</f>
        <v>1319.6</v>
      </c>
      <c r="K588" s="163">
        <f>K589</f>
        <v>180</v>
      </c>
      <c r="L588" s="164">
        <f>L589</f>
        <v>1499.6</v>
      </c>
      <c r="M588" s="135"/>
      <c r="N588" s="136"/>
      <c r="O588" s="20">
        <f t="shared" si="88"/>
        <v>1499.6</v>
      </c>
    </row>
    <row r="589" spans="5:15" ht="15.75" thickBot="1">
      <c r="E589" s="171"/>
      <c r="F589" s="137">
        <v>1101</v>
      </c>
      <c r="G589" s="137"/>
      <c r="H589" s="137"/>
      <c r="I589" s="137"/>
      <c r="J589" s="165">
        <f>J518+J219</f>
        <v>1319.6</v>
      </c>
      <c r="K589" s="165">
        <f>K518+K219</f>
        <v>180</v>
      </c>
      <c r="L589" s="165">
        <f>L518+L219</f>
        <v>1499.6</v>
      </c>
      <c r="M589" s="135"/>
      <c r="N589" s="136"/>
      <c r="O589" s="20">
        <f t="shared" si="88"/>
        <v>1499.6</v>
      </c>
    </row>
    <row r="590" spans="5:15" ht="15.75" thickBot="1">
      <c r="E590" s="171"/>
      <c r="F590" s="220">
        <v>12</v>
      </c>
      <c r="G590" s="139"/>
      <c r="H590" s="139"/>
      <c r="I590" s="139"/>
      <c r="J590" s="163">
        <f>J591+J592+J593+J594</f>
        <v>903.6</v>
      </c>
      <c r="K590" s="163">
        <f>K591+K592+K593+K594</f>
        <v>0</v>
      </c>
      <c r="L590" s="164">
        <f>L591+L592+L593+L594</f>
        <v>903.6</v>
      </c>
      <c r="M590" s="135"/>
      <c r="N590" s="136"/>
      <c r="O590" s="20">
        <f t="shared" si="88"/>
        <v>903.6</v>
      </c>
    </row>
    <row r="591" spans="5:15" ht="15" hidden="1">
      <c r="E591" s="171"/>
      <c r="F591" s="128">
        <v>1201</v>
      </c>
      <c r="G591" s="128"/>
      <c r="H591" s="128"/>
      <c r="I591" s="128"/>
      <c r="J591" s="159"/>
      <c r="K591" s="159"/>
      <c r="L591" s="159"/>
      <c r="M591" s="137"/>
      <c r="N591" s="136"/>
      <c r="O591" s="20">
        <f t="shared" si="88"/>
        <v>0</v>
      </c>
    </row>
    <row r="592" spans="5:15" ht="15.75" thickBot="1">
      <c r="E592" s="171"/>
      <c r="F592" s="129">
        <v>1202</v>
      </c>
      <c r="G592" s="129"/>
      <c r="H592" s="129"/>
      <c r="I592" s="129"/>
      <c r="J592" s="160">
        <f>J456</f>
        <v>903.6</v>
      </c>
      <c r="K592" s="160">
        <f>K456</f>
        <v>0</v>
      </c>
      <c r="L592" s="160">
        <f>L456</f>
        <v>903.6</v>
      </c>
      <c r="M592" s="137"/>
      <c r="N592" s="136"/>
      <c r="O592" s="20">
        <f t="shared" si="88"/>
        <v>903.6</v>
      </c>
    </row>
    <row r="593" spans="5:15" ht="15" hidden="1">
      <c r="E593" s="171"/>
      <c r="F593" s="129">
        <v>1203</v>
      </c>
      <c r="G593" s="129"/>
      <c r="H593" s="129"/>
      <c r="I593" s="129"/>
      <c r="J593" s="160"/>
      <c r="K593" s="160"/>
      <c r="L593" s="160"/>
      <c r="M593" s="137"/>
      <c r="N593" s="136"/>
      <c r="O593" s="20">
        <f t="shared" si="88"/>
        <v>0</v>
      </c>
    </row>
    <row r="594" spans="5:15" ht="15.75" hidden="1" thickBot="1">
      <c r="E594" s="171"/>
      <c r="F594" s="133">
        <v>1204</v>
      </c>
      <c r="G594" s="133"/>
      <c r="H594" s="133"/>
      <c r="I594" s="133"/>
      <c r="J594" s="162"/>
      <c r="K594" s="162"/>
      <c r="L594" s="162"/>
      <c r="M594" s="137"/>
      <c r="N594" s="136"/>
      <c r="O594" s="20">
        <f t="shared" si="88"/>
        <v>0</v>
      </c>
    </row>
    <row r="595" spans="5:15" ht="15.75" thickBot="1">
      <c r="E595" s="171"/>
      <c r="F595" s="220">
        <v>13</v>
      </c>
      <c r="G595" s="139"/>
      <c r="H595" s="139"/>
      <c r="I595" s="139"/>
      <c r="J595" s="163">
        <f>J596+J597</f>
        <v>142.2</v>
      </c>
      <c r="K595" s="163">
        <f>K596+K597</f>
        <v>136.9</v>
      </c>
      <c r="L595" s="163">
        <f>L596+L597</f>
        <v>279.1</v>
      </c>
      <c r="M595" s="135"/>
      <c r="N595" s="136"/>
      <c r="O595" s="20">
        <f t="shared" si="88"/>
        <v>279.1</v>
      </c>
    </row>
    <row r="596" spans="5:15" ht="15.75" thickBot="1">
      <c r="E596" s="171"/>
      <c r="F596" s="128">
        <v>1301</v>
      </c>
      <c r="G596" s="128"/>
      <c r="H596" s="128"/>
      <c r="I596" s="128"/>
      <c r="J596" s="159">
        <f>J224</f>
        <v>142.2</v>
      </c>
      <c r="K596" s="159">
        <f>K224</f>
        <v>136.9</v>
      </c>
      <c r="L596" s="159">
        <f>L224</f>
        <v>279.1</v>
      </c>
      <c r="M596" s="137"/>
      <c r="N596" s="136"/>
      <c r="O596" s="20">
        <f t="shared" si="88"/>
        <v>279.1</v>
      </c>
    </row>
    <row r="597" spans="5:15" ht="15.75" hidden="1" thickBot="1">
      <c r="E597" s="171"/>
      <c r="F597" s="133">
        <v>1302</v>
      </c>
      <c r="G597" s="133"/>
      <c r="H597" s="133"/>
      <c r="I597" s="133"/>
      <c r="J597" s="162"/>
      <c r="K597" s="162"/>
      <c r="L597" s="162"/>
      <c r="M597" s="137"/>
      <c r="N597" s="136"/>
      <c r="O597" s="20">
        <f t="shared" si="88"/>
        <v>0</v>
      </c>
    </row>
    <row r="598" spans="5:15" ht="15.75" thickBot="1">
      <c r="E598" s="171"/>
      <c r="F598" s="220">
        <v>14</v>
      </c>
      <c r="G598" s="139"/>
      <c r="H598" s="139"/>
      <c r="I598" s="139"/>
      <c r="J598" s="163">
        <f>J599+J600+J601</f>
        <v>35602.1</v>
      </c>
      <c r="K598" s="163">
        <f>K599+K600+K601</f>
        <v>1127.9</v>
      </c>
      <c r="L598" s="163">
        <f>L599+L600+L601</f>
        <v>36730</v>
      </c>
      <c r="M598" s="135"/>
      <c r="N598" s="136"/>
      <c r="O598" s="20">
        <f aca="true" t="shared" si="99" ref="O598:O603">J598+K598</f>
        <v>36730</v>
      </c>
    </row>
    <row r="599" spans="5:15" ht="15">
      <c r="E599" s="171"/>
      <c r="F599" s="128">
        <v>1401</v>
      </c>
      <c r="G599" s="128"/>
      <c r="H599" s="128"/>
      <c r="I599" s="128"/>
      <c r="J599" s="159">
        <f>J229</f>
        <v>30877.1</v>
      </c>
      <c r="K599" s="159">
        <f>K229</f>
        <v>0</v>
      </c>
      <c r="L599" s="159">
        <f>L229</f>
        <v>30877.1</v>
      </c>
      <c r="M599" s="137"/>
      <c r="N599" s="136"/>
      <c r="O599" s="20">
        <f t="shared" si="99"/>
        <v>30877.1</v>
      </c>
    </row>
    <row r="600" spans="5:15" ht="15" hidden="1">
      <c r="E600" s="171"/>
      <c r="F600" s="129">
        <v>1402</v>
      </c>
      <c r="G600" s="129"/>
      <c r="H600" s="129"/>
      <c r="I600" s="129"/>
      <c r="J600" s="160"/>
      <c r="K600" s="160"/>
      <c r="L600" s="160"/>
      <c r="M600" s="137"/>
      <c r="N600" s="136"/>
      <c r="O600" s="20">
        <f t="shared" si="99"/>
        <v>0</v>
      </c>
    </row>
    <row r="601" spans="5:15" ht="15">
      <c r="E601" s="171"/>
      <c r="F601" s="133">
        <v>1403</v>
      </c>
      <c r="G601" s="133"/>
      <c r="H601" s="133"/>
      <c r="I601" s="133"/>
      <c r="J601" s="162">
        <f>J237</f>
        <v>4725</v>
      </c>
      <c r="K601" s="162">
        <f>K237</f>
        <v>1127.9</v>
      </c>
      <c r="L601" s="162">
        <f>L237</f>
        <v>5852.9</v>
      </c>
      <c r="M601" s="137"/>
      <c r="N601" s="136"/>
      <c r="O601" s="20">
        <f t="shared" si="99"/>
        <v>5852.9</v>
      </c>
    </row>
    <row r="602" spans="5:15" ht="15">
      <c r="E602" s="171"/>
      <c r="F602" s="129">
        <v>9999</v>
      </c>
      <c r="G602" s="129"/>
      <c r="H602" s="129"/>
      <c r="I602" s="129"/>
      <c r="J602" s="160"/>
      <c r="K602" s="160"/>
      <c r="L602" s="160"/>
      <c r="M602" s="129"/>
      <c r="N602" s="71"/>
      <c r="O602" s="20">
        <f t="shared" si="99"/>
        <v>0</v>
      </c>
    </row>
    <row r="603" spans="5:15" ht="15.75" thickBot="1">
      <c r="E603" s="171"/>
      <c r="F603" s="221" t="s">
        <v>443</v>
      </c>
      <c r="G603" s="222" t="e">
        <f>G531+G545+G549+G554+G559+G565+G570+G577+G583</f>
        <v>#REF!</v>
      </c>
      <c r="H603" s="222" t="e">
        <f>H531+H545+H549+H554+H559+H565+H570+H577+H583</f>
        <v>#REF!</v>
      </c>
      <c r="I603" s="222" t="e">
        <f>I531+I545+I549+I554+I559+I565+I570+I577+I583</f>
        <v>#REF!</v>
      </c>
      <c r="J603" s="167">
        <f>J531+J545+J549+J554+J559+J565+J570+J577+J583+J590+J595+J598+J588+J543</f>
        <v>345740.2403699999</v>
      </c>
      <c r="K603" s="167">
        <f>K531+K545+K549+K554+K559+K565+K570+K577+K583+K590+K595+K598+K588+K543</f>
        <v>59638.94987000001</v>
      </c>
      <c r="L603" s="167">
        <f>L531+L545+L549+L554+L559+L565+L570+L577+L583+L590+L595+L598+L588+L543</f>
        <v>405379.19023999997</v>
      </c>
      <c r="M603" s="147" t="e">
        <f>M531+M545+M549+M554+M559+M565+M570+M577+M583+M590+M595+M598+M588+M543</f>
        <v>#REF!</v>
      </c>
      <c r="N603" s="147" t="e">
        <f>N531+N545+N549+N554+N559+N565+N570+N577+N583+N590+N595+N598+N588+N543</f>
        <v>#REF!</v>
      </c>
      <c r="O603" s="20">
        <f t="shared" si="99"/>
        <v>405379.1902399999</v>
      </c>
    </row>
    <row r="604" spans="6:13" ht="15">
      <c r="F604" s="223"/>
      <c r="G604" s="148"/>
      <c r="I604" s="148"/>
      <c r="K604" s="168"/>
      <c r="L604" s="157">
        <v>408529.82753</v>
      </c>
      <c r="M604" s="148"/>
    </row>
    <row r="605" spans="6:13" ht="15">
      <c r="F605" s="223"/>
      <c r="G605" s="148"/>
      <c r="I605" s="148"/>
      <c r="K605" s="168"/>
      <c r="L605" s="154">
        <f>L603-L604</f>
        <v>-3150.6372900000424</v>
      </c>
      <c r="M605" s="148"/>
    </row>
    <row r="606" spans="6:13" ht="15">
      <c r="F606" s="223"/>
      <c r="G606" s="148"/>
      <c r="I606" s="148"/>
      <c r="K606" s="168"/>
      <c r="M606" s="148"/>
    </row>
    <row r="607" spans="6:13" ht="15">
      <c r="F607" s="223"/>
      <c r="G607" s="148"/>
      <c r="I607" s="148"/>
      <c r="K607" s="168"/>
      <c r="M607" s="148"/>
    </row>
    <row r="608" spans="6:13" ht="15">
      <c r="F608" s="223"/>
      <c r="G608" s="148"/>
      <c r="I608" s="148"/>
      <c r="K608" s="168"/>
      <c r="L608" s="154">
        <f>L35+L83+L121+L177+L196+L309+L318+L325+L341+L354+L369+L410+L424+L447+L453+L473+L512</f>
        <v>6923.625</v>
      </c>
      <c r="M608" s="148"/>
    </row>
    <row r="609" spans="6:13" ht="15">
      <c r="F609" s="223"/>
      <c r="G609" s="148"/>
      <c r="I609" s="148"/>
      <c r="K609" s="168"/>
      <c r="M609" s="148"/>
    </row>
    <row r="610" spans="6:13" ht="15">
      <c r="F610" s="223"/>
      <c r="G610" s="148"/>
      <c r="I610" s="148"/>
      <c r="K610" s="168"/>
      <c r="M610" s="148"/>
    </row>
    <row r="611" spans="7:13" ht="15">
      <c r="G611" s="148"/>
      <c r="I611" s="148"/>
      <c r="K611" s="168"/>
      <c r="M611" s="148"/>
    </row>
    <row r="612" spans="7:13" ht="15">
      <c r="G612" s="148"/>
      <c r="I612" s="148"/>
      <c r="K612" s="168"/>
      <c r="M612" s="148"/>
    </row>
    <row r="613" spans="7:13" ht="15">
      <c r="G613" s="148"/>
      <c r="I613" s="148"/>
      <c r="K613" s="168"/>
      <c r="M613" s="148"/>
    </row>
    <row r="614" spans="7:13" ht="15">
      <c r="G614" s="148"/>
      <c r="I614" s="148"/>
      <c r="K614" s="168"/>
      <c r="M614" s="148"/>
    </row>
    <row r="615" spans="7:13" ht="15">
      <c r="G615" s="148"/>
      <c r="I615" s="148"/>
      <c r="K615" s="168"/>
      <c r="M615" s="148"/>
    </row>
    <row r="616" spans="7:13" ht="15">
      <c r="G616" s="148"/>
      <c r="I616" s="148"/>
      <c r="K616" s="168"/>
      <c r="M616" s="148"/>
    </row>
    <row r="617" spans="7:13" ht="15">
      <c r="G617" s="148"/>
      <c r="I617" s="148"/>
      <c r="K617" s="168"/>
      <c r="M617" s="148"/>
    </row>
    <row r="618" spans="7:13" ht="15">
      <c r="G618" s="148"/>
      <c r="I618" s="148"/>
      <c r="K618" s="168"/>
      <c r="M618" s="148"/>
    </row>
    <row r="619" spans="7:13" ht="15">
      <c r="G619" s="148"/>
      <c r="I619" s="148"/>
      <c r="K619" s="168"/>
      <c r="M619" s="148"/>
    </row>
    <row r="620" spans="7:13" ht="15">
      <c r="G620" s="148"/>
      <c r="I620" s="148"/>
      <c r="K620" s="168"/>
      <c r="M620" s="148"/>
    </row>
    <row r="621" spans="7:13" ht="15">
      <c r="G621" s="148"/>
      <c r="I621" s="148"/>
      <c r="K621" s="168"/>
      <c r="M621" s="148"/>
    </row>
    <row r="622" spans="7:13" ht="15">
      <c r="G622" s="148"/>
      <c r="I622" s="148"/>
      <c r="K622" s="168"/>
      <c r="M622" s="148"/>
    </row>
    <row r="623" spans="7:13" ht="15">
      <c r="G623" s="148"/>
      <c r="I623" s="148"/>
      <c r="K623" s="168"/>
      <c r="M623" s="148"/>
    </row>
    <row r="624" spans="7:13" ht="15">
      <c r="G624" s="148"/>
      <c r="I624" s="148"/>
      <c r="K624" s="168"/>
      <c r="M624" s="148"/>
    </row>
    <row r="625" spans="7:13" ht="15">
      <c r="G625" s="148"/>
      <c r="I625" s="148"/>
      <c r="K625" s="168"/>
      <c r="M625" s="148"/>
    </row>
    <row r="626" spans="7:13" ht="15">
      <c r="G626" s="148"/>
      <c r="I626" s="148"/>
      <c r="K626" s="168"/>
      <c r="M626" s="148"/>
    </row>
    <row r="627" spans="7:13" ht="15">
      <c r="G627" s="148"/>
      <c r="I627" s="148"/>
      <c r="K627" s="168"/>
      <c r="M627" s="148"/>
    </row>
    <row r="628" spans="7:13" ht="15">
      <c r="G628" s="148"/>
      <c r="I628" s="148"/>
      <c r="K628" s="168"/>
      <c r="M628" s="148"/>
    </row>
    <row r="629" spans="7:13" ht="15">
      <c r="G629" s="148"/>
      <c r="I629" s="148"/>
      <c r="K629" s="168"/>
      <c r="M629" s="148"/>
    </row>
    <row r="630" spans="7:13" ht="15">
      <c r="G630" s="148"/>
      <c r="I630" s="148"/>
      <c r="K630" s="168"/>
      <c r="M630" s="148"/>
    </row>
    <row r="631" spans="7:13" ht="15">
      <c r="G631" s="148"/>
      <c r="I631" s="148"/>
      <c r="K631" s="168"/>
      <c r="M631" s="148"/>
    </row>
    <row r="632" spans="7:13" ht="15">
      <c r="G632" s="148"/>
      <c r="I632" s="148"/>
      <c r="K632" s="168"/>
      <c r="M632" s="148"/>
    </row>
    <row r="633" spans="7:13" ht="15">
      <c r="G633" s="148"/>
      <c r="I633" s="148"/>
      <c r="K633" s="168"/>
      <c r="M633" s="148"/>
    </row>
    <row r="634" spans="7:13" ht="15">
      <c r="G634" s="148"/>
      <c r="I634" s="148"/>
      <c r="K634" s="168"/>
      <c r="M634" s="148"/>
    </row>
    <row r="635" spans="7:13" ht="15">
      <c r="G635" s="148"/>
      <c r="I635" s="148"/>
      <c r="K635" s="168"/>
      <c r="M635" s="148"/>
    </row>
    <row r="636" spans="7:13" ht="15">
      <c r="G636" s="148"/>
      <c r="I636" s="148"/>
      <c r="K636" s="168"/>
      <c r="M636" s="148"/>
    </row>
    <row r="637" spans="7:13" ht="15">
      <c r="G637" s="148"/>
      <c r="I637" s="148"/>
      <c r="K637" s="168"/>
      <c r="M637" s="148"/>
    </row>
    <row r="638" spans="7:13" ht="15">
      <c r="G638" s="148"/>
      <c r="I638" s="148"/>
      <c r="K638" s="168"/>
      <c r="M638" s="148"/>
    </row>
    <row r="639" spans="7:13" ht="15">
      <c r="G639" s="148"/>
      <c r="I639" s="148"/>
      <c r="K639" s="168"/>
      <c r="M639" s="148"/>
    </row>
    <row r="640" spans="7:13" ht="15">
      <c r="G640" s="148"/>
      <c r="I640" s="148"/>
      <c r="K640" s="168"/>
      <c r="M640" s="148"/>
    </row>
    <row r="641" spans="7:13" ht="15">
      <c r="G641" s="148"/>
      <c r="I641" s="148"/>
      <c r="K641" s="168"/>
      <c r="M641" s="148"/>
    </row>
    <row r="642" spans="7:13" ht="15">
      <c r="G642" s="148"/>
      <c r="I642" s="148"/>
      <c r="K642" s="168"/>
      <c r="M642" s="148"/>
    </row>
    <row r="643" spans="7:13" ht="15">
      <c r="G643" s="148"/>
      <c r="I643" s="148"/>
      <c r="K643" s="168"/>
      <c r="M643" s="148"/>
    </row>
    <row r="644" spans="7:13" ht="15">
      <c r="G644" s="148"/>
      <c r="I644" s="148"/>
      <c r="K644" s="168"/>
      <c r="M644" s="148"/>
    </row>
    <row r="645" spans="7:13" ht="15">
      <c r="G645" s="148"/>
      <c r="I645" s="148"/>
      <c r="K645" s="168"/>
      <c r="M645" s="148"/>
    </row>
    <row r="646" spans="7:13" ht="15">
      <c r="G646" s="148"/>
      <c r="I646" s="148"/>
      <c r="K646" s="168"/>
      <c r="M646" s="148"/>
    </row>
    <row r="647" spans="7:13" ht="15">
      <c r="G647" s="148"/>
      <c r="I647" s="148"/>
      <c r="K647" s="168"/>
      <c r="M647" s="148"/>
    </row>
    <row r="648" spans="7:13" ht="15">
      <c r="G648" s="148"/>
      <c r="I648" s="148"/>
      <c r="K648" s="168"/>
      <c r="M648" s="148"/>
    </row>
    <row r="649" spans="7:13" ht="15">
      <c r="G649" s="148"/>
      <c r="I649" s="148"/>
      <c r="K649" s="168"/>
      <c r="M649" s="148"/>
    </row>
    <row r="650" spans="7:13" ht="15">
      <c r="G650" s="148"/>
      <c r="I650" s="148"/>
      <c r="K650" s="168"/>
      <c r="M650" s="148"/>
    </row>
    <row r="651" spans="7:13" ht="15">
      <c r="G651" s="148"/>
      <c r="I651" s="148"/>
      <c r="K651" s="168"/>
      <c r="M651" s="148"/>
    </row>
    <row r="652" spans="7:13" ht="15">
      <c r="G652" s="148"/>
      <c r="I652" s="148"/>
      <c r="K652" s="168"/>
      <c r="M652" s="148"/>
    </row>
    <row r="653" spans="7:13" ht="15">
      <c r="G653" s="148"/>
      <c r="I653" s="148"/>
      <c r="K653" s="168"/>
      <c r="M653" s="148"/>
    </row>
    <row r="654" spans="7:13" ht="15">
      <c r="G654" s="148"/>
      <c r="I654" s="148"/>
      <c r="K654" s="168"/>
      <c r="M654" s="148"/>
    </row>
    <row r="655" spans="7:13" ht="15">
      <c r="G655" s="148"/>
      <c r="I655" s="148"/>
      <c r="K655" s="168"/>
      <c r="M655" s="148"/>
    </row>
    <row r="656" spans="7:13" ht="15">
      <c r="G656" s="148"/>
      <c r="I656" s="148"/>
      <c r="K656" s="168"/>
      <c r="M656" s="148"/>
    </row>
    <row r="657" spans="7:13" ht="15">
      <c r="G657" s="148"/>
      <c r="I657" s="148"/>
      <c r="K657" s="168"/>
      <c r="M657" s="148"/>
    </row>
    <row r="658" spans="7:13" ht="15">
      <c r="G658" s="148"/>
      <c r="I658" s="148"/>
      <c r="K658" s="168"/>
      <c r="M658" s="148"/>
    </row>
    <row r="659" spans="7:13" ht="15">
      <c r="G659" s="148"/>
      <c r="I659" s="148"/>
      <c r="K659" s="168"/>
      <c r="M659" s="148"/>
    </row>
    <row r="660" spans="7:13" ht="15">
      <c r="G660" s="148"/>
      <c r="I660" s="148"/>
      <c r="K660" s="168"/>
      <c r="M660" s="148"/>
    </row>
    <row r="661" spans="7:13" ht="15">
      <c r="G661" s="148"/>
      <c r="I661" s="148"/>
      <c r="K661" s="168"/>
      <c r="M661" s="148"/>
    </row>
    <row r="662" spans="7:13" ht="15">
      <c r="G662" s="148"/>
      <c r="I662" s="148"/>
      <c r="K662" s="168"/>
      <c r="M662" s="148"/>
    </row>
    <row r="663" spans="7:13" ht="15">
      <c r="G663" s="148"/>
      <c r="I663" s="148"/>
      <c r="K663" s="168"/>
      <c r="M663" s="148"/>
    </row>
    <row r="664" spans="7:13" ht="15">
      <c r="G664" s="148"/>
      <c r="I664" s="148"/>
      <c r="K664" s="168"/>
      <c r="M664" s="148"/>
    </row>
    <row r="665" spans="7:13" ht="15">
      <c r="G665" s="148"/>
      <c r="I665" s="148"/>
      <c r="K665" s="168"/>
      <c r="M665" s="148"/>
    </row>
    <row r="666" spans="7:13" ht="15">
      <c r="G666" s="148"/>
      <c r="I666" s="148"/>
      <c r="K666" s="168"/>
      <c r="M666" s="148"/>
    </row>
    <row r="667" spans="7:13" ht="15">
      <c r="G667" s="148"/>
      <c r="I667" s="148"/>
      <c r="K667" s="168"/>
      <c r="M667" s="148"/>
    </row>
    <row r="668" spans="7:13" ht="15">
      <c r="G668" s="148"/>
      <c r="I668" s="148"/>
      <c r="K668" s="168"/>
      <c r="M668" s="148"/>
    </row>
    <row r="669" spans="7:13" ht="15">
      <c r="G669" s="148"/>
      <c r="I669" s="148"/>
      <c r="K669" s="168"/>
      <c r="M669" s="148"/>
    </row>
    <row r="670" spans="7:13" ht="15">
      <c r="G670" s="148"/>
      <c r="I670" s="148"/>
      <c r="K670" s="168"/>
      <c r="M670" s="148"/>
    </row>
    <row r="671" spans="7:13" ht="15">
      <c r="G671" s="148"/>
      <c r="I671" s="148"/>
      <c r="K671" s="168"/>
      <c r="M671" s="148"/>
    </row>
    <row r="672" spans="7:13" ht="15">
      <c r="G672" s="148"/>
      <c r="I672" s="148"/>
      <c r="K672" s="168"/>
      <c r="M672" s="148"/>
    </row>
    <row r="673" spans="7:13" ht="15">
      <c r="G673" s="148"/>
      <c r="I673" s="148"/>
      <c r="K673" s="168"/>
      <c r="M673" s="148"/>
    </row>
    <row r="674" spans="7:13" ht="15">
      <c r="G674" s="148"/>
      <c r="I674" s="148"/>
      <c r="K674" s="168"/>
      <c r="M674" s="148"/>
    </row>
    <row r="675" spans="7:13" ht="15">
      <c r="G675" s="148"/>
      <c r="I675" s="148"/>
      <c r="K675" s="168"/>
      <c r="M675" s="148"/>
    </row>
    <row r="676" spans="7:13" ht="15">
      <c r="G676" s="148"/>
      <c r="I676" s="148"/>
      <c r="K676" s="168"/>
      <c r="M676" s="148"/>
    </row>
    <row r="677" spans="7:13" ht="15">
      <c r="G677" s="148"/>
      <c r="I677" s="148"/>
      <c r="K677" s="168"/>
      <c r="M677" s="148"/>
    </row>
    <row r="678" spans="7:13" ht="15">
      <c r="G678" s="148"/>
      <c r="I678" s="148"/>
      <c r="K678" s="168"/>
      <c r="M678" s="148"/>
    </row>
    <row r="679" spans="7:13" ht="15">
      <c r="G679" s="148"/>
      <c r="I679" s="148"/>
      <c r="K679" s="168"/>
      <c r="M679" s="148"/>
    </row>
    <row r="680" spans="7:13" ht="15">
      <c r="G680" s="148"/>
      <c r="I680" s="148"/>
      <c r="K680" s="168"/>
      <c r="M680" s="148"/>
    </row>
    <row r="681" spans="7:13" ht="15">
      <c r="G681" s="148"/>
      <c r="I681" s="148"/>
      <c r="K681" s="168"/>
      <c r="M681" s="148"/>
    </row>
    <row r="682" spans="7:13" ht="15">
      <c r="G682" s="148"/>
      <c r="I682" s="148"/>
      <c r="K682" s="168"/>
      <c r="M682" s="148"/>
    </row>
    <row r="683" spans="7:13" ht="15">
      <c r="G683" s="148"/>
      <c r="I683" s="148"/>
      <c r="K683" s="168"/>
      <c r="M683" s="148"/>
    </row>
    <row r="684" spans="7:13" ht="15">
      <c r="G684" s="148"/>
      <c r="I684" s="148"/>
      <c r="K684" s="168"/>
      <c r="M684" s="148"/>
    </row>
    <row r="685" spans="7:13" ht="15">
      <c r="G685" s="148"/>
      <c r="I685" s="148"/>
      <c r="K685" s="168"/>
      <c r="M685" s="148"/>
    </row>
    <row r="686" spans="7:13" ht="15">
      <c r="G686" s="148"/>
      <c r="I686" s="148"/>
      <c r="K686" s="168"/>
      <c r="M686" s="148"/>
    </row>
    <row r="687" spans="7:13" ht="15">
      <c r="G687" s="148"/>
      <c r="I687" s="148"/>
      <c r="K687" s="168"/>
      <c r="M687" s="148"/>
    </row>
    <row r="688" spans="7:13" ht="15">
      <c r="G688" s="148"/>
      <c r="I688" s="148"/>
      <c r="K688" s="168"/>
      <c r="M688" s="148"/>
    </row>
    <row r="689" spans="7:13" ht="15">
      <c r="G689" s="148"/>
      <c r="I689" s="148"/>
      <c r="K689" s="168"/>
      <c r="M689" s="148"/>
    </row>
    <row r="690" spans="7:13" ht="15">
      <c r="G690" s="148"/>
      <c r="I690" s="148"/>
      <c r="K690" s="168"/>
      <c r="M690" s="148"/>
    </row>
    <row r="691" spans="7:13" ht="15">
      <c r="G691" s="148"/>
      <c r="I691" s="148"/>
      <c r="K691" s="168"/>
      <c r="M691" s="148"/>
    </row>
    <row r="692" spans="7:13" ht="15">
      <c r="G692" s="148"/>
      <c r="I692" s="148"/>
      <c r="K692" s="168"/>
      <c r="M692" s="148"/>
    </row>
    <row r="693" spans="7:13" ht="15">
      <c r="G693" s="148"/>
      <c r="I693" s="148"/>
      <c r="K693" s="168"/>
      <c r="M693" s="148"/>
    </row>
    <row r="694" spans="7:13" ht="15">
      <c r="G694" s="148"/>
      <c r="I694" s="148"/>
      <c r="K694" s="168"/>
      <c r="M694" s="148"/>
    </row>
    <row r="695" spans="7:13" ht="15">
      <c r="G695" s="148"/>
      <c r="I695" s="148"/>
      <c r="K695" s="168"/>
      <c r="M695" s="148"/>
    </row>
    <row r="696" spans="7:13" ht="15">
      <c r="G696" s="148"/>
      <c r="I696" s="148"/>
      <c r="K696" s="168"/>
      <c r="M696" s="148"/>
    </row>
    <row r="697" spans="7:13" ht="15">
      <c r="G697" s="148"/>
      <c r="I697" s="148"/>
      <c r="K697" s="168"/>
      <c r="M697" s="148"/>
    </row>
    <row r="698" spans="7:13" ht="15">
      <c r="G698" s="148"/>
      <c r="I698" s="148"/>
      <c r="K698" s="168"/>
      <c r="M698" s="148"/>
    </row>
    <row r="699" spans="7:13" ht="15">
      <c r="G699" s="148"/>
      <c r="I699" s="148"/>
      <c r="K699" s="168"/>
      <c r="M699" s="148"/>
    </row>
    <row r="700" spans="7:13" ht="15">
      <c r="G700" s="148"/>
      <c r="I700" s="148"/>
      <c r="K700" s="168"/>
      <c r="M700" s="148"/>
    </row>
    <row r="701" spans="7:13" ht="15">
      <c r="G701" s="148"/>
      <c r="I701" s="148"/>
      <c r="K701" s="168"/>
      <c r="M701" s="148"/>
    </row>
    <row r="702" spans="7:13" ht="15">
      <c r="G702" s="148"/>
      <c r="I702" s="148"/>
      <c r="K702" s="168"/>
      <c r="M702" s="148"/>
    </row>
    <row r="703" spans="7:13" ht="15">
      <c r="G703" s="148"/>
      <c r="I703" s="148"/>
      <c r="K703" s="168"/>
      <c r="M703" s="148"/>
    </row>
    <row r="704" spans="7:13" ht="15">
      <c r="G704" s="148"/>
      <c r="I704" s="148"/>
      <c r="K704" s="168"/>
      <c r="M704" s="148"/>
    </row>
    <row r="705" spans="7:13" ht="15">
      <c r="G705" s="148"/>
      <c r="I705" s="148"/>
      <c r="K705" s="168"/>
      <c r="M705" s="148"/>
    </row>
    <row r="706" spans="7:13" ht="15">
      <c r="G706" s="148"/>
      <c r="I706" s="148"/>
      <c r="K706" s="168"/>
      <c r="M706" s="148"/>
    </row>
    <row r="707" spans="7:13" ht="15">
      <c r="G707" s="148"/>
      <c r="I707" s="148"/>
      <c r="K707" s="168"/>
      <c r="M707" s="148"/>
    </row>
    <row r="708" spans="7:13" ht="15">
      <c r="G708" s="148"/>
      <c r="I708" s="148"/>
      <c r="K708" s="168"/>
      <c r="M708" s="148"/>
    </row>
    <row r="709" spans="7:13" ht="15">
      <c r="G709" s="148"/>
      <c r="I709" s="148"/>
      <c r="K709" s="168"/>
      <c r="M709" s="148"/>
    </row>
    <row r="710" spans="7:13" ht="15">
      <c r="G710" s="148"/>
      <c r="I710" s="148"/>
      <c r="K710" s="168"/>
      <c r="M710" s="148"/>
    </row>
    <row r="711" spans="7:13" ht="15">
      <c r="G711" s="148"/>
      <c r="I711" s="148"/>
      <c r="K711" s="168"/>
      <c r="M711" s="148"/>
    </row>
    <row r="712" spans="7:13" ht="15">
      <c r="G712" s="148"/>
      <c r="I712" s="148"/>
      <c r="K712" s="168"/>
      <c r="M712" s="148"/>
    </row>
    <row r="713" spans="7:13" ht="15">
      <c r="G713" s="148"/>
      <c r="I713" s="148"/>
      <c r="K713" s="168"/>
      <c r="M713" s="148"/>
    </row>
    <row r="714" spans="7:13" ht="15">
      <c r="G714" s="148"/>
      <c r="I714" s="148"/>
      <c r="K714" s="168"/>
      <c r="M714" s="148"/>
    </row>
    <row r="715" spans="7:13" ht="15">
      <c r="G715" s="148"/>
      <c r="I715" s="148"/>
      <c r="K715" s="168"/>
      <c r="M715" s="148"/>
    </row>
    <row r="716" spans="7:13" ht="15">
      <c r="G716" s="148"/>
      <c r="I716" s="148"/>
      <c r="K716" s="168"/>
      <c r="M716" s="148"/>
    </row>
    <row r="717" spans="7:13" ht="15">
      <c r="G717" s="148"/>
      <c r="I717" s="148"/>
      <c r="K717" s="168"/>
      <c r="M717" s="148"/>
    </row>
    <row r="718" spans="7:13" ht="15">
      <c r="G718" s="148"/>
      <c r="I718" s="148"/>
      <c r="K718" s="168"/>
      <c r="M718" s="148"/>
    </row>
    <row r="719" spans="7:13" ht="15">
      <c r="G719" s="148"/>
      <c r="I719" s="148"/>
      <c r="K719" s="168"/>
      <c r="M719" s="148"/>
    </row>
    <row r="720" spans="7:13" ht="15">
      <c r="G720" s="148"/>
      <c r="I720" s="148"/>
      <c r="K720" s="168"/>
      <c r="M720" s="148"/>
    </row>
    <row r="721" spans="7:13" ht="15">
      <c r="G721" s="148"/>
      <c r="I721" s="148"/>
      <c r="K721" s="168"/>
      <c r="M721" s="148"/>
    </row>
    <row r="722" spans="7:13" ht="15">
      <c r="G722" s="148"/>
      <c r="I722" s="148"/>
      <c r="K722" s="168"/>
      <c r="M722" s="148"/>
    </row>
    <row r="723" spans="7:13" ht="15">
      <c r="G723" s="148"/>
      <c r="I723" s="148"/>
      <c r="K723" s="168"/>
      <c r="M723" s="148"/>
    </row>
    <row r="724" spans="7:13" ht="15">
      <c r="G724" s="148"/>
      <c r="I724" s="148"/>
      <c r="K724" s="168"/>
      <c r="M724" s="148"/>
    </row>
    <row r="725" spans="7:13" ht="15">
      <c r="G725" s="148"/>
      <c r="I725" s="148"/>
      <c r="K725" s="168"/>
      <c r="M725" s="148"/>
    </row>
    <row r="726" spans="7:13" ht="15">
      <c r="G726" s="148"/>
      <c r="I726" s="148"/>
      <c r="K726" s="168"/>
      <c r="M726" s="148"/>
    </row>
    <row r="727" spans="7:13" ht="15">
      <c r="G727" s="148"/>
      <c r="I727" s="148"/>
      <c r="K727" s="168"/>
      <c r="M727" s="148"/>
    </row>
    <row r="728" spans="7:13" ht="15">
      <c r="G728" s="148"/>
      <c r="I728" s="148"/>
      <c r="K728" s="168"/>
      <c r="M728" s="148"/>
    </row>
    <row r="729" spans="7:13" ht="15">
      <c r="G729" s="148"/>
      <c r="I729" s="148"/>
      <c r="K729" s="168"/>
      <c r="M729" s="148"/>
    </row>
    <row r="730" spans="7:13" ht="15">
      <c r="G730" s="148"/>
      <c r="I730" s="148"/>
      <c r="K730" s="168"/>
      <c r="M730" s="148"/>
    </row>
    <row r="731" spans="7:13" ht="15">
      <c r="G731" s="148"/>
      <c r="I731" s="148"/>
      <c r="K731" s="168"/>
      <c r="M731" s="148"/>
    </row>
    <row r="732" spans="7:13" ht="15">
      <c r="G732" s="148"/>
      <c r="I732" s="148"/>
      <c r="K732" s="168"/>
      <c r="M732" s="148"/>
    </row>
    <row r="733" spans="7:13" ht="15">
      <c r="G733" s="148"/>
      <c r="I733" s="148"/>
      <c r="K733" s="168"/>
      <c r="M733" s="148"/>
    </row>
    <row r="734" spans="7:13" ht="15">
      <c r="G734" s="148"/>
      <c r="I734" s="148"/>
      <c r="K734" s="168"/>
      <c r="M734" s="148"/>
    </row>
    <row r="735" spans="7:13" ht="15">
      <c r="G735" s="148"/>
      <c r="I735" s="148"/>
      <c r="K735" s="168"/>
      <c r="M735" s="148"/>
    </row>
    <row r="736" spans="7:13" ht="15">
      <c r="G736" s="148"/>
      <c r="I736" s="148"/>
      <c r="K736" s="168"/>
      <c r="M736" s="148"/>
    </row>
    <row r="737" spans="7:13" ht="15">
      <c r="G737" s="148"/>
      <c r="I737" s="148"/>
      <c r="K737" s="168"/>
      <c r="M737" s="148"/>
    </row>
    <row r="738" spans="7:13" ht="15">
      <c r="G738" s="148"/>
      <c r="I738" s="148"/>
      <c r="K738" s="168"/>
      <c r="M738" s="148"/>
    </row>
    <row r="739" spans="7:13" ht="15">
      <c r="G739" s="148"/>
      <c r="I739" s="148"/>
      <c r="K739" s="168"/>
      <c r="M739" s="148"/>
    </row>
    <row r="740" spans="7:13" ht="15">
      <c r="G740" s="148"/>
      <c r="I740" s="148"/>
      <c r="K740" s="168"/>
      <c r="M740" s="148"/>
    </row>
    <row r="741" spans="7:13" ht="15">
      <c r="G741" s="148"/>
      <c r="I741" s="148"/>
      <c r="K741" s="168"/>
      <c r="M741" s="148"/>
    </row>
    <row r="742" spans="7:13" ht="15">
      <c r="G742" s="148"/>
      <c r="I742" s="148"/>
      <c r="K742" s="168"/>
      <c r="M742" s="148"/>
    </row>
    <row r="743" spans="7:13" ht="15">
      <c r="G743" s="148"/>
      <c r="I743" s="148"/>
      <c r="K743" s="168"/>
      <c r="M743" s="148"/>
    </row>
    <row r="744" spans="7:13" ht="15">
      <c r="G744" s="148"/>
      <c r="I744" s="148"/>
      <c r="K744" s="168"/>
      <c r="M744" s="148"/>
    </row>
    <row r="745" spans="7:13" ht="15">
      <c r="G745" s="148"/>
      <c r="I745" s="148"/>
      <c r="K745" s="168"/>
      <c r="M745" s="148"/>
    </row>
    <row r="746" spans="7:13" ht="15">
      <c r="G746" s="148"/>
      <c r="I746" s="148"/>
      <c r="K746" s="168"/>
      <c r="M746" s="148"/>
    </row>
    <row r="747" spans="7:13" ht="15">
      <c r="G747" s="148"/>
      <c r="I747" s="148"/>
      <c r="K747" s="168"/>
      <c r="M747" s="148"/>
    </row>
    <row r="748" spans="7:13" ht="15">
      <c r="G748" s="148"/>
      <c r="I748" s="148"/>
      <c r="K748" s="168"/>
      <c r="M748" s="148"/>
    </row>
    <row r="749" spans="7:13" ht="15">
      <c r="G749" s="148"/>
      <c r="I749" s="148"/>
      <c r="K749" s="168"/>
      <c r="M749" s="148"/>
    </row>
    <row r="750" spans="7:13" ht="15">
      <c r="G750" s="148"/>
      <c r="I750" s="148"/>
      <c r="K750" s="168"/>
      <c r="M750" s="148"/>
    </row>
    <row r="751" spans="7:13" ht="15">
      <c r="G751" s="148"/>
      <c r="I751" s="148"/>
      <c r="K751" s="168"/>
      <c r="M751" s="148"/>
    </row>
    <row r="752" spans="7:13" ht="15">
      <c r="G752" s="148"/>
      <c r="I752" s="148"/>
      <c r="K752" s="168"/>
      <c r="M752" s="148"/>
    </row>
    <row r="753" spans="7:13" ht="15">
      <c r="G753" s="148"/>
      <c r="I753" s="148"/>
      <c r="K753" s="168"/>
      <c r="M753" s="148"/>
    </row>
    <row r="754" spans="7:13" ht="15">
      <c r="G754" s="148"/>
      <c r="I754" s="148"/>
      <c r="K754" s="168"/>
      <c r="M754" s="148"/>
    </row>
    <row r="755" spans="7:13" ht="15">
      <c r="G755" s="148"/>
      <c r="I755" s="148"/>
      <c r="K755" s="168"/>
      <c r="M755" s="148"/>
    </row>
    <row r="756" spans="7:13" ht="15">
      <c r="G756" s="148"/>
      <c r="I756" s="148"/>
      <c r="K756" s="168"/>
      <c r="M756" s="148"/>
    </row>
    <row r="757" spans="7:13" ht="15">
      <c r="G757" s="148"/>
      <c r="I757" s="148"/>
      <c r="K757" s="168"/>
      <c r="M757" s="148"/>
    </row>
    <row r="758" spans="7:13" ht="15">
      <c r="G758" s="148"/>
      <c r="I758" s="148"/>
      <c r="K758" s="168"/>
      <c r="M758" s="148"/>
    </row>
    <row r="759" spans="7:13" ht="15">
      <c r="G759" s="148"/>
      <c r="I759" s="148"/>
      <c r="K759" s="168"/>
      <c r="M759" s="148"/>
    </row>
    <row r="760" spans="7:13" ht="15">
      <c r="G760" s="148"/>
      <c r="I760" s="148"/>
      <c r="K760" s="168"/>
      <c r="M760" s="148"/>
    </row>
    <row r="761" spans="7:13" ht="15">
      <c r="G761" s="148"/>
      <c r="I761" s="148"/>
      <c r="K761" s="168"/>
      <c r="M761" s="148"/>
    </row>
    <row r="762" spans="7:13" ht="15">
      <c r="G762" s="148"/>
      <c r="I762" s="148"/>
      <c r="K762" s="168"/>
      <c r="M762" s="148"/>
    </row>
    <row r="763" spans="7:13" ht="15">
      <c r="G763" s="148"/>
      <c r="I763" s="148"/>
      <c r="K763" s="168"/>
      <c r="M763" s="148"/>
    </row>
    <row r="764" spans="7:13" ht="15">
      <c r="G764" s="148"/>
      <c r="I764" s="148"/>
      <c r="K764" s="168"/>
      <c r="M764" s="148"/>
    </row>
    <row r="765" spans="7:13" ht="15">
      <c r="G765" s="148"/>
      <c r="I765" s="148"/>
      <c r="K765" s="168"/>
      <c r="M765" s="148"/>
    </row>
    <row r="766" spans="7:13" ht="15">
      <c r="G766" s="148"/>
      <c r="I766" s="148"/>
      <c r="K766" s="168"/>
      <c r="M766" s="148"/>
    </row>
    <row r="767" spans="7:13" ht="15">
      <c r="G767" s="148"/>
      <c r="I767" s="148"/>
      <c r="K767" s="168"/>
      <c r="M767" s="148"/>
    </row>
    <row r="768" spans="7:13" ht="15">
      <c r="G768" s="148"/>
      <c r="I768" s="148"/>
      <c r="K768" s="168"/>
      <c r="M768" s="148"/>
    </row>
    <row r="769" spans="7:13" ht="15">
      <c r="G769" s="148"/>
      <c r="I769" s="148"/>
      <c r="K769" s="168"/>
      <c r="M769" s="148"/>
    </row>
    <row r="770" spans="7:13" ht="15">
      <c r="G770" s="148"/>
      <c r="I770" s="148"/>
      <c r="K770" s="168"/>
      <c r="M770" s="148"/>
    </row>
    <row r="771" spans="7:13" ht="15">
      <c r="G771" s="148"/>
      <c r="I771" s="148"/>
      <c r="K771" s="168"/>
      <c r="M771" s="148"/>
    </row>
    <row r="772" spans="7:13" ht="15">
      <c r="G772" s="148"/>
      <c r="I772" s="148"/>
      <c r="K772" s="168"/>
      <c r="M772" s="148"/>
    </row>
    <row r="773" spans="7:13" ht="15">
      <c r="G773" s="148"/>
      <c r="I773" s="148"/>
      <c r="K773" s="168"/>
      <c r="M773" s="148"/>
    </row>
    <row r="774" spans="7:13" ht="15">
      <c r="G774" s="148"/>
      <c r="I774" s="148"/>
      <c r="K774" s="168"/>
      <c r="M774" s="148"/>
    </row>
    <row r="775" spans="7:13" ht="15">
      <c r="G775" s="148"/>
      <c r="I775" s="148"/>
      <c r="K775" s="168"/>
      <c r="M775" s="148"/>
    </row>
    <row r="776" spans="7:13" ht="15">
      <c r="G776" s="148"/>
      <c r="I776" s="148"/>
      <c r="K776" s="168"/>
      <c r="M776" s="148"/>
    </row>
    <row r="777" spans="7:13" ht="15">
      <c r="G777" s="148"/>
      <c r="I777" s="148"/>
      <c r="K777" s="168"/>
      <c r="M777" s="148"/>
    </row>
    <row r="778" spans="7:13" ht="15">
      <c r="G778" s="148"/>
      <c r="I778" s="148"/>
      <c r="K778" s="168"/>
      <c r="M778" s="148"/>
    </row>
    <row r="779" spans="7:13" ht="15">
      <c r="G779" s="148"/>
      <c r="I779" s="148"/>
      <c r="K779" s="168"/>
      <c r="M779" s="148"/>
    </row>
    <row r="780" spans="7:13" ht="15">
      <c r="G780" s="148"/>
      <c r="I780" s="148"/>
      <c r="K780" s="168"/>
      <c r="M780" s="148"/>
    </row>
    <row r="781" spans="7:13" ht="15">
      <c r="G781" s="148"/>
      <c r="I781" s="148"/>
      <c r="K781" s="168"/>
      <c r="M781" s="148"/>
    </row>
    <row r="782" spans="7:13" ht="15">
      <c r="G782" s="148"/>
      <c r="I782" s="148"/>
      <c r="K782" s="168"/>
      <c r="M782" s="148"/>
    </row>
    <row r="783" spans="7:13" ht="15">
      <c r="G783" s="148"/>
      <c r="I783" s="148"/>
      <c r="K783" s="168"/>
      <c r="M783" s="148"/>
    </row>
    <row r="784" spans="7:13" ht="15">
      <c r="G784" s="148"/>
      <c r="I784" s="148"/>
      <c r="K784" s="168"/>
      <c r="M784" s="148"/>
    </row>
    <row r="785" spans="7:13" ht="15">
      <c r="G785" s="148"/>
      <c r="I785" s="148"/>
      <c r="K785" s="168"/>
      <c r="M785" s="148"/>
    </row>
    <row r="786" spans="7:13" ht="15">
      <c r="G786" s="148"/>
      <c r="I786" s="148"/>
      <c r="K786" s="168"/>
      <c r="M786" s="148"/>
    </row>
    <row r="787" spans="7:13" ht="15">
      <c r="G787" s="148"/>
      <c r="I787" s="148"/>
      <c r="K787" s="168"/>
      <c r="M787" s="148"/>
    </row>
    <row r="788" spans="7:13" ht="15">
      <c r="G788" s="148"/>
      <c r="I788" s="148"/>
      <c r="K788" s="168"/>
      <c r="M788" s="148"/>
    </row>
    <row r="789" spans="7:13" ht="15">
      <c r="G789" s="148"/>
      <c r="I789" s="148"/>
      <c r="K789" s="168"/>
      <c r="M789" s="148"/>
    </row>
    <row r="790" spans="7:13" ht="15">
      <c r="G790" s="148"/>
      <c r="I790" s="148"/>
      <c r="K790" s="168"/>
      <c r="M790" s="148"/>
    </row>
    <row r="791" spans="7:13" ht="15">
      <c r="G791" s="148"/>
      <c r="I791" s="148"/>
      <c r="K791" s="168"/>
      <c r="M791" s="148"/>
    </row>
    <row r="792" spans="7:13" ht="15">
      <c r="G792" s="148"/>
      <c r="I792" s="148"/>
      <c r="K792" s="168"/>
      <c r="M792" s="148"/>
    </row>
    <row r="793" spans="7:13" ht="15">
      <c r="G793" s="148"/>
      <c r="I793" s="148"/>
      <c r="K793" s="168"/>
      <c r="M793" s="148"/>
    </row>
    <row r="794" spans="7:13" ht="15">
      <c r="G794" s="148"/>
      <c r="I794" s="148"/>
      <c r="K794" s="168"/>
      <c r="M794" s="148"/>
    </row>
    <row r="795" spans="7:13" ht="15">
      <c r="G795" s="148"/>
      <c r="I795" s="148"/>
      <c r="K795" s="168"/>
      <c r="M795" s="148"/>
    </row>
    <row r="796" spans="7:13" ht="15">
      <c r="G796" s="148"/>
      <c r="I796" s="148"/>
      <c r="K796" s="168"/>
      <c r="M796" s="148"/>
    </row>
    <row r="797" spans="7:13" ht="15">
      <c r="G797" s="148"/>
      <c r="I797" s="148"/>
      <c r="K797" s="168"/>
      <c r="M797" s="148"/>
    </row>
    <row r="798" spans="7:13" ht="15">
      <c r="G798" s="148"/>
      <c r="I798" s="148"/>
      <c r="K798" s="168"/>
      <c r="M798" s="148"/>
    </row>
    <row r="799" spans="7:13" ht="15">
      <c r="G799" s="148"/>
      <c r="I799" s="148"/>
      <c r="K799" s="168"/>
      <c r="M799" s="148"/>
    </row>
    <row r="800" spans="7:13" ht="15">
      <c r="G800" s="148"/>
      <c r="I800" s="148"/>
      <c r="K800" s="168"/>
      <c r="M800" s="148"/>
    </row>
    <row r="801" spans="7:13" ht="15">
      <c r="G801" s="148"/>
      <c r="I801" s="148"/>
      <c r="K801" s="168"/>
      <c r="M801" s="148"/>
    </row>
    <row r="802" spans="7:13" ht="15">
      <c r="G802" s="148"/>
      <c r="I802" s="148"/>
      <c r="K802" s="168"/>
      <c r="M802" s="148"/>
    </row>
    <row r="803" spans="7:13" ht="15">
      <c r="G803" s="148"/>
      <c r="I803" s="148"/>
      <c r="K803" s="168"/>
      <c r="M803" s="148"/>
    </row>
    <row r="804" spans="7:13" ht="15">
      <c r="G804" s="148"/>
      <c r="I804" s="148"/>
      <c r="K804" s="168"/>
      <c r="M804" s="148"/>
    </row>
    <row r="805" spans="7:13" ht="15">
      <c r="G805" s="148"/>
      <c r="I805" s="148"/>
      <c r="K805" s="168"/>
      <c r="M805" s="148"/>
    </row>
    <row r="806" spans="7:13" ht="15">
      <c r="G806" s="148"/>
      <c r="I806" s="148"/>
      <c r="K806" s="168"/>
      <c r="M806" s="148"/>
    </row>
    <row r="807" spans="7:13" ht="15">
      <c r="G807" s="148"/>
      <c r="I807" s="148"/>
      <c r="K807" s="168"/>
      <c r="M807" s="148"/>
    </row>
    <row r="808" spans="7:13" ht="15">
      <c r="G808" s="148"/>
      <c r="I808" s="148"/>
      <c r="K808" s="168"/>
      <c r="M808" s="148"/>
    </row>
    <row r="809" spans="7:13" ht="15">
      <c r="G809" s="148"/>
      <c r="I809" s="148"/>
      <c r="K809" s="168"/>
      <c r="M809" s="148"/>
    </row>
    <row r="810" spans="7:13" ht="15">
      <c r="G810" s="148"/>
      <c r="I810" s="148"/>
      <c r="K810" s="168"/>
      <c r="M810" s="148"/>
    </row>
    <row r="811" spans="7:13" ht="15">
      <c r="G811" s="148"/>
      <c r="I811" s="148"/>
      <c r="K811" s="168"/>
      <c r="M811" s="148"/>
    </row>
    <row r="812" spans="7:13" ht="15">
      <c r="G812" s="148"/>
      <c r="I812" s="148"/>
      <c r="K812" s="168"/>
      <c r="M812" s="148"/>
    </row>
  </sheetData>
  <sheetProtection/>
  <mergeCells count="16">
    <mergeCell ref="E1:I1"/>
    <mergeCell ref="E2:I2"/>
    <mergeCell ref="M2:Q2"/>
    <mergeCell ref="J3:L3"/>
    <mergeCell ref="A4:L4"/>
    <mergeCell ref="A6:A8"/>
    <mergeCell ref="B6:F6"/>
    <mergeCell ref="G6:G8"/>
    <mergeCell ref="H6:H8"/>
    <mergeCell ref="I6:I8"/>
    <mergeCell ref="J6:J8"/>
    <mergeCell ref="K6:K8"/>
    <mergeCell ref="L6:L8"/>
    <mergeCell ref="M6:M8"/>
    <mergeCell ref="N6:N8"/>
    <mergeCell ref="B7:F7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2012-06-05T11:47:16Z</cp:lastPrinted>
  <dcterms:created xsi:type="dcterms:W3CDTF">1996-10-08T23:32:33Z</dcterms:created>
  <dcterms:modified xsi:type="dcterms:W3CDTF">2012-06-05T11:50:47Z</dcterms:modified>
  <cp:category/>
  <cp:version/>
  <cp:contentType/>
  <cp:contentStatus/>
</cp:coreProperties>
</file>