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1"/>
  </bookViews>
  <sheets>
    <sheet name="прил 1" sheetId="1" r:id="rId1"/>
    <sheet name="прил2(разд, подразд)" sheetId="2" r:id="rId2"/>
    <sheet name=" прил 3 (гл.расп,расх) " sheetId="3" r:id="rId3"/>
    <sheet name="прилож4" sheetId="4" r:id="rId4"/>
  </sheets>
  <externalReferences>
    <externalReference r:id="rId7"/>
    <externalReference r:id="rId8"/>
    <externalReference r:id="rId9"/>
  </externalReferences>
  <definedNames>
    <definedName name="В11" localSheetId="2">' прил 3 (гл.расп,расх) '!$A$15</definedName>
    <definedName name="В11" localSheetId="1">#REF!</definedName>
    <definedName name="В11">#REF!</definedName>
    <definedName name="_xlnm.Print_Titles" localSheetId="2">' прил 3 (гл.расп,расх) '!$11:$11</definedName>
    <definedName name="_xlnm.Print_Area" localSheetId="2">' прил 3 (гл.расп,расх) '!$A$2:$N$810</definedName>
    <definedName name="_xlnm.Print_Area" localSheetId="1">'прил2(разд, подразд)'!$B$1:$L$69</definedName>
    <definedName name="_xlnm.Print_Area" localSheetId="3">'прилож4'!$A$1:$I$29</definedName>
  </definedNames>
  <calcPr fullCalcOnLoad="1"/>
</workbook>
</file>

<file path=xl/sharedStrings.xml><?xml version="1.0" encoding="utf-8"?>
<sst xmlns="http://schemas.openxmlformats.org/spreadsheetml/2006/main" count="4429" uniqueCount="1022">
  <si>
    <t>Код главы  администратора</t>
  </si>
  <si>
    <t>Код бюджетной классификации Российской Федерации</t>
  </si>
  <si>
    <t>Наименование доходов</t>
  </si>
  <si>
    <t>000</t>
  </si>
  <si>
    <t xml:space="preserve"> 1 0000000 00 0000 000</t>
  </si>
  <si>
    <t>НАЛОГОВЫЕ И НЕНАЛОГОВЫЕ ДОХОДЫ</t>
  </si>
  <si>
    <t>НАЛОГОВЫЕ ДОХОДЫ</t>
  </si>
  <si>
    <t xml:space="preserve"> 1 0100000 00 0000 000</t>
  </si>
  <si>
    <t>НАЛОГИ НА ПРИБЫЛЬ, ДОХОДЫ</t>
  </si>
  <si>
    <t>182</t>
  </si>
  <si>
    <t xml:space="preserve"> 1 0102000 01 0000 110</t>
  </si>
  <si>
    <t>Налог на доходы физических лиц</t>
  </si>
  <si>
    <t xml:space="preserve"> 1 0102010 01 0000 110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</si>
  <si>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</si>
  <si>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 xml:space="preserve"> 1 0102020 01 0000 110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</si>
  <si>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</si>
  <si>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1 0102021 01 0000 110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</si>
  <si>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</si>
  <si>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1 0102022 01 0000 110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</si>
  <si>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</si>
  <si>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1 0102030 01 0000 110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</si>
  <si>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</si>
  <si>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 xml:space="preserve"> 1 0102040 01 0000 110</t>
  </si>
  <si>
    <t>Налог на доходы физических лиц с доходов,  полученных в виде выигрышей и призов в проводимых конкурсах, играх и других мероприятиях в целях рекламы товаров, работ и услуг,  процентных доходов по вкладам в банках, в виде материальной выгоды от экономии   на процентах при получении  заемных (кредитных) средств.</t>
  </si>
  <si>
    <t xml:space="preserve"> 1 0500000 00 0000 000</t>
  </si>
  <si>
    <t>НАЛОГИ НА СОВОКУПНЫЙ ДОХОД</t>
  </si>
  <si>
    <t xml:space="preserve"> 1 0501000 00 0000 110</t>
  </si>
  <si>
    <t>Налог, взимаемый в связи с применением упрощенной системы налогообложения</t>
  </si>
  <si>
    <t xml:space="preserve"> 1 0501010 01 0000 110</t>
  </si>
  <si>
    <t>Налог, взимаемый  с налогоплательщиков, выбравших в качестве объекта налогообложения доходы</t>
  </si>
  <si>
    <t xml:space="preserve"> 1 0501020 01 0000 110</t>
  </si>
  <si>
    <t>Налог, взимаемый  с налогоплательщиков, выбравших в качестве объекта налогообложения доходы, уменьшенные на величину расходов</t>
  </si>
  <si>
    <t xml:space="preserve"> 1 0502000 02 0000 110</t>
  </si>
  <si>
    <t>Единый налог на вмененный доход для отдельных видов деятельности</t>
  </si>
  <si>
    <t xml:space="preserve"> 1 0503000 01 0000 110</t>
  </si>
  <si>
    <t>Единый сельскохозяйственный налог</t>
  </si>
  <si>
    <t xml:space="preserve"> 1 0600000 00 0000 000</t>
  </si>
  <si>
    <t>НАЛОГИ НА ИМУЩЕСТВО</t>
  </si>
  <si>
    <t>182 1 06 01000 03 0000 110</t>
  </si>
  <si>
    <t>Налог на имущество физических лиц</t>
  </si>
  <si>
    <t xml:space="preserve"> 1 0602000 02 0000 110</t>
  </si>
  <si>
    <t>Налог на имущество организаций</t>
  </si>
  <si>
    <t xml:space="preserve"> 1 0602010 02 0000 110</t>
  </si>
  <si>
    <t>Налог на имущество организаций по имуществу, не входящему в Единую систему газоснабжения</t>
  </si>
  <si>
    <t xml:space="preserve"> 1 0602020 02 0000 110</t>
  </si>
  <si>
    <t>Налог на имущество организаций по имуществу, входящему в Единую систему газоснабжения</t>
  </si>
  <si>
    <t xml:space="preserve"> 1 0604000 02 0000 110</t>
  </si>
  <si>
    <t>Транспортный налог</t>
  </si>
  <si>
    <t xml:space="preserve"> 1 0604011 02 0000 110</t>
  </si>
  <si>
    <t>Транспортный налог с организаций</t>
  </si>
  <si>
    <t xml:space="preserve"> 1 0604012 02 0000 110</t>
  </si>
  <si>
    <t>Транспортный налог с физических лиц</t>
  </si>
  <si>
    <t>182 1 06 05000 02 0000 110</t>
  </si>
  <si>
    <t>Налог на игорный бизнес</t>
  </si>
  <si>
    <t>182 1 06 06000 00 0000 110</t>
  </si>
  <si>
    <t>Земельный налог</t>
  </si>
  <si>
    <t xml:space="preserve"> 1 0700000 00 0000 000</t>
  </si>
  <si>
    <t>НАЛОГИ, СБОРЫ И РЕГУЛЯРНЫЕ ПЛАТЕЖИ ЗА ПОЛЬЗОВАНИЕ ПРИРОДНЫМИ РЕСУРСАМИ</t>
  </si>
  <si>
    <t xml:space="preserve"> 1 0701000 01 0000 110</t>
  </si>
  <si>
    <t>Налог на добычу полезных ископаемых</t>
  </si>
  <si>
    <t xml:space="preserve"> 1 0701020 01 0000 110</t>
  </si>
  <si>
    <t>Налог на добычу общераспространенных полезных ископаемых</t>
  </si>
  <si>
    <t>182 1 07 01030 01 0000 110</t>
  </si>
  <si>
    <t>Налог на добычу прочих полезных ископаемых ( за исключением полезных ископаемых в виде природных алмазов)</t>
  </si>
  <si>
    <t>182 1 07 04000 01 0000 110</t>
  </si>
  <si>
    <t>Сборы за пользование объектами животного мира и за пользование объектами водных биологических ресурсов</t>
  </si>
  <si>
    <t>182 1 07 04010 01 0000 110</t>
  </si>
  <si>
    <t>Сбор за пользование объектами животного мира</t>
  </si>
  <si>
    <t xml:space="preserve"> 1 0800000 00 0000 000</t>
  </si>
  <si>
    <t>ГОСУДАРСТВЕННАЯ ПОШЛИНА</t>
  </si>
  <si>
    <t xml:space="preserve"> 1 0803000 01 0000 000</t>
  </si>
  <si>
    <t>Государственная пошлина по делам, рассматриваемым в судах общей юрисдикции, мировыми судьями</t>
  </si>
  <si>
    <t xml:space="preserve"> 1 0803010 01 0000 110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</si>
  <si>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</si>
  <si>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092 1 08 04000 01 0000 110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</si>
  <si>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</si>
  <si>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1 0807000 01 0000 110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</si>
  <si>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</si>
  <si>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092</t>
  </si>
  <si>
    <t xml:space="preserve"> 1 0807084 01 1000 110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</si>
  <si>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</t>
  </si>
  <si>
    <t xml:space="preserve"> 1 0807140 01 0000 110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</si>
  <si>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</si>
  <si>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НЕНАЛОГОВЫЕ ДОХОДЫ</t>
  </si>
  <si>
    <t xml:space="preserve"> 1 1100000 00 0000 000</t>
  </si>
  <si>
    <t>ДОХОДЫ ОТ ИСПОЛЬЗОВАНИЯ ИМУЩЕСТВА, НАХОДЯЩЕГОСЯ В ГОСУДАРСТВЕННОЙ И МУНИЦИПАЛЬНОЙ СОБСТВЕННОСТИ</t>
  </si>
  <si>
    <t xml:space="preserve"> 1 1103000 00 0000 120</t>
  </si>
  <si>
    <t>Проценты, полученные от предоставления бюджетных кредитов внутри страны</t>
  </si>
  <si>
    <t xml:space="preserve"> 1 1103050 05 0000 120</t>
  </si>
  <si>
    <t>Проценты, полученные от предоставления бюджетных кредитов внутри страны за счет средств   бюджетов муниципальных районов</t>
  </si>
  <si>
    <t xml:space="preserve"> 1 1105000 00 0000 120</t>
  </si>
  <si>
    <t>Доходы, получаемые в виде арендной  либо иной платы за передачу в возмездное пользование  государственного и муниципального имущества (за исключением имущества автономных учреждений, а так же имущества государственных и муниципальных унитарных предприятий, в том числе казенных)</t>
  </si>
  <si>
    <t xml:space="preserve"> 1 1105010 00 0000 120</t>
  </si>
  <si>
    <t>Доходы, получаемые в виде арендной платы за земельные участки,  государственная собственность на которые не разграничена,   а также средства  от продажи права на заключение договоров аренды указанных земельных участков</t>
  </si>
  <si>
    <t xml:space="preserve"> 1 1105010 10 0000 120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</si>
  <si>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поселений,   а также средства  от продажи права на заключение договоров аренды указанных земельных участков</t>
  </si>
  <si>
    <t xml:space="preserve"> 1 1105030 00 0000 120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</si>
  <si>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федеральных автономных учреждений)</t>
  </si>
  <si>
    <t xml:space="preserve"> 1 1105035 05 0000 120</t>
  </si>
  <si>
    <t>Доходы от сдачи в аренду имущества, находящегося в оперативном управлении  органов управления  муниципальных районов и созданных ими учреждений ( за исключением имущества муниципальных автономных учреждений)</t>
  </si>
  <si>
    <t xml:space="preserve"> 1 1200000 00 0000 000</t>
  </si>
  <si>
    <t>ПЛАТЕЖИ ПРИ ПОЛЬЗОВАНИИ ПРИРОДНЫМИ РЕСУРСАМИ</t>
  </si>
  <si>
    <t>498</t>
  </si>
  <si>
    <t xml:space="preserve"> 1 1201000 01 0000 120</t>
  </si>
  <si>
    <t>Плата за негативное воздействие на окружающую среду</t>
  </si>
  <si>
    <t xml:space="preserve"> 1 1300000 00 0000 000</t>
  </si>
  <si>
    <t>ДОХОДЫ ОТ ОКАЗАНИЯ ПЛАТНЫХ УСЛУГ И КОМПЕНСАЦИИ ЗАТРАТ ГОСУДАРСТВА</t>
  </si>
  <si>
    <t xml:space="preserve"> 1 1303000 00 0000 130</t>
  </si>
  <si>
    <t>Прочие доходы от оказания платных услуг и компенсации затрат государства</t>
  </si>
  <si>
    <t xml:space="preserve"> 1 1303050 05 0000 130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</si>
  <si>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</si>
  <si>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</si>
  <si>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</si>
  <si>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</si>
  <si>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</si>
  <si>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</si>
  <si>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 xml:space="preserve"> 1 14 06000 00 0000 430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</si>
  <si>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</si>
  <si>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1 14 06014 10 0000 430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</si>
  <si>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</si>
  <si>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 xml:space="preserve"> 1 15 00000 00 0000 000</t>
  </si>
  <si>
    <t>АДМИНИСТРАТИВНЫЕ ПЛАТЕЖИ И СБОРЫ</t>
  </si>
  <si>
    <t xml:space="preserve"> 1 1502000 00 0000 140</t>
  </si>
  <si>
    <t>Платежи, взимаемые государственными и муниципальными организациями за выполнение определенных функций</t>
  </si>
  <si>
    <t xml:space="preserve"> 1 1502050 05 0000 140</t>
  </si>
  <si>
    <t>Платежи, взимаемые   организациями муниципальных районов за выполнение определенных функций</t>
  </si>
  <si>
    <t xml:space="preserve"> 1 16 00000 00 0000 000</t>
  </si>
  <si>
    <t>ШТРАФЫ, САНКЦИИ, ВОЗМЕЩЕНИЕ УЩЕРБА</t>
  </si>
  <si>
    <t xml:space="preserve"> 1 16 03000 00 0000 140</t>
  </si>
  <si>
    <t>Денежные взыскания (штрафы) за нарушение законодательства о налогах и сборах</t>
  </si>
  <si>
    <t xml:space="preserve"> 1 16 03010 01 0000 140</t>
  </si>
  <si>
    <r>
  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, 132, 134,  135 и  135.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Налогового кодекса Российской Федерации</t>
    </r>
  </si>
  <si>
    <t xml:space="preserve">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</si>
  <si>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</si>
  <si>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</si>
  <si>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</si>
  <si>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</si>
  <si>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спирта,алкогольной, спиртсодержащей и табачной  продукции </t>
  </si>
  <si>
    <t>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</si>
  <si>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</si>
  <si>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 xml:space="preserve"> 1 16 25010 01 0000 140</t>
  </si>
  <si>
    <t>Денежные взыскания (штрафы) за нарушение  законодательства о недрах</t>
  </si>
  <si>
    <t xml:space="preserve"> 1 16 25030 01 0000 140</t>
  </si>
  <si>
    <t xml:space="preserve">Денежные взыскания (штрафы) за нарушение  законодательства об охране и использовании животного мира  </t>
  </si>
  <si>
    <t xml:space="preserve"> 1 16 25050  01 0000 140</t>
  </si>
  <si>
    <t>Денежные взыскания (штрафы) за нарушение законодательства в области охраны окружающей среды</t>
  </si>
  <si>
    <t xml:space="preserve"> 1 16 25060 01 0000 140</t>
  </si>
  <si>
    <t>Денежные взыскания (штрафы) за нарушение земельного законодательства</t>
  </si>
  <si>
    <t xml:space="preserve">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</si>
  <si>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</si>
  <si>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1 16 30000 01 0000 140</t>
  </si>
  <si>
    <t>Денежные взыскания (штрафы) за административные правонарушения в области дорожного движения</t>
  </si>
  <si>
    <t xml:space="preserve"> 1 16 33050 05 0000 140</t>
  </si>
  <si>
    <t>Денежные взыскания (штрафы) за нарушение  законодательства РФ о размещении заказов на поставки товаров, выполнение работ, оказание услуг для нужд муниципальных районов</t>
  </si>
  <si>
    <t xml:space="preserve"> 1 16 90050 05 0000 140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</si>
  <si>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</si>
  <si>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 xml:space="preserve"> 1 17 00000 00 0000 000</t>
  </si>
  <si>
    <t>ПРОЧИЕ НЕНАЛОГОВЫЕ ДОХОДЫ</t>
  </si>
  <si>
    <t xml:space="preserve"> 1 1705000 00 0000 180</t>
  </si>
  <si>
    <t>Прочие неналоговые доходы</t>
  </si>
  <si>
    <t xml:space="preserve"> 1 1705050 05 0000 180</t>
  </si>
  <si>
    <t>Прочие неналоговые доходы бюджетов муниципальных районов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</si>
  <si>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</si>
  <si>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 xml:space="preserve"> 2 0000000 00 0000 000</t>
  </si>
  <si>
    <t>БЕЗВОЗМЕЗДНЫЕ ПОСТУПЛЕНИЯ</t>
  </si>
  <si>
    <t>2 0200000 00 0000 000</t>
  </si>
  <si>
    <t>БЕЗВОЗМЕЗДНЫЕ ПОСТУПЛЕНИЯ ОТ ДРУГИХ БЮДЖЕТОВ БЮДЖЕТНОЙ СИСТЕМЫ РОССИЙСКОЙ ФЕДЕРАЦИИ</t>
  </si>
  <si>
    <t xml:space="preserve"> 2 0201000 00 0000 000</t>
  </si>
  <si>
    <t>Дотации бюджетам субъектов Российской Федерации и муниципальных образований</t>
  </si>
  <si>
    <t>2 0201001 05 0000 151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</si>
  <si>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</si>
  <si>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выравнивание бюджетной обеспеченности район</t>
  </si>
  <si>
    <t>Дотации  бюджетам муниципальных районов на выравнивание уровня бюджетной обеспеченности сельские поселения</t>
  </si>
  <si>
    <t xml:space="preserve"> 2 0201003 05 0000 151</t>
  </si>
  <si>
    <t>Дотации бюджетам муниципальных районов на поддержку мер по обеспечению сбалансированности бюджетов</t>
  </si>
  <si>
    <t xml:space="preserve"> 2 0202000 00 0000 000</t>
  </si>
  <si>
    <t>Субсидии бюджетам субъектов Российской Федерации и муниципальных образований (межбюджетные субсидии)</t>
  </si>
  <si>
    <t>Субсидии на реализацию РЦП "Жилище" на 2002-2010 годы"  подпрограмма "Обеспечение жильем молодых семей" (через Министерство образования, науки и молодежной политики РА)</t>
  </si>
  <si>
    <t xml:space="preserve"> 2 02 02077 05 0000 151</t>
  </si>
  <si>
    <t>Субсидии бюджетам муниципальных районов на реализацию федеральных целевых программ</t>
  </si>
  <si>
    <t xml:space="preserve"> 2 0202999 05 0000 151</t>
  </si>
  <si>
    <t>Прочие субсидии  бюджетам муниципальных районов</t>
  </si>
  <si>
    <t>092 2 02 02999 05 0000 151</t>
  </si>
  <si>
    <t>Субсидии на подпрограмму "Обеспечение земельных участков коммунальной инфраструктурой в целях жилищного строительства на территории Республики Алтай" РЦП "Жилище" на 2002-2010 годы" (софинансирование подготовки градостроительной документации)</t>
  </si>
  <si>
    <t>Субсидии на подготовку к отопительному сезону объектов ЖКХ (через Минрегин)</t>
  </si>
  <si>
    <t xml:space="preserve">Субсидии на софинансирование расходов на решение вопросов местного значения поселений, связанных с реализацией Федерального закона "Об общих принципах организации местного самоуправления в Российской Федерации" </t>
  </si>
  <si>
    <t>Субсидии на капитальный и текущий ремонт объектов социально-культурной сферы</t>
  </si>
  <si>
    <t>Субсидии на предоставление ежемесячной надбавки к заработной плате молодым специалистам в муниципальных образовательных учреждениях</t>
  </si>
  <si>
    <t xml:space="preserve">Субсидии   на комплектование книжных фондов библиотек муниципальных образований Республики Алтай </t>
  </si>
  <si>
    <t xml:space="preserve"> 2 0203000 00 0000 000</t>
  </si>
  <si>
    <t>Субвенции  бюджетам субъектов Российской Федерации и мунициапальных образований</t>
  </si>
  <si>
    <t xml:space="preserve"> 2 0203001 05 0000 151</t>
  </si>
  <si>
    <t>Субвенции  бюджетам  муниципальных районов на оплату жилищно-коммунальных услуг отдельным категориям граждан</t>
  </si>
  <si>
    <t xml:space="preserve"> 2 0203002 05 0000 151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</si>
  <si>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</si>
  <si>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 xml:space="preserve"> 2 0203004 05 0000 151</t>
  </si>
  <si>
    <t>Субвенции бюджетам муниципальных районов на обеспечение мер социальной поддержки для лиц, награжденных знаками "Почетный донор СССР" , "Почетный донор России"</t>
  </si>
  <si>
    <t>2 0203013  05 0000 151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</si>
  <si>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</si>
  <si>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2 0203015 05 0000 151</t>
  </si>
  <si>
    <t>Субвенции бюджетам муниципальных районов на осуществление  первичного  воинскоого учета на территориях, где отсутствуют военные комиссариаты</t>
  </si>
  <si>
    <t xml:space="preserve"> 2 0203021 05 0000 151</t>
  </si>
  <si>
    <t xml:space="preserve">Субвенции бюджетам муниципальных районов на ежемесячное денежное вознаграждение  за классное руководство </t>
  </si>
  <si>
    <t xml:space="preserve"> 2 0203022 05 0000 151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</si>
  <si>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</si>
  <si>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2 0203024 05 0000 151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</si>
  <si>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</si>
  <si>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на реализацию Закона Республики Алтай "О наделении органов местного самоуправления государственными полномочиями в области архивного дела"</t>
  </si>
  <si>
    <t>Субвенции на реализацию Закона Республики Алтай "О наделении органов местного самоуправления государственными полномочиями Республики Алтай по образованию и организации деятельности муниципальных комиссий по делам несовершеннолетних и защите их прав"</t>
  </si>
  <si>
    <t>Субвенции на реализацию пунктов 11-14 статьи 1 Закона Республики Алтай "О наделении органов местного самоуправления в Республике Алтай отдельными государственными полномочиями в области социальной поддержки, социального обслуживания отдельных категорий граждан и управления охраной труда"</t>
  </si>
  <si>
    <t>Субвенции на осуществление государственных полномочий по лицензированию продажи алкогольной продукции</t>
  </si>
  <si>
    <t>Субвенции на обеспечение государственных гарантий прав граждан на получение общедоступного и бесплатного дошкольного,  начального общего, основного общего, среднего (полного) общего образования, а так же дополнительного образования в общеобразовательных учреждениях</t>
  </si>
  <si>
    <t>Субвенции на организацию и осуществление деятельности органов местного самоуправления по осуществлению полномочий по опеке и попечительству , социальной поддержке детей-сирот,  детей, осташихся без попечения родителей, и лиц из их числа</t>
  </si>
  <si>
    <t>Субвенции на предоставление гарантированных услуг по погребению</t>
  </si>
  <si>
    <t>Субвенции на предоставление мер социальной поддержки ветеранам труда Республики Алтай</t>
  </si>
  <si>
    <t>Субвенции на предоставление мер социальной поддержки некоторым категориям работников, проживающих в сельской местности Республики Алтай</t>
  </si>
  <si>
    <t>Субвенции  на предоставление мер социальной  поддержки отдельным категориям ветеранов</t>
  </si>
  <si>
    <t>Субвенции  на осуществление  выплаты   ежемесячного пособия на ребенка</t>
  </si>
  <si>
    <t>Субвенции на предоставление мер социальной поддержки многодетным семьям</t>
  </si>
  <si>
    <t>Субвенции на осуществление  государственных полномочий по вопросам административного законодательства</t>
  </si>
  <si>
    <t>Субвенции на осуществление  назначения и выплаты доплат к пенсиям</t>
  </si>
  <si>
    <t xml:space="preserve"> 2 0203026 05 0000 151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</si>
  <si>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</si>
  <si>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2 0203027 05 0000 151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</si>
  <si>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</si>
  <si>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2 0203029 05 0000 151</t>
  </si>
  <si>
    <t>Субвенции бюджетам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 общеобразовательную программу дошкольного образования</t>
  </si>
  <si>
    <t xml:space="preserve"> 2 0203033 05 0000 151</t>
  </si>
  <si>
    <t>Субвенции бюджетам муниципальных районов на оздоровление детей</t>
  </si>
  <si>
    <t xml:space="preserve"> 2 0203055 05 0000 151</t>
  </si>
  <si>
    <t>Субвенции на осуществление денежных выплат медицинскому персоналу фельдшерско-акушерских пунктов (заведующим фельдшерско-акушерскими пунктами, фельдшерам, акушеркам, медицинским сестрам, в том числе медицинским сестрам патронажным), врачам, фельдшерам (акушеркам), медицинским сестрам учреждений и подразделений скорой медицинской помощи муниципальной системы здравоохранения (через Министерство здравоохранения Республики Алтай)</t>
  </si>
  <si>
    <t xml:space="preserve"> 2 02 03070 05 0000 151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</si>
  <si>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</si>
  <si>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2 18 05030 05 0000 151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</si>
  <si>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 прошлых лет из бюджетов поселений</t>
  </si>
  <si>
    <t xml:space="preserve"> 2 19 05000 05 0000 151</t>
  </si>
  <si>
    <t>ВСЕГО ДОХОДОВ</t>
  </si>
  <si>
    <t>ДОХОДЫ без учета объема безвозмездных поступлений</t>
  </si>
  <si>
    <t>Остатки на 01.01.2011 год</t>
  </si>
  <si>
    <t>Целевые остатки на 01.01.2011год</t>
  </si>
  <si>
    <t>Остаток средств на 01.01.2011г. направленных на погашение дефицита бюджета</t>
  </si>
  <si>
    <t>ВСЕГО ДОХОДОВ и остатков</t>
  </si>
  <si>
    <t>ДОХОД</t>
  </si>
  <si>
    <t xml:space="preserve"> 2 02 02080 05 0000 151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</si>
  <si>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</si>
  <si>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1 14 02032  05 0000  410</t>
  </si>
  <si>
    <t xml:space="preserve"> 2 02 02009 05 0000 151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</si>
  <si>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</si>
  <si>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 xml:space="preserve"> 2 0202085 05 0000 151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</si>
  <si>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</si>
  <si>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 xml:space="preserve"> 2 0202105 05 0000 151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</si>
  <si>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</si>
  <si>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Cубсидии на повышение оплаты труда работников органов местного самоуправления, оплата труда которых осуществляется на основе новых систем оплаты труда, а также  работников муниципальных учреждений в Республике Алтай</t>
  </si>
  <si>
    <t>Субвенции бюджетам муниципальных образований на реализации РЦП "Социальная адаптация граждан, освободившихся из мест лишения свободы"</t>
  </si>
  <si>
    <t xml:space="preserve"> 2 02 03069 05 0000 151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</si>
  <si>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</si>
  <si>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 202 04029 05 0000 151</t>
  </si>
  <si>
    <t xml:space="preserve"> 202 04034 05 0000 151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</si>
  <si>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</si>
  <si>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</si>
  <si>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 xml:space="preserve"> 2 02 02051 05 0000 151</t>
  </si>
  <si>
    <t>Субсидии бюджетам муниципальных районов на модернизацию региональных систем общего образования</t>
  </si>
  <si>
    <t xml:space="preserve"> 2 0202145 05 0000 151</t>
  </si>
  <si>
    <t>Прочие межбюджетные трансферты, передаваемые бюджетам муниципальных районов</t>
  </si>
  <si>
    <t xml:space="preserve"> 202 04999 05 0000 151</t>
  </si>
  <si>
    <t>Иные межбюджетные трансферты</t>
  </si>
  <si>
    <t xml:space="preserve"> 2 0204000 00 0000 000</t>
  </si>
  <si>
    <t>Субсидии на реализацию Региональной целевой программы "Оснащение многоквартирных домов коллективными приборами учета потребления коммунального ресурса на 2009-2011 годы"</t>
  </si>
  <si>
    <t>Субсидии на реализацию Региональной целевой программы" Энергосбережение и повышение энергетической эффективности Республики Алтай на 2010-2015 годы и на период до 2020 года"Подпрограмма "Энергосбережение в сфере предоставления коммунальных услуг на территории Республики Алтай"</t>
  </si>
  <si>
    <t>Государственная пошлина за выдачу разрешения на установку рекламной конструкции</t>
  </si>
  <si>
    <t>1 0807150 01 0000 110</t>
  </si>
  <si>
    <t xml:space="preserve"> 2 0202150 05 0000 151</t>
  </si>
  <si>
    <t>Субсидии бюджетам муниципальных районов на реализацию  региональной программы по энергосбережению и повышения энергетической эффективности на период до 2020 года.</t>
  </si>
  <si>
    <t>Приложение 1</t>
  </si>
  <si>
    <t>Кассовое исполнение</t>
  </si>
  <si>
    <t>2011 год</t>
  </si>
  <si>
    <t xml:space="preserve"> 1 0102070 01 0000 110</t>
  </si>
  <si>
    <t xml:space="preserve"> 1 1701000 00 0000 180</t>
  </si>
  <si>
    <t xml:space="preserve"> 1 1701050 05 0000 180</t>
  </si>
  <si>
    <t>Невыясненные поступления</t>
  </si>
  <si>
    <t>Невясненные поступления,зачисляемые в бюджеты муниципальных районов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</si>
  <si>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физических лиц на основании патента</t>
  </si>
  <si>
    <t>ЗАДОЛЖЕННОСТЬ И ПЕРЕРАСЧЕТЫ ПО ОТМЕНЕННЫМ НАЛОГАМ, СБОРАМ И ИНЫМ ОБЯЗАТЕЛЬНЫМ ПЛАТЕЖАМ</t>
  </si>
  <si>
    <t xml:space="preserve"> 1 0900000 00 0000 000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</si>
  <si>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</si>
  <si>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Налог с продаж</t>
  </si>
  <si>
    <t>1 09 06010 02 0000 110</t>
  </si>
  <si>
    <t>1 09 01030 05 0000 110</t>
  </si>
  <si>
    <t>______________________________________________________________________</t>
  </si>
  <si>
    <t>092 01 05 00 00 00 0000 000</t>
  </si>
  <si>
    <t>Изменение остатков средств на счетах по учету средств бюджета</t>
  </si>
  <si>
    <t>092 01 06 05 02 05 0000 540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</si>
  <si>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</si>
  <si>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092 01 06 05 01 05 0000 540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</si>
  <si>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</si>
  <si>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092 01 06 05 00 00 0000 500</t>
  </si>
  <si>
    <t>Предоставление бюджетных кредитов внутри страны в валюте Российской Федерации</t>
  </si>
  <si>
    <t>092 01 06 05 02 05 0000 640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</si>
  <si>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</si>
  <si>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092 01 06 05 01 05 0000 640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</si>
  <si>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</si>
  <si>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092 01 06 05 00 00 0000 600</t>
  </si>
  <si>
    <t>Возврат бюджетных кредитов, предоставленных внутри страны в валюте Российской Федерации</t>
  </si>
  <si>
    <t>092 01 06 05 00 00 0000 000</t>
  </si>
  <si>
    <t>Бюджетные кредиты, предоставленные внутри страны в валюте Российской Федерации</t>
  </si>
  <si>
    <t>166 01 06 01 00 05 0000 630</t>
  </si>
  <si>
    <t>Средства от продажи акций и иных форм участия в капитале, находящихся в собственности муниципального района</t>
  </si>
  <si>
    <t>166 01 06 01 00 00 0000 630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</si>
  <si>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</si>
  <si>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166 01 06 01 00 00 0000 000</t>
  </si>
  <si>
    <t>Акции и иные формы участия в капитале, находящихся в государственной и муниципальной собственности</t>
  </si>
  <si>
    <t>000 01 06 00 00 00 0000 000</t>
  </si>
  <si>
    <t>Иные источники внутреннего финансирования дефицитов бюджетов</t>
  </si>
  <si>
    <t>092 01 03 00 00 05 0000 810</t>
  </si>
  <si>
    <t>Погашение бюджетами муниципального района кредитов от других бюджетов бюджетной системы Российской Федерации в валюте Российской Федерации</t>
  </si>
  <si>
    <t>092 01 03 00 00 00 0000 800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</si>
  <si>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</si>
  <si>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092 01 03 00 00 05 0000 710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</si>
  <si>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</si>
  <si>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092 01 03 00 00 00 0000 700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</si>
  <si>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</si>
  <si>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092 01 03 00 00 00 0000 000</t>
  </si>
  <si>
    <t>Бюджетные кредиты от других бюджетов бюджетной системы Российской Федерации</t>
  </si>
  <si>
    <t xml:space="preserve"> нецелевых остатков на начало года</t>
  </si>
  <si>
    <t>из них целевых остатков на начало года</t>
  </si>
  <si>
    <t>092 01 05 02 01 05 0000 610</t>
  </si>
  <si>
    <t>Уменьшение прочих остатков денежных средств бюджетов муниципальных районов</t>
  </si>
  <si>
    <t>092 01 05 02 00 00 0000 600</t>
  </si>
  <si>
    <t>Уменьшение прочих остатков средств бюджетов</t>
  </si>
  <si>
    <t>092 01 05 02 01 05 0000 510</t>
  </si>
  <si>
    <t>Увеличение прочих остатков денежных средств бюджетов муниципальных районов</t>
  </si>
  <si>
    <t>092 01 05 02 00 00 0000 500</t>
  </si>
  <si>
    <t>Увеличение прочих остатков средств бюджетов</t>
  </si>
  <si>
    <t>000 00 00 00 00 00 0000 000</t>
  </si>
  <si>
    <t>Источники внутреннего финансирования дефицита бюджета:</t>
  </si>
  <si>
    <t>Дефицит бюджета</t>
  </si>
  <si>
    <t>Сумма, тыс. руб.</t>
  </si>
  <si>
    <t>Код бюджетной классификации</t>
  </si>
  <si>
    <t>Наименование источника</t>
  </si>
  <si>
    <t>тыс. руб.</t>
  </si>
  <si>
    <t>Исполнение по источникам финансирования дефицита  бюджета  МО "Онгудайский район" на 2011 год</t>
  </si>
  <si>
    <t>Приложение 4</t>
  </si>
  <si>
    <t xml:space="preserve"> Приложение 2</t>
  </si>
  <si>
    <t>Исполнение</t>
  </si>
  <si>
    <t>тыс.рублей</t>
  </si>
  <si>
    <t>Наименование разделов и подразделов</t>
  </si>
  <si>
    <t>Рз</t>
  </si>
  <si>
    <t>Пр</t>
  </si>
  <si>
    <t>Сумма на 2009 год</t>
  </si>
  <si>
    <t xml:space="preserve">Изменения и дополнения </t>
  </si>
  <si>
    <t>Исполнение 2010</t>
  </si>
  <si>
    <t>Процент исполнения плана (%)</t>
  </si>
  <si>
    <t>Доля в общем расходе 2011г (%)</t>
  </si>
  <si>
    <t>Темп роста в 2011г по сравн. С 2010г (%)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</si>
  <si>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</si>
  <si>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</si>
  <si>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</si>
  <si>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</si>
  <si>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</si>
  <si>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</si>
  <si>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</si>
  <si>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</si>
  <si>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</si>
  <si>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</si>
  <si>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</si>
  <si>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</si>
  <si>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</si>
  <si>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</si>
  <si>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</si>
  <si>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Другие общегосударственные вопросы</t>
  </si>
  <si>
    <t>13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</si>
  <si>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</si>
  <si>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</si>
  <si>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</si>
  <si>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</si>
  <si>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</si>
  <si>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</si>
  <si>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</si>
  <si>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09</t>
  </si>
  <si>
    <t xml:space="preserve">Другие вопросы в области национальной безопасности и правоохранительной деятельности 
</t>
  </si>
  <si>
    <t>14</t>
  </si>
  <si>
    <t>Национальная экономика</t>
  </si>
  <si>
    <t>0400</t>
  </si>
  <si>
    <t>Общеэкономические вопросы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</si>
  <si>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</si>
  <si>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</si>
  <si>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</si>
  <si>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</si>
  <si>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Прикладные научные исследования в области национальной экономики</t>
  </si>
  <si>
    <t>11</t>
  </si>
  <si>
    <t>Другие вопросы в области национальной экономики</t>
  </si>
  <si>
    <t>12</t>
  </si>
  <si>
    <t>Жилищно- 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</si>
  <si>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</si>
  <si>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</si>
  <si>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</si>
  <si>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</si>
  <si>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</si>
  <si>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</si>
  <si>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0700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</si>
  <si>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</si>
  <si>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</si>
  <si>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</si>
  <si>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</si>
  <si>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</si>
  <si>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 xml:space="preserve">Культура и кинематография </t>
  </si>
  <si>
    <t>0800</t>
  </si>
  <si>
    <t>Культура</t>
  </si>
  <si>
    <t>Периодическая печать и издательства</t>
  </si>
  <si>
    <t xml:space="preserve">Другие вопросы в области культуры, кинематографии </t>
  </si>
  <si>
    <t>Другие вопросы в области культуры, кинематографии и стредств массовой информации</t>
  </si>
  <si>
    <t xml:space="preserve">Здравоохранение </t>
  </si>
  <si>
    <t>0900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</si>
  <si>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</si>
  <si>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</si>
  <si>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</si>
  <si>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</si>
  <si>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Социальная политика</t>
  </si>
  <si>
    <t>1000</t>
  </si>
  <si>
    <t>Пенсионное обеспечение</t>
  </si>
  <si>
    <t>10</t>
  </si>
  <si>
    <t>Социальное обслуживание населения</t>
  </si>
  <si>
    <t>Социальное обеспечение население</t>
  </si>
  <si>
    <t>Охрана семьи  и детства</t>
  </si>
  <si>
    <t>Другие вопросы в области социальной политики</t>
  </si>
  <si>
    <t>Межбюджетные трансферты</t>
  </si>
  <si>
    <t>1100</t>
  </si>
  <si>
    <t>Физическая культура и спорт</t>
  </si>
  <si>
    <t>Физическая культура</t>
  </si>
  <si>
    <t>Средства массовой информации</t>
  </si>
  <si>
    <t>1200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</si>
  <si>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</si>
  <si>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</si>
  <si>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</si>
  <si>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 xml:space="preserve">Межбюджетные трансферты бюджетам субъектов РФ и муниципальных образований </t>
  </si>
  <si>
    <t>1400</t>
  </si>
  <si>
    <t>Дотации на выравнивание бюджетной обеспеченности субъектов РФ и муниципальных образований</t>
  </si>
  <si>
    <t>Иные дотации</t>
  </si>
  <si>
    <t>Прочие межбюджетные трансферты бюджетам субъектов РФ и муниципальных образований общего характера</t>
  </si>
  <si>
    <t>ВСЕГО РАСХОДОВ</t>
  </si>
  <si>
    <t>итог</t>
  </si>
  <si>
    <t>1103</t>
  </si>
  <si>
    <t>1102</t>
  </si>
  <si>
    <t>1101</t>
  </si>
  <si>
    <t>1006</t>
  </si>
  <si>
    <t>1004</t>
  </si>
  <si>
    <t>1003</t>
  </si>
  <si>
    <t>1002</t>
  </si>
  <si>
    <t>1001</t>
  </si>
  <si>
    <t>0910</t>
  </si>
  <si>
    <t>0909</t>
  </si>
  <si>
    <t>0908</t>
  </si>
  <si>
    <t>,</t>
  </si>
  <si>
    <t>0904</t>
  </si>
  <si>
    <t>0902</t>
  </si>
  <si>
    <t>0901</t>
  </si>
  <si>
    <t>0806</t>
  </si>
  <si>
    <t>0804</t>
  </si>
  <si>
    <t>0801</t>
  </si>
  <si>
    <t>0709</t>
  </si>
  <si>
    <t>0707</t>
  </si>
  <si>
    <t>0705</t>
  </si>
  <si>
    <t>0702</t>
  </si>
  <si>
    <t>0701</t>
  </si>
  <si>
    <t>0505</t>
  </si>
  <si>
    <t>0503</t>
  </si>
  <si>
    <t>0502</t>
  </si>
  <si>
    <t>0501</t>
  </si>
  <si>
    <t>0412</t>
  </si>
  <si>
    <t>0411</t>
  </si>
  <si>
    <t>0409</t>
  </si>
  <si>
    <t>0405</t>
  </si>
  <si>
    <t>0401</t>
  </si>
  <si>
    <t>0314</t>
  </si>
  <si>
    <t>0309</t>
  </si>
  <si>
    <t>0302</t>
  </si>
  <si>
    <t>0203</t>
  </si>
  <si>
    <t>0114</t>
  </si>
  <si>
    <t>0113</t>
  </si>
  <si>
    <t>0112</t>
  </si>
  <si>
    <t>0111</t>
  </si>
  <si>
    <t>0107</t>
  </si>
  <si>
    <t>0106</t>
  </si>
  <si>
    <t>0105</t>
  </si>
  <si>
    <t>0104</t>
  </si>
  <si>
    <t>0103</t>
  </si>
  <si>
    <t>0102</t>
  </si>
  <si>
    <t xml:space="preserve">Всего </t>
  </si>
  <si>
    <t>500</t>
  </si>
  <si>
    <t>5129700</t>
  </si>
  <si>
    <t>810</t>
  </si>
  <si>
    <t>Выполнение функций органами местного самоуправления</t>
  </si>
  <si>
    <t>Мероприятия в области  физической культуры</t>
  </si>
  <si>
    <t>5120000</t>
  </si>
  <si>
    <t>Физкультурно-оздоровительная работа и спортивные мероприятия</t>
  </si>
  <si>
    <t xml:space="preserve">Физическая культура </t>
  </si>
  <si>
    <t>Мероприятия в области здравоохранения, спорта физической культуры, туризма</t>
  </si>
  <si>
    <t>Здравоохранение, физическая культура и спорт</t>
  </si>
  <si>
    <t>001</t>
  </si>
  <si>
    <t>4529900</t>
  </si>
  <si>
    <t>Выполнение функций  бюджетными учреждениями</t>
  </si>
  <si>
    <t>Обеспечение деятельности подведомственных учреждений</t>
  </si>
  <si>
    <t>4520000</t>
  </si>
  <si>
    <t>Учебно-методические кабинеты, центральные бухгалтерии, группы хоз.обслуживания</t>
  </si>
  <si>
    <t>Другие вопросы в области культуры,кинематографии, средств массовой информации</t>
  </si>
  <si>
    <t>Другие вопросы в области культуры, кинематографии</t>
  </si>
  <si>
    <t>4400200</t>
  </si>
  <si>
    <t>Комплектование книжных фондов библиотек муниципальных образований</t>
  </si>
  <si>
    <t>4500600</t>
  </si>
  <si>
    <t>4439901</t>
  </si>
  <si>
    <t>4439900</t>
  </si>
  <si>
    <t>4430000</t>
  </si>
  <si>
    <t>Театры, цирки, коцертные и другие организации и исполнительских искусств</t>
  </si>
  <si>
    <t>4429903</t>
  </si>
  <si>
    <t>Выполнение функций бюджетными учреждениями</t>
  </si>
  <si>
    <t>4429900</t>
  </si>
  <si>
    <t>Софинансирование субсидии на кап.,текущий ремонт объктов социо-культ.сферы</t>
  </si>
  <si>
    <t>4429902</t>
  </si>
  <si>
    <t>субсидии на кап.,текущий ремонт объктов социо-культ.сферы</t>
  </si>
  <si>
    <t>4420000</t>
  </si>
  <si>
    <t>Библиотека</t>
  </si>
  <si>
    <t>Культура, кинематография и средства массовой информации</t>
  </si>
  <si>
    <t>7952008</t>
  </si>
  <si>
    <t>Районная целевая программа "Рализация молодежной политики в Онгудайской районе на 2010-2013г"</t>
  </si>
  <si>
    <t>7950000</t>
  </si>
  <si>
    <t>Целевые программы муниципальных образований</t>
  </si>
  <si>
    <t>4319900</t>
  </si>
  <si>
    <t>4310100</t>
  </si>
  <si>
    <t xml:space="preserve"> Проведение мероприятий для детей и молодежи</t>
  </si>
  <si>
    <t>Проведение мероприятий для детей и молодежи</t>
  </si>
  <si>
    <t>5100300</t>
  </si>
  <si>
    <t>Организация общественных работ безработных граждан</t>
  </si>
  <si>
    <t>0020400</t>
  </si>
  <si>
    <t>Центральный аппарат</t>
  </si>
  <si>
    <t>0020000</t>
  </si>
  <si>
    <t>Руководство и управление в сфере установленных функций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</si>
  <si>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</si>
  <si>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 xml:space="preserve">Отдел культуры, спорта и туризма </t>
  </si>
  <si>
    <t>006</t>
  </si>
  <si>
    <t>4578500</t>
  </si>
  <si>
    <t>800</t>
  </si>
  <si>
    <t>Субсидии юридическим лицам</t>
  </si>
  <si>
    <t>Государственная поддержка в сфере культуры, кинематографии и средств массовой информации</t>
  </si>
  <si>
    <t>4570000</t>
  </si>
  <si>
    <t>Периодические издания, учрежденные органами законодательной и исполнительной власти</t>
  </si>
  <si>
    <t>005</t>
  </si>
  <si>
    <t>5058502</t>
  </si>
  <si>
    <t>Социальные выплаты</t>
  </si>
  <si>
    <t>Оказание других видов социальной помощи</t>
  </si>
  <si>
    <t>8101008</t>
  </si>
  <si>
    <t>Субсидии на проведение ремонта жилья гражданам из числа инвалидов и участников Великой Отечественной Войны , вдов погибших (умерших) участников Великой Отечественной Войны, труженников тыла</t>
  </si>
  <si>
    <t>5229604</t>
  </si>
  <si>
    <t>"Обеспечение жильем молодых семей"РЦП "Жилище" на 2011-2015годы</t>
  </si>
  <si>
    <t>099</t>
  </si>
  <si>
    <t>5222702</t>
  </si>
  <si>
    <t xml:space="preserve">Субсидии на осуществление мероприятий
по обеспечению жильем граждан Российской Федерации,
проживающих в сельской местности
</t>
  </si>
  <si>
    <t>Субсидии на обеспечение жильем молодых семей и молодых специалистов</t>
  </si>
  <si>
    <t>1008820</t>
  </si>
  <si>
    <t>"Обеспечение жильем молодых семей"ФЦП "Жилище" на 2011-2015годы</t>
  </si>
  <si>
    <t>1001100</t>
  </si>
  <si>
    <t>ФЦП "Социальное развитие села до 2012года"</t>
  </si>
  <si>
    <t>ФЦП Жилище на 2002-2010г" подпрогр. РЦП "Обеспечение жильем молодых семей"</t>
  </si>
  <si>
    <t>Программа муниципального образования "Онгудайский район" "Обеспечение молодых семей "на 2007-2010г.г</t>
  </si>
  <si>
    <t>5057500</t>
  </si>
  <si>
    <t>Субсидии на осуществление  расходов из местного бюджета  на обеспечение жильем молодых семей прожив.всельской местности</t>
  </si>
  <si>
    <t>1040200</t>
  </si>
  <si>
    <t>ФЦП Жилище на 2002-2010г" подпрогр. "Обеспечение жильем молодых семей"</t>
  </si>
  <si>
    <t>021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</si>
  <si>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</si>
  <si>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«Социальное развитие села до 2010 года»</t>
  </si>
  <si>
    <t>1000000</t>
  </si>
  <si>
    <t>Федеральные целевые программы</t>
  </si>
  <si>
    <t>003</t>
  </si>
  <si>
    <t>1020102</t>
  </si>
  <si>
    <t>Бюджетные инвестиции</t>
  </si>
  <si>
    <t xml:space="preserve">Бюджетные инвестиции в объекты капитального строительства собственности муниципальных образований </t>
  </si>
  <si>
    <t>5220199</t>
  </si>
  <si>
    <t>РП №Модернизация здравоохранения Республики  Алтай на 2011-2012 годы"</t>
  </si>
  <si>
    <t>0960100</t>
  </si>
  <si>
    <t>Бюджетные инвестиции в объекты капитального строительства, не включенные в целевые программы</t>
  </si>
  <si>
    <t>Здравоохранение и спорт</t>
  </si>
  <si>
    <t>Другие вопросы в области культуры,кинематографии</t>
  </si>
  <si>
    <t>5222000</t>
  </si>
  <si>
    <t>Субсидии на реализацию РЦП Развитие АПК с 2009 до 2012г</t>
  </si>
  <si>
    <t>Софинансирование объектов капитального строительства</t>
  </si>
  <si>
    <t>1020100</t>
  </si>
  <si>
    <t>Культура,кинематография, средства массовой информации</t>
  </si>
  <si>
    <t>Выполнение функций  государственными учреждениями</t>
  </si>
  <si>
    <t>Учебно- метод.кабинеты, центр.бухгалтерии, группы хоз.обслуживания</t>
  </si>
  <si>
    <t>7952025</t>
  </si>
  <si>
    <t>МЦП "Патриотическое воспитание граждан в Онгудайском районе  на 2011-2015 годы»"</t>
  </si>
  <si>
    <t>4340000</t>
  </si>
  <si>
    <t>Переподготовка и повышение квалификации кадров</t>
  </si>
  <si>
    <t>4297800</t>
  </si>
  <si>
    <t>4290000</t>
  </si>
  <si>
    <t>Учебные заведения и курсы по переподготовке кадров</t>
  </si>
  <si>
    <t>Переподготовка и повышение квалификации</t>
  </si>
  <si>
    <t>4239900</t>
  </si>
  <si>
    <t>4230000</t>
  </si>
  <si>
    <t>Муниципальное автономное образовательное учреждение дополнительного образования детей "Онгудайская детская школа искусств"</t>
  </si>
  <si>
    <t>5228400</t>
  </si>
  <si>
    <t>Субсидии на реализацию РЦП "Демографическое развитие РА на 2010-2015г"</t>
  </si>
  <si>
    <t>5222700</t>
  </si>
  <si>
    <t>Субсидии на реализацию РЦП "Развитие агропромышленного комплекса", на 2011-2017г</t>
  </si>
  <si>
    <t>5220000</t>
  </si>
  <si>
    <t>Региональные целевые программы</t>
  </si>
  <si>
    <t>4219900</t>
  </si>
  <si>
    <t>Выпонение функций бюджетными учреждениями</t>
  </si>
  <si>
    <t>1020101</t>
  </si>
  <si>
    <t>1020000</t>
  </si>
  <si>
    <t>Бюджетные инвестиции  в объекты капитального строительства собственности муниципальных образований</t>
  </si>
  <si>
    <t>5230200</t>
  </si>
  <si>
    <t>5230000</t>
  </si>
  <si>
    <t>Субсидии на реализацию РЦП "Жилище " на 2008-2010гг" подпрограмма "Обеспечение земельных участков коммунальной инфраструктурой в целях жилищного строительства на территории РА"</t>
  </si>
  <si>
    <t>Софинансирование РЦП "Жилище " на 2008-2010гг" подпрограмма "Обеспечение земельных участков коммунальной инфраструктурой в целях жилищного строительства на территории РА"</t>
  </si>
  <si>
    <t>1002900</t>
  </si>
  <si>
    <t>6000400</t>
  </si>
  <si>
    <t>Организация и содержание мест захоронения</t>
  </si>
  <si>
    <t>6000200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</si>
  <si>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</si>
  <si>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6000000</t>
  </si>
  <si>
    <t>Благоустрой ство</t>
  </si>
  <si>
    <t>8100108</t>
  </si>
  <si>
    <t>Субсидии на подготовку  к отопительному сезону объектов  жилищно-коммунального хозяйства</t>
  </si>
  <si>
    <t>7952021</t>
  </si>
  <si>
    <t>МЦП "Обеспечение населения Онгудайского района питьевой водой на 2011-2013г"</t>
  </si>
  <si>
    <t>7952020</t>
  </si>
  <si>
    <t>МЦП "Энергосбережение в МО "Онгудайский район" на 2010-2015г"</t>
  </si>
  <si>
    <t>Муниципальные целевые программы</t>
  </si>
  <si>
    <t>5225101</t>
  </si>
  <si>
    <t>РЦП "Энергосбережение в сфере предоставления  коммунальных услуг на терр РА"</t>
  </si>
  <si>
    <t>Федеральная целевая программа «Преодоление последствий радиационных аварий на период до 2010 года»</t>
  </si>
  <si>
    <t>5230101</t>
  </si>
  <si>
    <t>Капитальное строительство объектов муниципальных образований</t>
  </si>
  <si>
    <t>Развитие социальной  и  инженерной инфраструктуры субъектов РФ и муниципальных образований</t>
  </si>
  <si>
    <t>5229500</t>
  </si>
  <si>
    <t>Региональная целевая программа "Отходы 2008-2010г.г"</t>
  </si>
  <si>
    <t>РЦП Развитие АПК с 2011 до 2017г</t>
  </si>
  <si>
    <t>3510500</t>
  </si>
  <si>
    <t>Мероприятия в области коммунального хозяйства</t>
  </si>
  <si>
    <t>ФЦП "Социальное развитие села  до 2012г"</t>
  </si>
  <si>
    <t>0923400</t>
  </si>
  <si>
    <t>Возмещение части  процентной ставки по кредитам, привлеченным на реализацию  энергосберег.мероприятий на  источниках коммун.ресурсов</t>
  </si>
  <si>
    <t>ФЦП Преодоление последствий радиационных аварий" на период до 2010 года"</t>
  </si>
  <si>
    <t>7952026</t>
  </si>
  <si>
    <t>МЦП «Оснащение многоквартирных домов коллективными (общедомовыми) приборами учета потребления коммунального ресурса на 2011-2013 годы»</t>
  </si>
  <si>
    <t>5222100</t>
  </si>
  <si>
    <t>РЦП " Оснащение многокварт. Домов коллективными (общедомовыми) приборами учета потребления коммунального ресурса на 2009-2011 годы"</t>
  </si>
  <si>
    <t>0980201</t>
  </si>
  <si>
    <t>0980200</t>
  </si>
  <si>
    <t>Обеспечение мероприятий по капит.ремонту многоквартирных домов и переселению граждан из аварийного жилищного фонда за счет средств бюджетов</t>
  </si>
  <si>
    <t>0980202</t>
  </si>
  <si>
    <t>3500300</t>
  </si>
  <si>
    <t>Мероприятия в области жилищного хозяйства</t>
  </si>
  <si>
    <t>Жилищно-коммунальное хозяйство</t>
  </si>
  <si>
    <t>5229606</t>
  </si>
  <si>
    <t>РЦП "Жилище на 2011-2015годы" подпрограмма "Стимулитрование развития  жилищного строительства на территроии РА "</t>
  </si>
  <si>
    <t>3400300</t>
  </si>
  <si>
    <t>Мероприятия по землеустройству и землепользованию</t>
  </si>
  <si>
    <t>3400000</t>
  </si>
  <si>
    <t xml:space="preserve">Реализация государственных фнукций  в области национальной экономики </t>
  </si>
  <si>
    <t>3380001</t>
  </si>
  <si>
    <t>3380000</t>
  </si>
  <si>
    <t>Мероприятия в области строительства, архитектуры и градостроительства</t>
  </si>
  <si>
    <t>Другие вопросы в области  национальной экономики</t>
  </si>
  <si>
    <t>ФЦП "Жилище" на 2008-2010г.г."Обеспечение земельных участков  коммунальной инфраструктурой  в целях жил.строительства</t>
  </si>
  <si>
    <t>3150201</t>
  </si>
  <si>
    <t>Дорожное хозяйство</t>
  </si>
  <si>
    <t>342</t>
  </si>
  <si>
    <t>7952005</t>
  </si>
  <si>
    <t>Мероприятия в области сельскохозяйственного производства</t>
  </si>
  <si>
    <t>МЦП "Развитие агропромышленного комплекса в Онгудайском районе" на 2011-2014 годы</t>
  </si>
  <si>
    <t>7952023</t>
  </si>
  <si>
    <t>Мероприятия в области</t>
  </si>
  <si>
    <t>МЦП "Комплексные  меры по противодействию незаконному обороту и потреблению наркотических средств, психотропных веществ и их прекурсоров в Онгудайском районе на 2011-2014 годы»</t>
  </si>
  <si>
    <t>Другие вопросы в области национальной безопасности и правоохранительной деятельности</t>
  </si>
  <si>
    <t>014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</si>
  <si>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</si>
  <si>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</si>
  <si>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</si>
  <si>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</si>
  <si>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</si>
  <si>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</si>
  <si>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4409900</t>
  </si>
  <si>
    <t>4400000</t>
  </si>
  <si>
    <t>Дворцы и дома культуры, другие учреждения культуры и средств массовой информации</t>
  </si>
  <si>
    <t>0016100</t>
  </si>
  <si>
    <t>0016000</t>
  </si>
  <si>
    <t>Осуществление государственных полномочий в области архивного дела</t>
  </si>
  <si>
    <t>3,958 перепись убрать.</t>
  </si>
  <si>
    <t>0014300</t>
  </si>
  <si>
    <t>Субвенции на осуществление полномочий по подготовке и проведению переписи населения</t>
  </si>
  <si>
    <t>0200003</t>
  </si>
  <si>
    <t>Проведение выборов главы муниципального образования</t>
  </si>
  <si>
    <t>0200002</t>
  </si>
  <si>
    <t>Проведение выборов в представительные органы муниципального образования</t>
  </si>
  <si>
    <t>0200000</t>
  </si>
  <si>
    <t>Проведение  выборов  и референдумов</t>
  </si>
  <si>
    <t>Обеспечение  проведения  выборов  и референдумов</t>
  </si>
  <si>
    <t>012</t>
  </si>
  <si>
    <t>0014000</t>
  </si>
  <si>
    <t>Выполнение функций государственными органами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</si>
  <si>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</si>
  <si>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7952007</t>
  </si>
  <si>
    <t>Выполнение функций  местными органами</t>
  </si>
  <si>
    <t>Софинансирование РЦП "Поддержка реформирования общественных финансов на 2008-2009годы"</t>
  </si>
  <si>
    <t>Осуществление государственных полномочий по вопросам административного законодательства</t>
  </si>
  <si>
    <t>Выполнение функций  государственными органами</t>
  </si>
  <si>
    <t>0016200</t>
  </si>
  <si>
    <t>Осуществление государственных полномочий в сфере организации деятельности комиссий по делам несовершеннолетних и защите их прав</t>
  </si>
  <si>
    <t>0021100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</si>
  <si>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</si>
  <si>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</si>
  <si>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0020300</t>
  </si>
  <si>
    <t>Глава муниципального образования</t>
  </si>
  <si>
    <t>Функционирование высшего должностного лица субъекта Российской Федерации и органа местного самоуправления</t>
  </si>
  <si>
    <t>Администрация Онгудайского района (аймака)</t>
  </si>
  <si>
    <t>7952006</t>
  </si>
  <si>
    <t>188</t>
  </si>
  <si>
    <t>Целевая программа "Повышение безопасности дорожного движения в Онгудайском районе на 2007-2009 годы"</t>
  </si>
  <si>
    <t>7950001</t>
  </si>
  <si>
    <t>МЦП "Профилактика правонарушений в муниципальном образорвании "Онгудайский район" на 2006-2009 г.г.""</t>
  </si>
  <si>
    <t>ОВД   по Онгудайскому району</t>
  </si>
  <si>
    <t>482</t>
  </si>
  <si>
    <t>7952011</t>
  </si>
  <si>
    <t>150</t>
  </si>
  <si>
    <t>Мероприятия в области социальной политики</t>
  </si>
  <si>
    <t>МЦП "Улучшения условий и охраны труда в МО "Онгудайский район на 2011-2013г.г."</t>
  </si>
  <si>
    <t>7952009</t>
  </si>
  <si>
    <t xml:space="preserve">Районная подпрограмма «Социальная поддержка населения МО "Онгудайский район" </t>
  </si>
  <si>
    <t>0016300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</si>
  <si>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</t>
  </si>
  <si>
    <t>5058501</t>
  </si>
  <si>
    <t>5140000</t>
  </si>
  <si>
    <t>Реализация государственных функций в области социальной политики</t>
  </si>
  <si>
    <t>5058500</t>
  </si>
  <si>
    <t>5056800</t>
  </si>
  <si>
    <t>Предоставление мер социальной поддержки многодетным семьям</t>
  </si>
  <si>
    <t>5056700</t>
  </si>
  <si>
    <t>Предоставление мер социальной поддержки некоторым категориям работников, проживающих в сельской местности Республики Алтай</t>
  </si>
  <si>
    <t>5056600</t>
  </si>
  <si>
    <t>Предоставление мер социальной поддержки ветеранам труда Республики Алтай</t>
  </si>
  <si>
    <t>5056500</t>
  </si>
  <si>
    <t>Предоставление гарантированных услуг по погребению</t>
  </si>
  <si>
    <t>5055531</t>
  </si>
  <si>
    <t>5055530</t>
  </si>
  <si>
    <t>Обеспечение мер социальной поддержки реабилитированных лиц и лиц, признанных пострадавшими от политических репрессий</t>
  </si>
  <si>
    <t>5055521</t>
  </si>
  <si>
    <t>Обеспечение мер социальной поддержки ветеранов труда и тружеников тыла</t>
  </si>
  <si>
    <t>5055511</t>
  </si>
  <si>
    <t>Ежемесячное пособие на ребенка</t>
  </si>
  <si>
    <t>Пособия по социальной помощи населению</t>
  </si>
  <si>
    <t>5054801</t>
  </si>
  <si>
    <t>Предоставление гражданам субсидий на оплату жилого помещения и коммунальных услуг</t>
  </si>
  <si>
    <t>5054800</t>
  </si>
  <si>
    <t>5054701</t>
  </si>
  <si>
    <t>5054700</t>
  </si>
  <si>
    <t>5054600</t>
  </si>
  <si>
    <t>Оплата жилищно-коммунальных услуг отдельным категориям граждан</t>
  </si>
  <si>
    <t>5054500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</si>
  <si>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</si>
  <si>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5053402</t>
  </si>
  <si>
    <t>5053401</t>
  </si>
  <si>
    <t>5053400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</si>
  <si>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Ленинграда"</t>
  </si>
  <si>
    <t>5053110</t>
  </si>
  <si>
    <t>Обеспечение мер социальной поддержки ветеранов труда федер.</t>
  </si>
  <si>
    <t>Обеспечение мер социальной поддержки ветеранов труда РА</t>
  </si>
  <si>
    <t>5053100</t>
  </si>
  <si>
    <t>5053101</t>
  </si>
  <si>
    <t>5053001</t>
  </si>
  <si>
    <t>5053000</t>
  </si>
  <si>
    <t>5052901</t>
  </si>
  <si>
    <t>Обеспечение мер социальной поддержки для лиц, награжденных знаком "Почетный донор России"</t>
  </si>
  <si>
    <t>5052205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</si>
  <si>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</si>
  <si>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5050000</t>
  </si>
  <si>
    <t>Социальная помощь</t>
  </si>
  <si>
    <t>0700400</t>
  </si>
  <si>
    <t>Резервный фонд Правительства Республики Алтай по предупреждению и ликвидации чрезвычайных ситуаций и последствий стихийных бедствий</t>
  </si>
  <si>
    <t>Социальное обеспечение населения</t>
  </si>
  <si>
    <t>5089900</t>
  </si>
  <si>
    <t>5079900</t>
  </si>
  <si>
    <t>5070000</t>
  </si>
  <si>
    <t>Учреждения социального обслуживания населения</t>
  </si>
  <si>
    <t>4910200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</si>
  <si>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</si>
  <si>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5056900</t>
  </si>
  <si>
    <t>4910100</t>
  </si>
  <si>
    <t>Доплаты к пенсиям государственных служащих субъектов Российской Федерации и муниципальных служащих</t>
  </si>
  <si>
    <t>4320200</t>
  </si>
  <si>
    <t>Оздоровление детей</t>
  </si>
  <si>
    <t>4320000</t>
  </si>
  <si>
    <t>Мероприятия по организации оздоровительной кампании детей и подростков</t>
  </si>
  <si>
    <t>Обеспечение деятельности подведомственных  учреждений</t>
  </si>
  <si>
    <t>Отдел труда и социального развития  Онгудайского района</t>
  </si>
  <si>
    <t>010</t>
  </si>
  <si>
    <t>8101003</t>
  </si>
  <si>
    <t>Фонд софинансирования</t>
  </si>
  <si>
    <t>Субсидии на софинансирование  расходов  по решению  вопросов местного значения поселений, связанных с реализацией  Закона РФ  от06.10.2003г №131-ФЗ</t>
  </si>
  <si>
    <t>8101001</t>
  </si>
  <si>
    <t>Субсидии на капитальный  и текущий ремонт  объектов  социально-культурной сферы</t>
  </si>
  <si>
    <t>8101000</t>
  </si>
  <si>
    <t>Субсидии бюджетам  муниципальных образований для софинансирования расходных обязательств, возникающих при выполнении  полномочий  органов местного самоуправления по вопросам местного значения</t>
  </si>
  <si>
    <t>017</t>
  </si>
  <si>
    <t>5201500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</si>
  <si>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</si>
  <si>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87</t>
  </si>
  <si>
    <t>008</t>
  </si>
  <si>
    <t>5160130</t>
  </si>
  <si>
    <t>Фонд финансовой помощи</t>
  </si>
  <si>
    <t xml:space="preserve">Выравнивание бюджетной обеспеченности поселений из районного фонда финансовой поддержки </t>
  </si>
  <si>
    <t>5160110</t>
  </si>
  <si>
    <t xml:space="preserve">Выравнивание бюджетной обеспеченности поселений из регионального фонда финансовой поддержки </t>
  </si>
  <si>
    <t>5160100</t>
  </si>
  <si>
    <t>Выравнивание бюджетной обеспеченности</t>
  </si>
  <si>
    <t xml:space="preserve">Дотации на выравнивание бюджетной обеспеченности субъектов РФ и муниципальных образований </t>
  </si>
  <si>
    <t>00</t>
  </si>
  <si>
    <t>Межбюджетные трансферты бюджетам субъектов РФ и муниципальных образований общего характера</t>
  </si>
  <si>
    <t>013</t>
  </si>
  <si>
    <t>0650300</t>
  </si>
  <si>
    <t>Прочие расходы</t>
  </si>
  <si>
    <t>Процентные платежи по муниципальному долгу</t>
  </si>
  <si>
    <t>0650000</t>
  </si>
  <si>
    <t>Процентные платежи по долговым обязательствам</t>
  </si>
  <si>
    <t>009</t>
  </si>
  <si>
    <t>0013600</t>
  </si>
  <si>
    <t>Фонд компенсаций</t>
  </si>
  <si>
    <t>Осуществление  первичного  воинского учета на территориях, где отсутствуют военные комиссариаты</t>
  </si>
  <si>
    <t>Субвенции бюджетам субъектов  Российской Федерации и  муниципальных образований</t>
  </si>
  <si>
    <t>8101002</t>
  </si>
  <si>
    <t>Субсидии на софинансирование  расходов на благоустройство</t>
  </si>
  <si>
    <t>Субсидии бюджетам  субъектов Российской Федерации  и  муниципальных образований (межбюджетные субсидии)</t>
  </si>
  <si>
    <t>Фонд финансовой поддержки</t>
  </si>
  <si>
    <t>Выравнивание уровня бюджетной обеспеченности поселений из районного фонда фин.поддержки</t>
  </si>
  <si>
    <t>797</t>
  </si>
  <si>
    <t>7959100</t>
  </si>
  <si>
    <t>Мероприятия по реализации проекта в рамках преимущественно одноканального финансирования</t>
  </si>
  <si>
    <t>Территориальная программа государственных гарантий оказания гражданам РФ на территории РА бесплатной медицинской помощи</t>
  </si>
  <si>
    <t>Здравоохранение</t>
  </si>
  <si>
    <t>4419900</t>
  </si>
  <si>
    <t>Культура,кинематография</t>
  </si>
  <si>
    <t>КЦСР 5201500</t>
  </si>
  <si>
    <t>Субсидии юридическим лицам на финансовое обеспечение мероприятий по проведению капитального ремонта многоквартирных домов</t>
  </si>
  <si>
    <t>7950002</t>
  </si>
  <si>
    <t>МЦП  «Развитие малого предпринимательства  и туризма в Онгудайском районе на 2010-2012г</t>
  </si>
  <si>
    <t>5227900</t>
  </si>
  <si>
    <t>Сфинансированиемун программ развития малого и среднего  предпринимательства из респ.бюджета</t>
  </si>
  <si>
    <t>3450101</t>
  </si>
  <si>
    <t>Субсидии на поддержку малого и среднего предпринимательства, включая крестьянские (фермерские) хозяйства</t>
  </si>
  <si>
    <t>Малое и среднее предпринимательство</t>
  </si>
  <si>
    <t>3450100</t>
  </si>
  <si>
    <t>3450000</t>
  </si>
  <si>
    <t>МЦП «Повышение безопасности дорожного движения в Онгудайском районе на 2010-2012г</t>
  </si>
  <si>
    <t>МЦП «Профилактика правонарушений на территории Онгудайского района на 2010-2012 г.г»</t>
  </si>
  <si>
    <t>Прочие расходы, финансируемые по поступлению доходов и источников  финансирования дефицита бюджтеа</t>
  </si>
  <si>
    <t>Выполнение других обязательств государства</t>
  </si>
  <si>
    <t>Фонд коменсаций</t>
  </si>
  <si>
    <t>Осуществление первичного воинского учета на территориях, где отсутствуют военные комиссариаты</t>
  </si>
  <si>
    <t>Мобилизационная  и вневойсковая подготовка</t>
  </si>
  <si>
    <t>0700500</t>
  </si>
  <si>
    <t>0016500</t>
  </si>
  <si>
    <t>Осуществление государственных полномочий по лицензированию розничной продажи алкогольной продукции</t>
  </si>
  <si>
    <t>Резервные фонды местных администраций</t>
  </si>
  <si>
    <t>0700000</t>
  </si>
  <si>
    <t>Резервные фонды</t>
  </si>
  <si>
    <t>3,289 было с плюсом по решению июня</t>
  </si>
  <si>
    <t>Руководство и управление в сфере установленных функций органов государственной власти  субъектов РФ и органов местного  самоуправления</t>
  </si>
  <si>
    <t>Обеспечение деятельности  финансовых, налоговых и таможенных  органов и органов финансового надзора</t>
  </si>
  <si>
    <t>МЦП "Реформирование системы управления  общественными  финансами мо "Онгудайский район"  на 2008-2009годы"</t>
  </si>
  <si>
    <t>5228800</t>
  </si>
  <si>
    <t>РЦП "Поддержка реформирования общественных финансов на 2008-2009годы"</t>
  </si>
  <si>
    <t>Ощегосударственные вопросы</t>
  </si>
  <si>
    <t>Управление по экономике и финансам Онгудайского района</t>
  </si>
  <si>
    <t>5201313</t>
  </si>
  <si>
    <t>074</t>
  </si>
  <si>
    <t>5201312</t>
  </si>
  <si>
    <t>Оплата труда приемного родителя</t>
  </si>
  <si>
    <t>5201311</t>
  </si>
  <si>
    <t>Выплата приемной семье на содержание подопечных семей</t>
  </si>
  <si>
    <t>5201310</t>
  </si>
  <si>
    <t>Материальное обеспечение приемной семьи</t>
  </si>
  <si>
    <t>5201301</t>
  </si>
  <si>
    <t>Содержание ребенка в семье опекуна и приемной семье, а также оплата труда приемного  родителя</t>
  </si>
  <si>
    <t>5201300</t>
  </si>
  <si>
    <t>Содержание ребенка в семье опекуна и приемной семье, а также оплпта труда приемного родителя</t>
  </si>
  <si>
    <t>5201001</t>
  </si>
  <si>
    <t>5201000</t>
  </si>
  <si>
    <t>Компенсация части родительской платы за содержание  ребеннка в гос и мун. образовательных учреждениях, реализующих основную общеобразовательную программу дошкольного образования</t>
  </si>
  <si>
    <t>5200000</t>
  </si>
  <si>
    <t>Иные безвозмездные и безвозвратные перечисления</t>
  </si>
  <si>
    <t>5053601</t>
  </si>
  <si>
    <t>5053600</t>
  </si>
  <si>
    <t>Обеспечение жилыми помещениями детей-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</si>
  <si>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755</t>
  </si>
  <si>
    <t>5110000</t>
  </si>
  <si>
    <t>Другие пособия и компенсации</t>
  </si>
  <si>
    <t>Мероприятия по борьбе с беспризорностью, по опеке и попечительству</t>
  </si>
  <si>
    <t>5057200</t>
  </si>
  <si>
    <t>Предоставление дополнительных гарантий по социальной поддержке детей-сирот и детей, оставшихся без попечения родителей, лиц из их числа, находящихся в семье опекуна (попечителя) и приемной семье</t>
  </si>
  <si>
    <t>5050502</t>
  </si>
  <si>
    <t>Выплата единовременного пособия при всех формах устройства детей лишенных родительского попечения, в семью</t>
  </si>
  <si>
    <t>Охрана семьи и детства</t>
  </si>
  <si>
    <t>7952018</t>
  </si>
  <si>
    <t>МЦП "Обеспечение санитарно-эпидемиологического благополучия школ Онгудайского района на 2009-2011 годы"</t>
  </si>
  <si>
    <t>022</t>
  </si>
  <si>
    <t>7952003</t>
  </si>
  <si>
    <t>Мероприятия в сфере образования</t>
  </si>
  <si>
    <t>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комбинаты, логопедические пункты</t>
  </si>
  <si>
    <t>4365300</t>
  </si>
  <si>
    <t>Осуществление государственных полномочий по опеке и попечительству, соц.поддержке детей-сирот,безнадзорн.дет., дет.оставш.без попеч.родителей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</si>
  <si>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</si>
  <si>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4320203</t>
  </si>
  <si>
    <t>Выполнение функций бюджетными учреждениями, за счет средств от  предпринимательской и иной приносящей доход деятельности</t>
  </si>
  <si>
    <t>4320202</t>
  </si>
  <si>
    <t>4320201</t>
  </si>
  <si>
    <t>4362100</t>
  </si>
  <si>
    <t>Выполнение функций бюджетными учреждениями (федер.бюджет)</t>
  </si>
  <si>
    <t>Модернизация  региональной системы общего образования</t>
  </si>
  <si>
    <t xml:space="preserve">Переподготовка и повышение квалификации </t>
  </si>
  <si>
    <t>5225103</t>
  </si>
  <si>
    <t>Оснащение  объектов мун.учр-ий приборами учета воды, прир.газа, эл и тепловой энергии, проведение меропр.по энергосбережению на  объектах мун.учреждений</t>
  </si>
  <si>
    <t xml:space="preserve">Реализация программы повышения эффективности бюджетных расходов. </t>
  </si>
  <si>
    <t>5200900</t>
  </si>
  <si>
    <t>Ежемесячное денежное вознаграждение за классное руководство в государственных и муниципальных  общеобразовательных учреждениях</t>
  </si>
  <si>
    <t>4362101</t>
  </si>
  <si>
    <t>Выполнение функций бюджетными учреждениями (респ.бюджет)</t>
  </si>
  <si>
    <t>4361502</t>
  </si>
  <si>
    <t>4361501</t>
  </si>
  <si>
    <t>4361500</t>
  </si>
  <si>
    <t>Проведение противоаврийных мероприятий в общеобразовательных учреждениях</t>
  </si>
  <si>
    <t>4239903</t>
  </si>
  <si>
    <t>4239902</t>
  </si>
  <si>
    <t>Субсидии на капитальный,текущий ремонт объектов социо-культурной сферы</t>
  </si>
  <si>
    <t>Учреждения по внешкольной работе с детьми</t>
  </si>
  <si>
    <t>4219906</t>
  </si>
  <si>
    <t>Обеспечение питанием учащихся из малообеспеченных семей в муниципальных образовательных учреждениях</t>
  </si>
  <si>
    <t>4219903</t>
  </si>
  <si>
    <t>Субсидии на предоставление ежемесячной надбавки к зарплате молодым специалистам в муниципальных образовательных учреждениях</t>
  </si>
  <si>
    <t>4219902</t>
  </si>
  <si>
    <t>4219905</t>
  </si>
  <si>
    <t>4219904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</si>
  <si>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</t>
  </si>
  <si>
    <t>4219901</t>
  </si>
  <si>
    <t>Выполнение функций бюджетными учреждениями, за счет средств от предпринимательской и иной приносящей доход деятельности</t>
  </si>
  <si>
    <t>4210000</t>
  </si>
  <si>
    <t>Школы- детские сады, школы начальные, неполные средние и средние</t>
  </si>
  <si>
    <t>0700200</t>
  </si>
  <si>
    <t>Резервный фонд Президента Российской Федерации</t>
  </si>
  <si>
    <t>4209901</t>
  </si>
  <si>
    <t>4209900</t>
  </si>
  <si>
    <t>4200000</t>
  </si>
  <si>
    <t>Детские дошкольные учреждения</t>
  </si>
  <si>
    <t xml:space="preserve">Образование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</si>
  <si>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</si>
  <si>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Отдел образования Онгудайского района</t>
  </si>
  <si>
    <t>055</t>
  </si>
  <si>
    <t>МЦП "Скорая медицинская помощь в МО "Онгудайский район" на 2009-2011г"</t>
  </si>
  <si>
    <t>МЦП "О мерах по предупреждению дальнейшего распространения заболеваний, передающихся преимущественно половым путем в МО "Онгудайский район" на 2009-2011г"</t>
  </si>
  <si>
    <t>МЦП "Совершенствование первичной медико-санитарной помощи населению МО "Онгудайский район" на 2009-2011г</t>
  </si>
  <si>
    <t>МЦП "Профилактика и предупреждение распространения туберкулеза в МО "Онгудайский район" на 2009-2011г</t>
  </si>
  <si>
    <t>МЦП "Вакцинопрофилактика заболеваний, управляемых иммунизацией в МО "Онгудайский район" на 2008-2010г"</t>
  </si>
  <si>
    <t>Учебно- методические кабинеты, централизованные бухгалтерии, группы хозяйственного обслуживания</t>
  </si>
  <si>
    <t>Другие вопросы в области здравоохранения, физической культуры и спорта</t>
  </si>
  <si>
    <t>МЦП "Скорая медицинская помощь в МО "Онгудайский район" на 2011-2013г"</t>
  </si>
  <si>
    <t>МЦП "О мерах по предупреждению дальнейшего распространения заболеваний, вызываемого иммунодефицита человека и вирусного гепатитов В и С  на 2011-2013г"</t>
  </si>
  <si>
    <t>МЦП "Вакцинопрофилактика заболеваний, управляемых иммунизацией в МО "Онгудайский район" на 2011-2013г"</t>
  </si>
  <si>
    <t>5201800</t>
  </si>
  <si>
    <t>Денежные выплаты медицинскому персоналу фельдшерско- акушерских пунктов, врачам, фельдшерам и медицинским сестрам скорой медицинской помощи</t>
  </si>
  <si>
    <t>4709900</t>
  </si>
  <si>
    <t>5054100</t>
  </si>
  <si>
    <t>Финансовое обеспечение государственного задания в соответствии с программой  государственных гарантий  оказания гражданам РФ бесплаттной мед.помощи на оказание дополнительной бесплатной  медицинской помощи, оказыавемой врачами - трапевтами участковыми, врачами-педиатрами участковыми, врачами общей практики и медицинскими сестрами врачей -терапевтов, врачей -педиатров участковыми и  врачей общей практики</t>
  </si>
  <si>
    <t>4789903</t>
  </si>
  <si>
    <t>4789902</t>
  </si>
  <si>
    <t>4789900</t>
  </si>
  <si>
    <t>4780000</t>
  </si>
  <si>
    <t>Фельдшерско- акушерские пункты</t>
  </si>
  <si>
    <t>4719903</t>
  </si>
  <si>
    <t>4719902</t>
  </si>
  <si>
    <t>4719900</t>
  </si>
  <si>
    <t>4710000</t>
  </si>
  <si>
    <t>Поликлиники, амбулатории, диагностические центры</t>
  </si>
  <si>
    <t>4709903</t>
  </si>
  <si>
    <t>4709902</t>
  </si>
  <si>
    <t>4709901</t>
  </si>
  <si>
    <t>4700000</t>
  </si>
  <si>
    <t>Больницы, клиники, госпитали, медико- санитарные части</t>
  </si>
  <si>
    <t>0960300</t>
  </si>
  <si>
    <t>Реализация мероприятий по внедрению стандартов и повышению доступности амбулаторной медицинской помощи в рамках региональной программы модернизации здравоохранения</t>
  </si>
  <si>
    <t>0700402</t>
  </si>
  <si>
    <t xml:space="preserve">Резервный фонд Правительства Республики Алтай </t>
  </si>
  <si>
    <t>Профессиональная подготовка, переподготовка и повышение квалификации кадров</t>
  </si>
  <si>
    <t>МУЗ  Онгудайская ЦРБ</t>
  </si>
  <si>
    <t>А</t>
  </si>
  <si>
    <t>Вид расхода**</t>
  </si>
  <si>
    <t>Целевая статья**</t>
  </si>
  <si>
    <t>Подраздел</t>
  </si>
  <si>
    <t>Раздел</t>
  </si>
  <si>
    <r>
      <t>Главный</t>
    </r>
    <r>
      <rPr>
        <b/>
        <sz val="11"/>
        <rFont val="Times New Roman"/>
        <family val="1"/>
      </rPr>
      <t xml:space="preserve"> распорядитель, распорядитель средств</t>
    </r>
  </si>
  <si>
    <t>Функциональной классификации расходов</t>
  </si>
  <si>
    <t>Сумма на утверждение   2009г (тыс.руб.)</t>
  </si>
  <si>
    <t>Изменения и дополнения   (тыс.руб)</t>
  </si>
  <si>
    <t>Сумма на 2009 год (тыс.руб.)</t>
  </si>
  <si>
    <t>КОДЫ</t>
  </si>
  <si>
    <t xml:space="preserve">Наименование </t>
  </si>
  <si>
    <t>Приложение 3</t>
  </si>
  <si>
    <t xml:space="preserve">к решению сессии Совета депутатов района( аймака) "О проекте исполнения бюджета муниципального образования "Онгудайский район" за 2011г. от 14.05.2012 №32-3" </t>
  </si>
  <si>
    <t>к решению сессии Совета депутатов района (аймака)  "О проекте исполнения бюджета муниципального образования "Онгудайский район" за 2011г. от 14.05.2012г №32-3)</t>
  </si>
  <si>
    <t>к решению сессии Совета депутатов района (аймака) "О проекте исполнения бюджета муниципального образования "Онгудайский район" за 2011г от 14.05.2012г № 32-3)</t>
  </si>
  <si>
    <t>расходов бюджета муниципального образования  "Онгудайский район" за 2011 год                                           по разделам и подразделам   классификации расходов бюджетов Российской Федерации</t>
  </si>
  <si>
    <t>ОТЧЕТ ОБ ИСПОЛНЕНИИ БЮДЖЕТА  ПО  ДОХОДАМ МУНИЦИПАЛЬНОГО ОБРАЗОВАНИЯ "ОНГУДАЙСКИЙ РАЙОН" ЗА 2011 ГОД.</t>
  </si>
  <si>
    <t>расходов бюджета муниципального образования  "Онгудайский район" по главным распорядителям бюджетных средств, разделам, подразделам, целевым статьям расходов, видам расходов  классификации расходов бюджетов Российской Федерации за 2011 год</t>
  </si>
  <si>
    <t>Кассовое исполнение 2011г (тыс.руб.)</t>
  </si>
  <si>
    <t>к  решению сессии Совета депутатов района (аймака) "О проекте исполнения бюджета муниципального образования "Онгудайский район" за 2011 год" от 14.05.2012г № 32-3"</t>
  </si>
  <si>
    <t>Уточненный план на  2011г (тыс.руб.)</t>
  </si>
  <si>
    <t>Уточненный план на 2011г</t>
  </si>
  <si>
    <t>Кассовое исполнение за 2011г</t>
  </si>
  <si>
    <t>Процент исполнения плана,в (%)</t>
  </si>
  <si>
    <t>Уточненый план на 2011 г. (тыс.руб.)</t>
  </si>
  <si>
    <t>Процент исполнения плана, в (%)</t>
  </si>
  <si>
    <t xml:space="preserve">Уточненый план </t>
  </si>
  <si>
    <t>% исполнения плана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</si>
</sst>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_-* #,##0.00000_р_._-;\-* #,##0.00000_р_._-;_-* &quot;-&quot;??_р_._-;_-@_-"/>
    <numFmt numFmtId="171" formatCode="_(&quot;$&quot;* #,##0.00_);_(&quot;$&quot;* \(#,##0.00\);_(&quot;$&quot;* &quot;-&quot;??_);_(@_)"/>
    <numFmt numFmtId="172" formatCode="_-* #,##0.0_р_._-;\-* #,##0.0_р_._-;_-* &quot;-&quot;??_р_._-;_-@_-"/>
    <numFmt numFmtId="173" formatCode="_-* #,##0.000_р_._-;\-* #,##0.000_р_._-;_-* &quot;-&quot;??_р_._-;_-@_-"/>
    <numFmt numFmtId="174" formatCode="#,##0.00_ ;\-#,##0.00\ "/>
    <numFmt numFmtId="175" formatCode="_-* #,##0.0000_р_._-;\-* #,##0.0000_р_._-;_-* &quot;-&quot;??_р_._-;_-@_-"/>
    <numFmt numFmtId="176" formatCode="_-* #,##0.000_р_._-;\-* #,##0.000_р_._-;_-* &quot;-&quot;???_р_._-;_-@_-"/>
    <numFmt numFmtId="177" formatCode="_-* #,##0.000000_р_._-;\-* #,##0.000000_р_._-;_-* &quot;-&quot;??_р_._-;_-@_-"/>
    <numFmt numFmtId="178" formatCode="_-* #,##0.00000_р_._-;\-* #,##0.00000_р_._-;_-* &quot;-&quot;?????_р_._-;_-@_-"/>
    <numFmt numFmtId="179" formatCode="_-* #,##0.0000_р_._-;\-* #,##0.0000_р_._-;_-* &quot;-&quot;?????_р_._-;_-@_-"/>
    <numFmt numFmtId="180" formatCode="_-* #,##0.000_р_._-;\-* #,##0.000_р_._-;_-* &quot;-&quot;?????_р_._-;_-@_-"/>
    <numFmt numFmtId="181" formatCode="_-* #,##0.00_р_._-;\-* #,##0.00_р_._-;_-* &quot;-&quot;???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_ ;\-#,##0.000\ "/>
    <numFmt numFmtId="187" formatCode="#,##0.0000_ ;\-#,##0.0000\ "/>
    <numFmt numFmtId="188" formatCode="#,##0.00000_ ;\-#,##0.00000\ "/>
    <numFmt numFmtId="189" formatCode="#,##0.0_ ;\-#,##0.0\ "/>
    <numFmt numFmtId="190" formatCode="#,##0.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0"/>
      <name val="Arial Cyr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9"/>
      <name val="Arial Cyr"/>
      <family val="0"/>
    </font>
    <font>
      <sz val="7"/>
      <name val="Arial"/>
      <family val="2"/>
    </font>
    <font>
      <sz val="8"/>
      <name val="Arial"/>
      <family val="2"/>
    </font>
    <font>
      <sz val="7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b/>
      <sz val="8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48"/>
      <name val="Times New Roman"/>
      <family val="1"/>
    </font>
    <font>
      <b/>
      <sz val="11"/>
      <color indexed="10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48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u val="single"/>
      <sz val="11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40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F0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503">
    <xf numFmtId="0" fontId="0" fillId="0" borderId="0" xfId="0" applyFont="1" applyAlignment="1">
      <alignment/>
    </xf>
    <xf numFmtId="43" fontId="4" fillId="0" borderId="10" xfId="74" applyNumberFormat="1" applyFont="1" applyFill="1" applyBorder="1" applyAlignment="1">
      <alignment horizontal="center" vertical="top" wrapText="1"/>
    </xf>
    <xf numFmtId="43" fontId="4" fillId="0" borderId="10" xfId="74" applyFont="1" applyFill="1" applyBorder="1" applyAlignment="1">
      <alignment horizontal="center" vertical="top" wrapText="1"/>
    </xf>
    <xf numFmtId="43" fontId="4" fillId="0" borderId="0" xfId="74" applyNumberFormat="1" applyFont="1" applyFill="1" applyBorder="1" applyAlignment="1">
      <alignment horizontal="center" vertical="top" wrapText="1"/>
    </xf>
    <xf numFmtId="43" fontId="3" fillId="0" borderId="10" xfId="74" applyFont="1" applyBorder="1" applyAlignment="1">
      <alignment horizontal="center" vertical="center"/>
    </xf>
    <xf numFmtId="43" fontId="4" fillId="33" borderId="10" xfId="74" applyNumberFormat="1" applyFont="1" applyFill="1" applyBorder="1" applyAlignment="1">
      <alignment horizontal="center" vertical="top" wrapText="1"/>
    </xf>
    <xf numFmtId="43" fontId="4" fillId="0" borderId="0" xfId="74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3" fontId="0" fillId="0" borderId="0" xfId="74" applyFont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top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4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170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43" fontId="0" fillId="0" borderId="0" xfId="0" applyNumberFormat="1" applyAlignment="1">
      <alignment/>
    </xf>
    <xf numFmtId="174" fontId="4" fillId="0" borderId="10" xfId="74" applyNumberFormat="1" applyFont="1" applyFill="1" applyBorder="1" applyAlignment="1">
      <alignment horizontal="center" vertical="top" wrapText="1"/>
    </xf>
    <xf numFmtId="43" fontId="3" fillId="0" borderId="0" xfId="0" applyNumberFormat="1" applyFont="1" applyFill="1" applyBorder="1" applyAlignment="1">
      <alignment/>
    </xf>
    <xf numFmtId="43" fontId="4" fillId="0" borderId="0" xfId="0" applyNumberFormat="1" applyFont="1" applyBorder="1" applyAlignment="1">
      <alignment/>
    </xf>
    <xf numFmtId="170" fontId="4" fillId="33" borderId="10" xfId="72" applyNumberFormat="1" applyFont="1" applyFill="1" applyBorder="1" applyAlignment="1">
      <alignment horizontal="center" vertical="top" wrapText="1"/>
    </xf>
    <xf numFmtId="173" fontId="4" fillId="0" borderId="10" xfId="74" applyNumberFormat="1" applyFont="1" applyFill="1" applyBorder="1" applyAlignment="1">
      <alignment horizontal="center" vertical="top" wrapText="1"/>
    </xf>
    <xf numFmtId="178" fontId="0" fillId="0" borderId="0" xfId="0" applyNumberFormat="1" applyAlignment="1">
      <alignment/>
    </xf>
    <xf numFmtId="43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8" fontId="3" fillId="0" borderId="0" xfId="0" applyNumberFormat="1" applyFont="1" applyFill="1" applyAlignment="1">
      <alignment/>
    </xf>
    <xf numFmtId="43" fontId="4" fillId="34" borderId="10" xfId="74" applyNumberFormat="1" applyFont="1" applyFill="1" applyBorder="1" applyAlignment="1">
      <alignment horizontal="center" vertical="top" wrapText="1"/>
    </xf>
    <xf numFmtId="43" fontId="3" fillId="0" borderId="0" xfId="72" applyFont="1" applyAlignment="1">
      <alignment/>
    </xf>
    <xf numFmtId="170" fontId="0" fillId="0" borderId="0" xfId="0" applyNumberFormat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0" xfId="61" applyFont="1">
      <alignment/>
      <protection/>
    </xf>
    <xf numFmtId="4" fontId="10" fillId="0" borderId="0" xfId="61" applyNumberFormat="1" applyFont="1" applyAlignment="1">
      <alignment horizontal="center"/>
      <protection/>
    </xf>
    <xf numFmtId="0" fontId="10" fillId="0" borderId="0" xfId="61" applyFont="1" applyAlignment="1">
      <alignment horizontal="center"/>
      <protection/>
    </xf>
    <xf numFmtId="2" fontId="10" fillId="0" borderId="0" xfId="61" applyNumberFormat="1" applyFont="1" applyAlignment="1">
      <alignment vertical="center" wrapText="1"/>
      <protection/>
    </xf>
    <xf numFmtId="2" fontId="11" fillId="0" borderId="10" xfId="61" applyNumberFormat="1" applyFont="1" applyBorder="1" applyAlignment="1">
      <alignment horizontal="center" vertical="center"/>
      <protection/>
    </xf>
    <xf numFmtId="2" fontId="11" fillId="0" borderId="10" xfId="61" applyNumberFormat="1" applyFont="1" applyBorder="1" applyAlignment="1">
      <alignment horizontal="center" vertical="center" wrapText="1"/>
      <protection/>
    </xf>
    <xf numFmtId="2" fontId="11" fillId="0" borderId="10" xfId="61" applyNumberFormat="1" applyFont="1" applyBorder="1" applyAlignment="1">
      <alignment vertical="center" wrapText="1"/>
      <protection/>
    </xf>
    <xf numFmtId="4" fontId="10" fillId="0" borderId="0" xfId="61" applyNumberFormat="1" applyFont="1" applyBorder="1" applyAlignment="1">
      <alignment horizontal="center" vertical="center" wrapText="1"/>
      <protection/>
    </xf>
    <xf numFmtId="4" fontId="10" fillId="0" borderId="10" xfId="61" applyNumberFormat="1" applyFont="1" applyBorder="1" applyAlignment="1">
      <alignment horizontal="center" vertical="center" wrapText="1"/>
      <protection/>
    </xf>
    <xf numFmtId="4" fontId="10" fillId="0" borderId="11" xfId="61" applyNumberFormat="1" applyFont="1" applyBorder="1" applyAlignment="1">
      <alignment horizontal="center" vertical="center" wrapText="1"/>
      <protection/>
    </xf>
    <xf numFmtId="2" fontId="10" fillId="0" borderId="10" xfId="61" applyNumberFormat="1" applyFont="1" applyBorder="1" applyAlignment="1">
      <alignment horizontal="center" vertical="center" wrapText="1"/>
      <protection/>
    </xf>
    <xf numFmtId="2" fontId="10" fillId="0" borderId="10" xfId="61" applyNumberFormat="1" applyFont="1" applyBorder="1" applyAlignment="1">
      <alignment vertical="center" wrapText="1"/>
      <protection/>
    </xf>
    <xf numFmtId="4" fontId="11" fillId="0" borderId="10" xfId="61" applyNumberFormat="1" applyFont="1" applyBorder="1" applyAlignment="1">
      <alignment horizontal="center" vertical="center" wrapText="1"/>
      <protection/>
    </xf>
    <xf numFmtId="4" fontId="11" fillId="0" borderId="11" xfId="61" applyNumberFormat="1" applyFont="1" applyBorder="1" applyAlignment="1">
      <alignment horizontal="center" vertical="center" wrapText="1"/>
      <protection/>
    </xf>
    <xf numFmtId="2" fontId="12" fillId="0" borderId="10" xfId="61" applyNumberFormat="1" applyFont="1" applyBorder="1" applyAlignment="1">
      <alignment vertical="center" wrapText="1"/>
      <protection/>
    </xf>
    <xf numFmtId="4" fontId="13" fillId="0" borderId="10" xfId="61" applyNumberFormat="1" applyFont="1" applyBorder="1" applyAlignment="1">
      <alignment horizontal="center" vertical="center" wrapText="1"/>
      <protection/>
    </xf>
    <xf numFmtId="4" fontId="13" fillId="0" borderId="10" xfId="61" applyNumberFormat="1" applyFont="1" applyBorder="1" applyAlignment="1">
      <alignment horizontal="center" vertical="center"/>
      <protection/>
    </xf>
    <xf numFmtId="4" fontId="13" fillId="0" borderId="11" xfId="61" applyNumberFormat="1" applyFont="1" applyBorder="1" applyAlignment="1">
      <alignment horizontal="center" vertical="center"/>
      <protection/>
    </xf>
    <xf numFmtId="0" fontId="13" fillId="0" borderId="10" xfId="61" applyFont="1" applyBorder="1" applyAlignment="1">
      <alignment horizontal="center" vertical="center" wrapText="1"/>
      <protection/>
    </xf>
    <xf numFmtId="2" fontId="13" fillId="0" borderId="10" xfId="61" applyNumberFormat="1" applyFont="1" applyBorder="1" applyAlignment="1">
      <alignment horizontal="center" vertical="center" wrapText="1"/>
      <protection/>
    </xf>
    <xf numFmtId="4" fontId="13" fillId="0" borderId="0" xfId="61" applyNumberFormat="1" applyFont="1" applyBorder="1" applyAlignment="1">
      <alignment horizontal="center"/>
      <protection/>
    </xf>
    <xf numFmtId="0" fontId="13" fillId="0" borderId="0" xfId="61" applyFont="1" applyBorder="1" applyAlignment="1">
      <alignment horizontal="center"/>
      <protection/>
    </xf>
    <xf numFmtId="2" fontId="13" fillId="0" borderId="0" xfId="61" applyNumberFormat="1" applyFont="1" applyBorder="1" applyAlignment="1">
      <alignment horizontal="center" vertical="center" wrapText="1"/>
      <protection/>
    </xf>
    <xf numFmtId="4" fontId="10" fillId="0" borderId="0" xfId="61" applyNumberFormat="1" applyFont="1" applyAlignment="1">
      <alignment horizontal="center" wrapText="1"/>
      <protection/>
    </xf>
    <xf numFmtId="4" fontId="10" fillId="0" borderId="0" xfId="61" applyNumberFormat="1" applyFont="1" applyAlignment="1">
      <alignment wrapText="1"/>
      <protection/>
    </xf>
    <xf numFmtId="0" fontId="10" fillId="0" borderId="0" xfId="61" applyFont="1" applyBorder="1">
      <alignment/>
      <protection/>
    </xf>
    <xf numFmtId="0" fontId="14" fillId="0" borderId="0" xfId="61" applyFont="1" applyBorder="1" applyAlignment="1">
      <alignment vertical="top" wrapText="1"/>
      <protection/>
    </xf>
    <xf numFmtId="2" fontId="10" fillId="0" borderId="0" xfId="61" applyNumberFormat="1" applyFont="1" applyBorder="1" applyAlignment="1">
      <alignment vertical="center" wrapText="1"/>
      <protection/>
    </xf>
    <xf numFmtId="0" fontId="4" fillId="0" borderId="0" xfId="63" applyFont="1">
      <alignment/>
      <protection/>
    </xf>
    <xf numFmtId="2" fontId="4" fillId="0" borderId="0" xfId="63" applyNumberFormat="1" applyFont="1">
      <alignment/>
      <protection/>
    </xf>
    <xf numFmtId="0" fontId="4" fillId="0" borderId="0" xfId="63" applyFont="1" applyBorder="1">
      <alignment/>
      <protection/>
    </xf>
    <xf numFmtId="0" fontId="4" fillId="0" borderId="0" xfId="63" applyFont="1" applyAlignment="1">
      <alignment horizontal="left" wrapText="1"/>
      <protection/>
    </xf>
    <xf numFmtId="0" fontId="2" fillId="0" borderId="0" xfId="53" applyAlignment="1">
      <alignment horizontal="left" wrapText="1"/>
      <protection/>
    </xf>
    <xf numFmtId="2" fontId="2" fillId="0" borderId="0" xfId="53" applyNumberFormat="1" applyAlignment="1">
      <alignment horizontal="left" wrapText="1"/>
      <protection/>
    </xf>
    <xf numFmtId="0" fontId="16" fillId="0" borderId="0" xfId="53" applyFont="1" applyAlignment="1">
      <alignment wrapText="1"/>
      <protection/>
    </xf>
    <xf numFmtId="2" fontId="16" fillId="0" borderId="0" xfId="53" applyNumberFormat="1" applyFont="1" applyAlignment="1">
      <alignment wrapText="1"/>
      <protection/>
    </xf>
    <xf numFmtId="0" fontId="17" fillId="0" borderId="0" xfId="53" applyFont="1" applyAlignment="1">
      <alignment wrapText="1"/>
      <protection/>
    </xf>
    <xf numFmtId="2" fontId="17" fillId="0" borderId="0" xfId="53" applyNumberFormat="1" applyFont="1" applyAlignment="1">
      <alignment wrapText="1"/>
      <protection/>
    </xf>
    <xf numFmtId="0" fontId="2" fillId="0" borderId="0" xfId="53" applyAlignment="1">
      <alignment wrapText="1"/>
      <protection/>
    </xf>
    <xf numFmtId="0" fontId="9" fillId="0" borderId="0" xfId="63" applyFont="1" applyBorder="1" applyAlignment="1">
      <alignment horizontal="center" wrapText="1"/>
      <protection/>
    </xf>
    <xf numFmtId="0" fontId="4" fillId="0" borderId="0" xfId="63" applyFont="1" applyAlignment="1">
      <alignment wrapText="1"/>
      <protection/>
    </xf>
    <xf numFmtId="2" fontId="4" fillId="0" borderId="0" xfId="63" applyNumberFormat="1" applyFont="1" applyBorder="1">
      <alignment/>
      <protection/>
    </xf>
    <xf numFmtId="0" fontId="19" fillId="0" borderId="10" xfId="63" applyFont="1" applyBorder="1" applyAlignment="1">
      <alignment horizontal="center" vertical="center" wrapText="1"/>
      <protection/>
    </xf>
    <xf numFmtId="0" fontId="19" fillId="0" borderId="10" xfId="53" applyFont="1" applyBorder="1" applyAlignment="1">
      <alignment horizontal="center" vertical="center" wrapText="1"/>
      <protection/>
    </xf>
    <xf numFmtId="2" fontId="19" fillId="0" borderId="10" xfId="53" applyNumberFormat="1" applyFont="1" applyBorder="1" applyAlignment="1">
      <alignment horizontal="center" vertical="center" wrapText="1"/>
      <protection/>
    </xf>
    <xf numFmtId="0" fontId="19" fillId="0" borderId="10" xfId="63" applyFont="1" applyBorder="1" applyAlignment="1">
      <alignment vertical="center" wrapText="1"/>
      <protection/>
    </xf>
    <xf numFmtId="0" fontId="9" fillId="0" borderId="10" xfId="63" applyFont="1" applyBorder="1" applyAlignment="1">
      <alignment wrapText="1"/>
      <protection/>
    </xf>
    <xf numFmtId="49" fontId="9" fillId="0" borderId="10" xfId="63" applyNumberFormat="1" applyFont="1" applyBorder="1" applyAlignment="1">
      <alignment horizontal="center"/>
      <protection/>
    </xf>
    <xf numFmtId="2" fontId="9" fillId="0" borderId="10" xfId="63" applyNumberFormat="1" applyFont="1" applyBorder="1">
      <alignment/>
      <protection/>
    </xf>
    <xf numFmtId="165" fontId="9" fillId="0" borderId="10" xfId="63" applyNumberFormat="1" applyFont="1" applyBorder="1">
      <alignment/>
      <protection/>
    </xf>
    <xf numFmtId="165" fontId="4" fillId="0" borderId="10" xfId="63" applyNumberFormat="1" applyFont="1" applyBorder="1">
      <alignment/>
      <protection/>
    </xf>
    <xf numFmtId="0" fontId="4" fillId="0" borderId="10" xfId="63" applyFont="1" applyBorder="1" applyAlignment="1">
      <alignment wrapText="1"/>
      <protection/>
    </xf>
    <xf numFmtId="49" fontId="4" fillId="0" borderId="10" xfId="63" applyNumberFormat="1" applyFont="1" applyBorder="1" applyAlignment="1">
      <alignment horizontal="center"/>
      <protection/>
    </xf>
    <xf numFmtId="2" fontId="4" fillId="0" borderId="10" xfId="63" applyNumberFormat="1" applyFont="1" applyBorder="1" applyAlignment="1">
      <alignment horizontal="center"/>
      <protection/>
    </xf>
    <xf numFmtId="2" fontId="4" fillId="0" borderId="10" xfId="53" applyNumberFormat="1" applyFont="1" applyBorder="1" applyAlignment="1">
      <alignment horizontal="center" wrapText="1"/>
      <protection/>
    </xf>
    <xf numFmtId="2" fontId="9" fillId="0" borderId="10" xfId="63" applyNumberFormat="1" applyFont="1" applyBorder="1" applyAlignment="1">
      <alignment horizontal="center"/>
      <protection/>
    </xf>
    <xf numFmtId="2" fontId="9" fillId="0" borderId="10" xfId="53" applyNumberFormat="1" applyFont="1" applyBorder="1" applyAlignment="1">
      <alignment horizontal="center" wrapText="1"/>
      <protection/>
    </xf>
    <xf numFmtId="0" fontId="4" fillId="0" borderId="10" xfId="53" applyFont="1" applyBorder="1" applyAlignment="1">
      <alignment wrapText="1"/>
      <protection/>
    </xf>
    <xf numFmtId="167" fontId="17" fillId="0" borderId="0" xfId="53" applyNumberFormat="1" applyFont="1" applyFill="1">
      <alignment/>
      <protection/>
    </xf>
    <xf numFmtId="168" fontId="4" fillId="0" borderId="0" xfId="53" applyNumberFormat="1" applyFont="1">
      <alignment/>
      <protection/>
    </xf>
    <xf numFmtId="168" fontId="4" fillId="0" borderId="0" xfId="63" applyNumberFormat="1" applyFont="1">
      <alignment/>
      <protection/>
    </xf>
    <xf numFmtId="0" fontId="4" fillId="0" borderId="0" xfId="53" applyFont="1">
      <alignment/>
      <protection/>
    </xf>
    <xf numFmtId="0" fontId="4" fillId="0" borderId="0" xfId="53" applyFont="1" applyFill="1">
      <alignment/>
      <protection/>
    </xf>
    <xf numFmtId="168" fontId="4" fillId="0" borderId="0" xfId="53" applyNumberFormat="1" applyFont="1" applyFill="1">
      <alignment/>
      <protection/>
    </xf>
    <xf numFmtId="0" fontId="9" fillId="0" borderId="0" xfId="53" applyFont="1" applyFill="1">
      <alignment/>
      <protection/>
    </xf>
    <xf numFmtId="168" fontId="9" fillId="0" borderId="0" xfId="53" applyNumberFormat="1" applyFont="1" applyFill="1">
      <alignment/>
      <protection/>
    </xf>
    <xf numFmtId="0" fontId="9" fillId="0" borderId="0" xfId="53" applyFont="1">
      <alignment/>
      <protection/>
    </xf>
    <xf numFmtId="49" fontId="4" fillId="0" borderId="0" xfId="53" applyNumberFormat="1" applyFont="1">
      <alignment/>
      <protection/>
    </xf>
    <xf numFmtId="2" fontId="9" fillId="0" borderId="12" xfId="53" applyNumberFormat="1" applyFont="1" applyBorder="1">
      <alignment/>
      <protection/>
    </xf>
    <xf numFmtId="165" fontId="4" fillId="0" borderId="12" xfId="53" applyNumberFormat="1" applyFont="1" applyFill="1" applyBorder="1">
      <alignment/>
      <protection/>
    </xf>
    <xf numFmtId="168" fontId="20" fillId="0" borderId="12" xfId="53" applyNumberFormat="1" applyFont="1" applyBorder="1">
      <alignment/>
      <protection/>
    </xf>
    <xf numFmtId="165" fontId="9" fillId="0" borderId="12" xfId="53" applyNumberFormat="1" applyFont="1" applyBorder="1">
      <alignment/>
      <protection/>
    </xf>
    <xf numFmtId="49" fontId="4" fillId="0" borderId="13" xfId="53" applyNumberFormat="1" applyFont="1" applyBorder="1">
      <alignment/>
      <protection/>
    </xf>
    <xf numFmtId="2" fontId="9" fillId="0" borderId="14" xfId="53" applyNumberFormat="1" applyFont="1" applyFill="1" applyBorder="1">
      <alignment/>
      <protection/>
    </xf>
    <xf numFmtId="0" fontId="9" fillId="0" borderId="14" xfId="53" applyFont="1" applyFill="1" applyBorder="1">
      <alignment/>
      <protection/>
    </xf>
    <xf numFmtId="168" fontId="9" fillId="0" borderId="15" xfId="53" applyNumberFormat="1" applyFont="1" applyBorder="1">
      <alignment/>
      <protection/>
    </xf>
    <xf numFmtId="0" fontId="9" fillId="0" borderId="15" xfId="53" applyFont="1" applyBorder="1">
      <alignment/>
      <protection/>
    </xf>
    <xf numFmtId="168" fontId="9" fillId="0" borderId="10" xfId="53" applyNumberFormat="1" applyFont="1" applyFill="1" applyBorder="1">
      <alignment/>
      <protection/>
    </xf>
    <xf numFmtId="168" fontId="9" fillId="0" borderId="10" xfId="53" applyNumberFormat="1" applyFont="1" applyBorder="1">
      <alignment/>
      <protection/>
    </xf>
    <xf numFmtId="0" fontId="9" fillId="0" borderId="10" xfId="53" applyFont="1" applyBorder="1">
      <alignment/>
      <protection/>
    </xf>
    <xf numFmtId="168" fontId="9" fillId="0" borderId="16" xfId="53" applyNumberFormat="1" applyFont="1" applyBorder="1">
      <alignment/>
      <protection/>
    </xf>
    <xf numFmtId="0" fontId="9" fillId="0" borderId="16" xfId="53" applyFont="1" applyBorder="1">
      <alignment/>
      <protection/>
    </xf>
    <xf numFmtId="0" fontId="9" fillId="0" borderId="17" xfId="53" applyFont="1" applyFill="1" applyBorder="1">
      <alignment/>
      <protection/>
    </xf>
    <xf numFmtId="168" fontId="21" fillId="0" borderId="12" xfId="53" applyNumberFormat="1" applyFont="1" applyBorder="1">
      <alignment/>
      <protection/>
    </xf>
    <xf numFmtId="0" fontId="9" fillId="0" borderId="12" xfId="53" applyFont="1" applyBorder="1">
      <alignment/>
      <protection/>
    </xf>
    <xf numFmtId="0" fontId="21" fillId="0" borderId="13" xfId="53" applyFont="1" applyBorder="1" applyAlignment="1">
      <alignment horizontal="center"/>
      <protection/>
    </xf>
    <xf numFmtId="168" fontId="9" fillId="0" borderId="15" xfId="53" applyNumberFormat="1" applyFont="1" applyFill="1" applyBorder="1">
      <alignment/>
      <protection/>
    </xf>
    <xf numFmtId="168" fontId="9" fillId="0" borderId="16" xfId="53" applyNumberFormat="1" applyFont="1" applyFill="1" applyBorder="1">
      <alignment/>
      <protection/>
    </xf>
    <xf numFmtId="168" fontId="9" fillId="0" borderId="14" xfId="53" applyNumberFormat="1" applyFont="1" applyBorder="1">
      <alignment/>
      <protection/>
    </xf>
    <xf numFmtId="0" fontId="9" fillId="0" borderId="14" xfId="53" applyFont="1" applyBorder="1">
      <alignment/>
      <protection/>
    </xf>
    <xf numFmtId="0" fontId="22" fillId="0" borderId="13" xfId="53" applyFont="1" applyBorder="1" applyAlignment="1">
      <alignment horizontal="left"/>
      <protection/>
    </xf>
    <xf numFmtId="168" fontId="9" fillId="0" borderId="14" xfId="53" applyNumberFormat="1" applyFont="1" applyFill="1" applyBorder="1">
      <alignment/>
      <protection/>
    </xf>
    <xf numFmtId="2" fontId="9" fillId="0" borderId="10" xfId="53" applyNumberFormat="1" applyFont="1" applyFill="1" applyBorder="1">
      <alignment/>
      <protection/>
    </xf>
    <xf numFmtId="0" fontId="9" fillId="0" borderId="10" xfId="53" applyFont="1" applyFill="1" applyBorder="1">
      <alignment/>
      <protection/>
    </xf>
    <xf numFmtId="49" fontId="9" fillId="0" borderId="10" xfId="53" applyNumberFormat="1" applyFont="1" applyBorder="1">
      <alignment/>
      <protection/>
    </xf>
    <xf numFmtId="2" fontId="9" fillId="0" borderId="16" xfId="53" applyNumberFormat="1" applyFont="1" applyFill="1" applyBorder="1">
      <alignment/>
      <protection/>
    </xf>
    <xf numFmtId="0" fontId="9" fillId="0" borderId="16" xfId="53" applyFont="1" applyFill="1" applyBorder="1">
      <alignment/>
      <protection/>
    </xf>
    <xf numFmtId="49" fontId="9" fillId="0" borderId="16" xfId="53" applyNumberFormat="1" applyFont="1" applyBorder="1">
      <alignment/>
      <protection/>
    </xf>
    <xf numFmtId="2" fontId="9" fillId="0" borderId="12" xfId="53" applyNumberFormat="1" applyFont="1" applyFill="1" applyBorder="1">
      <alignment/>
      <protection/>
    </xf>
    <xf numFmtId="0" fontId="9" fillId="0" borderId="12" xfId="53" applyFont="1" applyFill="1" applyBorder="1">
      <alignment/>
      <protection/>
    </xf>
    <xf numFmtId="168" fontId="21" fillId="0" borderId="12" xfId="53" applyNumberFormat="1" applyFont="1" applyFill="1" applyBorder="1">
      <alignment/>
      <protection/>
    </xf>
    <xf numFmtId="49" fontId="22" fillId="0" borderId="13" xfId="53" applyNumberFormat="1" applyFont="1" applyBorder="1" applyAlignment="1">
      <alignment horizontal="center"/>
      <protection/>
    </xf>
    <xf numFmtId="2" fontId="9" fillId="0" borderId="15" xfId="53" applyNumberFormat="1" applyFont="1" applyFill="1" applyBorder="1">
      <alignment/>
      <protection/>
    </xf>
    <xf numFmtId="0" fontId="9" fillId="0" borderId="15" xfId="53" applyFont="1" applyFill="1" applyBorder="1">
      <alignment/>
      <protection/>
    </xf>
    <xf numFmtId="49" fontId="9" fillId="0" borderId="15" xfId="53" applyNumberFormat="1" applyFont="1" applyBorder="1">
      <alignment/>
      <protection/>
    </xf>
    <xf numFmtId="168" fontId="23" fillId="0" borderId="15" xfId="53" applyNumberFormat="1" applyFont="1" applyBorder="1">
      <alignment/>
      <protection/>
    </xf>
    <xf numFmtId="0" fontId="23" fillId="0" borderId="15" xfId="53" applyFont="1" applyBorder="1">
      <alignment/>
      <protection/>
    </xf>
    <xf numFmtId="49" fontId="23" fillId="0" borderId="15" xfId="53" applyNumberFormat="1" applyFont="1" applyBorder="1">
      <alignment/>
      <protection/>
    </xf>
    <xf numFmtId="168" fontId="23" fillId="0" borderId="10" xfId="53" applyNumberFormat="1" applyFont="1" applyFill="1" applyBorder="1">
      <alignment/>
      <protection/>
    </xf>
    <xf numFmtId="168" fontId="23" fillId="0" borderId="10" xfId="53" applyNumberFormat="1" applyFont="1" applyBorder="1">
      <alignment/>
      <protection/>
    </xf>
    <xf numFmtId="0" fontId="23" fillId="0" borderId="10" xfId="53" applyFont="1" applyBorder="1">
      <alignment/>
      <protection/>
    </xf>
    <xf numFmtId="49" fontId="23" fillId="0" borderId="10" xfId="53" applyNumberFormat="1" applyFont="1" applyBorder="1">
      <alignment/>
      <protection/>
    </xf>
    <xf numFmtId="165" fontId="9" fillId="0" borderId="12" xfId="53" applyNumberFormat="1" applyFont="1" applyFill="1" applyBorder="1">
      <alignment/>
      <protection/>
    </xf>
    <xf numFmtId="2" fontId="9" fillId="0" borderId="15" xfId="53" applyNumberFormat="1" applyFont="1" applyBorder="1">
      <alignment/>
      <protection/>
    </xf>
    <xf numFmtId="2" fontId="23" fillId="0" borderId="15" xfId="53" applyNumberFormat="1" applyFont="1" applyBorder="1">
      <alignment/>
      <protection/>
    </xf>
    <xf numFmtId="2" fontId="23" fillId="0" borderId="10" xfId="53" applyNumberFormat="1" applyFont="1" applyBorder="1">
      <alignment/>
      <protection/>
    </xf>
    <xf numFmtId="2" fontId="9" fillId="0" borderId="16" xfId="53" applyNumberFormat="1" applyFont="1" applyBorder="1">
      <alignment/>
      <protection/>
    </xf>
    <xf numFmtId="2" fontId="4" fillId="0" borderId="0" xfId="53" applyNumberFormat="1" applyFont="1">
      <alignment/>
      <protection/>
    </xf>
    <xf numFmtId="2" fontId="9" fillId="0" borderId="10" xfId="53" applyNumberFormat="1" applyFont="1" applyBorder="1">
      <alignment/>
      <protection/>
    </xf>
    <xf numFmtId="165" fontId="9" fillId="0" borderId="10" xfId="53" applyNumberFormat="1" applyFont="1" applyBorder="1">
      <alignment/>
      <protection/>
    </xf>
    <xf numFmtId="4" fontId="9" fillId="0" borderId="16" xfId="53" applyNumberFormat="1" applyFont="1" applyFill="1" applyBorder="1">
      <alignment/>
      <protection/>
    </xf>
    <xf numFmtId="4" fontId="9" fillId="0" borderId="16" xfId="53" applyNumberFormat="1" applyFont="1" applyBorder="1">
      <alignment/>
      <protection/>
    </xf>
    <xf numFmtId="4" fontId="4" fillId="0" borderId="0" xfId="53" applyNumberFormat="1" applyFont="1">
      <alignment/>
      <protection/>
    </xf>
    <xf numFmtId="165" fontId="9" fillId="0" borderId="10" xfId="53" applyNumberFormat="1" applyFont="1" applyFill="1" applyBorder="1">
      <alignment/>
      <protection/>
    </xf>
    <xf numFmtId="4" fontId="9" fillId="0" borderId="12" xfId="53" applyNumberFormat="1" applyFont="1" applyFill="1" applyBorder="1">
      <alignment/>
      <protection/>
    </xf>
    <xf numFmtId="4" fontId="9" fillId="0" borderId="12" xfId="53" applyNumberFormat="1" applyFont="1" applyBorder="1">
      <alignment/>
      <protection/>
    </xf>
    <xf numFmtId="49" fontId="22" fillId="0" borderId="13" xfId="53" applyNumberFormat="1" applyFont="1" applyFill="1" applyBorder="1" applyAlignment="1">
      <alignment horizontal="center"/>
      <protection/>
    </xf>
    <xf numFmtId="165" fontId="9" fillId="0" borderId="14" xfId="53" applyNumberFormat="1" applyFont="1" applyFill="1" applyBorder="1">
      <alignment/>
      <protection/>
    </xf>
    <xf numFmtId="165" fontId="9" fillId="0" borderId="14" xfId="53" applyNumberFormat="1" applyFont="1" applyBorder="1">
      <alignment/>
      <protection/>
    </xf>
    <xf numFmtId="49" fontId="9" fillId="0" borderId="14" xfId="53" applyNumberFormat="1" applyFont="1" applyBorder="1">
      <alignment/>
      <protection/>
    </xf>
    <xf numFmtId="165" fontId="9" fillId="0" borderId="16" xfId="53" applyNumberFormat="1" applyFont="1" applyBorder="1">
      <alignment/>
      <protection/>
    </xf>
    <xf numFmtId="168" fontId="21" fillId="0" borderId="10" xfId="53" applyNumberFormat="1" applyFont="1" applyFill="1" applyBorder="1">
      <alignment/>
      <protection/>
    </xf>
    <xf numFmtId="49" fontId="22" fillId="0" borderId="10" xfId="63" applyNumberFormat="1" applyFont="1" applyBorder="1" applyAlignment="1">
      <alignment horizontal="center"/>
      <protection/>
    </xf>
    <xf numFmtId="2" fontId="21" fillId="0" borderId="18" xfId="53" applyNumberFormat="1" applyFont="1" applyFill="1" applyBorder="1">
      <alignment/>
      <protection/>
    </xf>
    <xf numFmtId="168" fontId="21" fillId="0" borderId="18" xfId="53" applyNumberFormat="1" applyFont="1" applyFill="1" applyBorder="1">
      <alignment/>
      <protection/>
    </xf>
    <xf numFmtId="0" fontId="9" fillId="0" borderId="18" xfId="53" applyFont="1" applyBorder="1">
      <alignment/>
      <protection/>
    </xf>
    <xf numFmtId="49" fontId="22" fillId="0" borderId="19" xfId="63" applyNumberFormat="1" applyFont="1" applyBorder="1" applyAlignment="1">
      <alignment horizontal="center"/>
      <protection/>
    </xf>
    <xf numFmtId="49" fontId="9" fillId="0" borderId="17" xfId="53" applyNumberFormat="1" applyFont="1" applyBorder="1">
      <alignment/>
      <protection/>
    </xf>
    <xf numFmtId="2" fontId="9" fillId="0" borderId="20" xfId="53" applyNumberFormat="1" applyFont="1" applyFill="1" applyBorder="1">
      <alignment/>
      <protection/>
    </xf>
    <xf numFmtId="0" fontId="21" fillId="0" borderId="12" xfId="53" applyFont="1" applyBorder="1">
      <alignment/>
      <protection/>
    </xf>
    <xf numFmtId="49" fontId="21" fillId="0" borderId="13" xfId="53" applyNumberFormat="1" applyFont="1" applyBorder="1">
      <alignment/>
      <protection/>
    </xf>
    <xf numFmtId="166" fontId="4" fillId="0" borderId="0" xfId="53" applyNumberFormat="1" applyFont="1">
      <alignment/>
      <protection/>
    </xf>
    <xf numFmtId="0" fontId="22" fillId="0" borderId="12" xfId="53" applyFont="1" applyFill="1" applyBorder="1">
      <alignment/>
      <protection/>
    </xf>
    <xf numFmtId="2" fontId="22" fillId="0" borderId="12" xfId="53" applyNumberFormat="1" applyFont="1" applyFill="1" applyBorder="1">
      <alignment/>
      <protection/>
    </xf>
    <xf numFmtId="168" fontId="22" fillId="0" borderId="12" xfId="53" applyNumberFormat="1" applyFont="1" applyFill="1" applyBorder="1">
      <alignment/>
      <protection/>
    </xf>
    <xf numFmtId="168" fontId="22" fillId="0" borderId="12" xfId="53" applyNumberFormat="1" applyFont="1" applyBorder="1">
      <alignment/>
      <protection/>
    </xf>
    <xf numFmtId="2" fontId="22" fillId="0" borderId="12" xfId="53" applyNumberFormat="1" applyFont="1" applyBorder="1">
      <alignment/>
      <protection/>
    </xf>
    <xf numFmtId="0" fontId="22" fillId="0" borderId="12" xfId="53" applyFont="1" applyBorder="1">
      <alignment/>
      <protection/>
    </xf>
    <xf numFmtId="166" fontId="4" fillId="0" borderId="0" xfId="53" applyNumberFormat="1" applyFont="1" applyFill="1">
      <alignment/>
      <protection/>
    </xf>
    <xf numFmtId="43" fontId="4" fillId="0" borderId="0" xfId="78" applyFont="1" applyAlignment="1">
      <alignment/>
    </xf>
    <xf numFmtId="168" fontId="17" fillId="0" borderId="0" xfId="53" applyNumberFormat="1" applyFont="1" applyFill="1">
      <alignment/>
      <protection/>
    </xf>
    <xf numFmtId="0" fontId="23" fillId="0" borderId="0" xfId="53" applyFont="1">
      <alignment/>
      <protection/>
    </xf>
    <xf numFmtId="166" fontId="23" fillId="0" borderId="0" xfId="53" applyNumberFormat="1" applyFont="1">
      <alignment/>
      <protection/>
    </xf>
    <xf numFmtId="2" fontId="23" fillId="0" borderId="21" xfId="53" applyNumberFormat="1" applyFont="1" applyFill="1" applyBorder="1">
      <alignment/>
      <protection/>
    </xf>
    <xf numFmtId="166" fontId="23" fillId="0" borderId="22" xfId="53" applyNumberFormat="1" applyFont="1" applyFill="1" applyBorder="1">
      <alignment/>
      <protection/>
    </xf>
    <xf numFmtId="2" fontId="9" fillId="0" borderId="23" xfId="53" applyNumberFormat="1" applyFont="1" applyFill="1" applyBorder="1">
      <alignment/>
      <protection/>
    </xf>
    <xf numFmtId="166" fontId="23" fillId="0" borderId="24" xfId="53" applyNumberFormat="1" applyFont="1" applyBorder="1">
      <alignment/>
      <protection/>
    </xf>
    <xf numFmtId="2" fontId="23" fillId="0" borderId="25" xfId="53" applyNumberFormat="1" applyFont="1" applyBorder="1">
      <alignment/>
      <protection/>
    </xf>
    <xf numFmtId="166" fontId="23" fillId="0" borderId="26" xfId="53" applyNumberFormat="1" applyFont="1" applyBorder="1">
      <alignment/>
      <protection/>
    </xf>
    <xf numFmtId="49" fontId="23" fillId="0" borderId="25" xfId="53" applyNumberFormat="1" applyFont="1" applyBorder="1">
      <alignment/>
      <protection/>
    </xf>
    <xf numFmtId="49" fontId="23" fillId="0" borderId="16" xfId="53" applyNumberFormat="1" applyFont="1" applyBorder="1">
      <alignment/>
      <protection/>
    </xf>
    <xf numFmtId="0" fontId="23" fillId="0" borderId="16" xfId="53" applyFont="1" applyBorder="1" applyAlignment="1">
      <alignment horizontal="center"/>
      <protection/>
    </xf>
    <xf numFmtId="169" fontId="4" fillId="0" borderId="0" xfId="53" applyNumberFormat="1" applyFont="1">
      <alignment/>
      <protection/>
    </xf>
    <xf numFmtId="165" fontId="4" fillId="0" borderId="27" xfId="53" applyNumberFormat="1" applyFont="1" applyFill="1" applyBorder="1">
      <alignment/>
      <protection/>
    </xf>
    <xf numFmtId="0" fontId="4" fillId="0" borderId="28" xfId="53" applyFont="1" applyFill="1" applyBorder="1">
      <alignment/>
      <protection/>
    </xf>
    <xf numFmtId="165" fontId="4" fillId="0" borderId="10" xfId="53" applyNumberFormat="1" applyFont="1" applyFill="1" applyBorder="1">
      <alignment/>
      <protection/>
    </xf>
    <xf numFmtId="2" fontId="4" fillId="0" borderId="10" xfId="53" applyNumberFormat="1" applyFont="1" applyFill="1" applyBorder="1">
      <alignment/>
      <protection/>
    </xf>
    <xf numFmtId="0" fontId="4" fillId="0" borderId="10" xfId="53" applyFont="1" applyBorder="1">
      <alignment/>
      <protection/>
    </xf>
    <xf numFmtId="165" fontId="4" fillId="0" borderId="10" xfId="53" applyNumberFormat="1" applyFont="1" applyBorder="1">
      <alignment/>
      <protection/>
    </xf>
    <xf numFmtId="49" fontId="4" fillId="0" borderId="10" xfId="53" applyNumberFormat="1" applyFont="1" applyBorder="1">
      <alignment/>
      <protection/>
    </xf>
    <xf numFmtId="0" fontId="4" fillId="0" borderId="10" xfId="63" applyFont="1" applyBorder="1" applyAlignment="1">
      <alignment horizontal="left" wrapText="1"/>
      <protection/>
    </xf>
    <xf numFmtId="0" fontId="9" fillId="0" borderId="10" xfId="63" applyFont="1" applyBorder="1" applyAlignment="1">
      <alignment horizontal="left" wrapText="1"/>
      <protection/>
    </xf>
    <xf numFmtId="2" fontId="21" fillId="0" borderId="10" xfId="53" applyNumberFormat="1" applyFont="1" applyFill="1" applyBorder="1">
      <alignment/>
      <protection/>
    </xf>
    <xf numFmtId="49" fontId="22" fillId="0" borderId="10" xfId="53" applyNumberFormat="1" applyFont="1" applyBorder="1">
      <alignment/>
      <protection/>
    </xf>
    <xf numFmtId="0" fontId="22" fillId="0" borderId="10" xfId="53" applyFont="1" applyBorder="1" applyAlignment="1">
      <alignment wrapText="1"/>
      <protection/>
    </xf>
    <xf numFmtId="165" fontId="4" fillId="0" borderId="29" xfId="53" applyNumberFormat="1" applyFont="1" applyFill="1" applyBorder="1">
      <alignment/>
      <protection/>
    </xf>
    <xf numFmtId="0" fontId="4" fillId="0" borderId="30" xfId="53" applyFont="1" applyFill="1" applyBorder="1">
      <alignment/>
      <protection/>
    </xf>
    <xf numFmtId="0" fontId="6" fillId="0" borderId="10" xfId="63" applyFont="1" applyBorder="1" applyAlignment="1">
      <alignment horizontal="left" wrapText="1"/>
      <protection/>
    </xf>
    <xf numFmtId="0" fontId="4" fillId="0" borderId="31" xfId="53" applyFont="1" applyFill="1" applyBorder="1">
      <alignment/>
      <protection/>
    </xf>
    <xf numFmtId="0" fontId="4" fillId="0" borderId="32" xfId="53" applyFont="1" applyFill="1" applyBorder="1">
      <alignment/>
      <protection/>
    </xf>
    <xf numFmtId="0" fontId="9" fillId="0" borderId="31" xfId="53" applyFont="1" applyFill="1" applyBorder="1">
      <alignment/>
      <protection/>
    </xf>
    <xf numFmtId="0" fontId="9" fillId="0" borderId="32" xfId="53" applyFont="1" applyFill="1" applyBorder="1">
      <alignment/>
      <protection/>
    </xf>
    <xf numFmtId="165" fontId="4" fillId="0" borderId="33" xfId="53" applyNumberFormat="1" applyFont="1" applyFill="1" applyBorder="1">
      <alignment/>
      <protection/>
    </xf>
    <xf numFmtId="165" fontId="4" fillId="0" borderId="34" xfId="53" applyNumberFormat="1" applyFont="1" applyFill="1" applyBorder="1">
      <alignment/>
      <protection/>
    </xf>
    <xf numFmtId="165" fontId="4" fillId="0" borderId="0" xfId="53" applyNumberFormat="1" applyFont="1">
      <alignment/>
      <protection/>
    </xf>
    <xf numFmtId="0" fontId="4" fillId="0" borderId="34" xfId="53" applyFont="1" applyFill="1" applyBorder="1">
      <alignment/>
      <protection/>
    </xf>
    <xf numFmtId="165" fontId="4" fillId="0" borderId="31" xfId="53" applyNumberFormat="1" applyFont="1" applyFill="1" applyBorder="1">
      <alignment/>
      <protection/>
    </xf>
    <xf numFmtId="1" fontId="4" fillId="0" borderId="32" xfId="53" applyNumberFormat="1" applyFont="1" applyFill="1" applyBorder="1">
      <alignment/>
      <protection/>
    </xf>
    <xf numFmtId="0" fontId="22" fillId="0" borderId="0" xfId="53" applyFont="1">
      <alignment/>
      <protection/>
    </xf>
    <xf numFmtId="2" fontId="22" fillId="0" borderId="35" xfId="53" applyNumberFormat="1" applyFont="1" applyFill="1" applyBorder="1">
      <alignment/>
      <protection/>
    </xf>
    <xf numFmtId="2" fontId="22" fillId="0" borderId="36" xfId="53" applyNumberFormat="1" applyFont="1" applyFill="1" applyBorder="1">
      <alignment/>
      <protection/>
    </xf>
    <xf numFmtId="2" fontId="22" fillId="0" borderId="10" xfId="53" applyNumberFormat="1" applyFont="1" applyFill="1" applyBorder="1">
      <alignment/>
      <protection/>
    </xf>
    <xf numFmtId="0" fontId="22" fillId="0" borderId="10" xfId="53" applyFont="1" applyBorder="1">
      <alignment/>
      <protection/>
    </xf>
    <xf numFmtId="0" fontId="21" fillId="0" borderId="10" xfId="63" applyFont="1" applyBorder="1" applyAlignment="1">
      <alignment horizontal="left" wrapText="1"/>
      <protection/>
    </xf>
    <xf numFmtId="0" fontId="6" fillId="0" borderId="10" xfId="53" applyFont="1" applyBorder="1" applyAlignment="1">
      <alignment wrapText="1"/>
      <protection/>
    </xf>
    <xf numFmtId="0" fontId="24" fillId="0" borderId="10" xfId="53" applyFont="1" applyBorder="1" applyAlignment="1">
      <alignment wrapText="1"/>
      <protection/>
    </xf>
    <xf numFmtId="0" fontId="25" fillId="0" borderId="10" xfId="63" applyFont="1" applyBorder="1" applyAlignment="1">
      <alignment horizontal="left" wrapText="1"/>
      <protection/>
    </xf>
    <xf numFmtId="2" fontId="22" fillId="0" borderId="31" xfId="53" applyNumberFormat="1" applyFont="1" applyFill="1" applyBorder="1">
      <alignment/>
      <protection/>
    </xf>
    <xf numFmtId="2" fontId="22" fillId="0" borderId="32" xfId="53" applyNumberFormat="1" applyFont="1" applyFill="1" applyBorder="1">
      <alignment/>
      <protection/>
    </xf>
    <xf numFmtId="2" fontId="22" fillId="0" borderId="10" xfId="53" applyNumberFormat="1" applyFont="1" applyBorder="1">
      <alignment/>
      <protection/>
    </xf>
    <xf numFmtId="0" fontId="21" fillId="0" borderId="10" xfId="63" applyFont="1" applyFill="1" applyBorder="1" applyAlignment="1">
      <alignment horizontal="left"/>
      <protection/>
    </xf>
    <xf numFmtId="164" fontId="4" fillId="0" borderId="10" xfId="53" applyNumberFormat="1" applyFont="1" applyBorder="1">
      <alignment/>
      <protection/>
    </xf>
    <xf numFmtId="0" fontId="6" fillId="0" borderId="10" xfId="63" applyFont="1" applyBorder="1" applyAlignment="1">
      <alignment wrapText="1"/>
      <protection/>
    </xf>
    <xf numFmtId="168" fontId="9" fillId="0" borderId="35" xfId="53" applyNumberFormat="1" applyFont="1" applyFill="1" applyBorder="1">
      <alignment/>
      <protection/>
    </xf>
    <xf numFmtId="168" fontId="9" fillId="0" borderId="36" xfId="53" applyNumberFormat="1" applyFont="1" applyFill="1" applyBorder="1">
      <alignment/>
      <protection/>
    </xf>
    <xf numFmtId="0" fontId="25" fillId="0" borderId="10" xfId="63" applyFont="1" applyBorder="1" applyAlignment="1">
      <alignment wrapText="1"/>
      <protection/>
    </xf>
    <xf numFmtId="0" fontId="72" fillId="0" borderId="0" xfId="53" applyFont="1" applyFill="1">
      <alignment/>
      <protection/>
    </xf>
    <xf numFmtId="2" fontId="72" fillId="0" borderId="0" xfId="53" applyNumberFormat="1" applyFont="1" applyFill="1">
      <alignment/>
      <protection/>
    </xf>
    <xf numFmtId="168" fontId="72" fillId="0" borderId="35" xfId="53" applyNumberFormat="1" applyFont="1" applyFill="1" applyBorder="1">
      <alignment/>
      <protection/>
    </xf>
    <xf numFmtId="168" fontId="72" fillId="0" borderId="36" xfId="53" applyNumberFormat="1" applyFont="1" applyFill="1" applyBorder="1">
      <alignment/>
      <protection/>
    </xf>
    <xf numFmtId="2" fontId="72" fillId="0" borderId="10" xfId="53" applyNumberFormat="1" applyFont="1" applyFill="1" applyBorder="1">
      <alignment/>
      <protection/>
    </xf>
    <xf numFmtId="164" fontId="72" fillId="0" borderId="10" xfId="53" applyNumberFormat="1" applyFont="1" applyFill="1" applyBorder="1">
      <alignment/>
      <protection/>
    </xf>
    <xf numFmtId="0" fontId="72" fillId="0" borderId="10" xfId="53" applyFont="1" applyFill="1" applyBorder="1">
      <alignment/>
      <protection/>
    </xf>
    <xf numFmtId="49" fontId="72" fillId="0" borderId="10" xfId="53" applyNumberFormat="1" applyFont="1" applyFill="1" applyBorder="1">
      <alignment/>
      <protection/>
    </xf>
    <xf numFmtId="0" fontId="72" fillId="0" borderId="10" xfId="63" applyFont="1" applyFill="1" applyBorder="1" applyAlignment="1">
      <alignment horizontal="left" wrapText="1"/>
      <protection/>
    </xf>
    <xf numFmtId="0" fontId="22" fillId="0" borderId="37" xfId="53" applyFont="1" applyFill="1" applyBorder="1">
      <alignment/>
      <protection/>
    </xf>
    <xf numFmtId="0" fontId="22" fillId="0" borderId="38" xfId="53" applyFont="1" applyFill="1" applyBorder="1">
      <alignment/>
      <protection/>
    </xf>
    <xf numFmtId="2" fontId="23" fillId="0" borderId="27" xfId="53" applyNumberFormat="1" applyFont="1" applyFill="1" applyBorder="1">
      <alignment/>
      <protection/>
    </xf>
    <xf numFmtId="2" fontId="23" fillId="0" borderId="39" xfId="53" applyNumberFormat="1" applyFont="1" applyFill="1" applyBorder="1">
      <alignment/>
      <protection/>
    </xf>
    <xf numFmtId="2" fontId="23" fillId="0" borderId="10" xfId="53" applyNumberFormat="1" applyFont="1" applyFill="1" applyBorder="1">
      <alignment/>
      <protection/>
    </xf>
    <xf numFmtId="0" fontId="23" fillId="0" borderId="10" xfId="53" applyFont="1" applyBorder="1" applyAlignment="1">
      <alignment wrapText="1"/>
      <protection/>
    </xf>
    <xf numFmtId="166" fontId="4" fillId="0" borderId="39" xfId="53" applyNumberFormat="1" applyFont="1" applyFill="1" applyBorder="1">
      <alignment/>
      <protection/>
    </xf>
    <xf numFmtId="0" fontId="21" fillId="0" borderId="10" xfId="53" applyFont="1" applyBorder="1">
      <alignment/>
      <protection/>
    </xf>
    <xf numFmtId="165" fontId="21" fillId="0" borderId="10" xfId="53" applyNumberFormat="1" applyFont="1" applyBorder="1">
      <alignment/>
      <protection/>
    </xf>
    <xf numFmtId="49" fontId="21" fillId="0" borderId="10" xfId="53" applyNumberFormat="1" applyFont="1" applyBorder="1">
      <alignment/>
      <protection/>
    </xf>
    <xf numFmtId="166" fontId="4" fillId="0" borderId="30" xfId="53" applyNumberFormat="1" applyFont="1" applyFill="1" applyBorder="1">
      <alignment/>
      <protection/>
    </xf>
    <xf numFmtId="2" fontId="26" fillId="0" borderId="10" xfId="53" applyNumberFormat="1" applyFont="1" applyFill="1" applyBorder="1">
      <alignment/>
      <protection/>
    </xf>
    <xf numFmtId="165" fontId="4" fillId="0" borderId="32" xfId="53" applyNumberFormat="1" applyFont="1" applyFill="1" applyBorder="1">
      <alignment/>
      <protection/>
    </xf>
    <xf numFmtId="0" fontId="26" fillId="0" borderId="10" xfId="53" applyFont="1" applyBorder="1">
      <alignment/>
      <protection/>
    </xf>
    <xf numFmtId="165" fontId="26" fillId="0" borderId="10" xfId="53" applyNumberFormat="1" applyFont="1" applyBorder="1">
      <alignment/>
      <protection/>
    </xf>
    <xf numFmtId="49" fontId="26" fillId="0" borderId="10" xfId="53" applyNumberFormat="1" applyFont="1" applyBorder="1">
      <alignment/>
      <protection/>
    </xf>
    <xf numFmtId="0" fontId="26" fillId="0" borderId="10" xfId="63" applyFont="1" applyBorder="1" applyAlignment="1">
      <alignment horizontal="left" wrapText="1"/>
      <protection/>
    </xf>
    <xf numFmtId="49" fontId="6" fillId="0" borderId="10" xfId="63" applyNumberFormat="1" applyFont="1" applyBorder="1" applyAlignment="1">
      <alignment horizontal="left" wrapText="1"/>
      <protection/>
    </xf>
    <xf numFmtId="0" fontId="4" fillId="0" borderId="36" xfId="53" applyFont="1" applyFill="1" applyBorder="1">
      <alignment/>
      <protection/>
    </xf>
    <xf numFmtId="0" fontId="9" fillId="0" borderId="36" xfId="53" applyFont="1" applyFill="1" applyBorder="1">
      <alignment/>
      <protection/>
    </xf>
    <xf numFmtId="168" fontId="22" fillId="0" borderId="10" xfId="53" applyNumberFormat="1" applyFont="1" applyFill="1" applyBorder="1">
      <alignment/>
      <protection/>
    </xf>
    <xf numFmtId="168" fontId="22" fillId="0" borderId="32" xfId="53" applyNumberFormat="1" applyFont="1" applyFill="1" applyBorder="1">
      <alignment/>
      <protection/>
    </xf>
    <xf numFmtId="0" fontId="22" fillId="0" borderId="31" xfId="53" applyFont="1" applyFill="1" applyBorder="1">
      <alignment/>
      <protection/>
    </xf>
    <xf numFmtId="0" fontId="22" fillId="0" borderId="32" xfId="53" applyFont="1" applyFill="1" applyBorder="1">
      <alignment/>
      <protection/>
    </xf>
    <xf numFmtId="0" fontId="27" fillId="0" borderId="31" xfId="53" applyFont="1" applyFill="1" applyBorder="1">
      <alignment/>
      <protection/>
    </xf>
    <xf numFmtId="0" fontId="27" fillId="0" borderId="32" xfId="53" applyFont="1" applyFill="1" applyBorder="1">
      <alignment/>
      <protection/>
    </xf>
    <xf numFmtId="0" fontId="27" fillId="0" borderId="10" xfId="53" applyFont="1" applyBorder="1">
      <alignment/>
      <protection/>
    </xf>
    <xf numFmtId="2" fontId="27" fillId="0" borderId="10" xfId="53" applyNumberFormat="1" applyFont="1" applyFill="1" applyBorder="1">
      <alignment/>
      <protection/>
    </xf>
    <xf numFmtId="0" fontId="4" fillId="0" borderId="10" xfId="63" applyFont="1" applyFill="1" applyBorder="1" applyAlignment="1">
      <alignment horizontal="left" wrapText="1"/>
      <protection/>
    </xf>
    <xf numFmtId="0" fontId="9" fillId="0" borderId="10" xfId="53" applyFont="1" applyBorder="1" applyAlignment="1">
      <alignment wrapText="1"/>
      <protection/>
    </xf>
    <xf numFmtId="165" fontId="9" fillId="0" borderId="31" xfId="53" applyNumberFormat="1" applyFont="1" applyFill="1" applyBorder="1">
      <alignment/>
      <protection/>
    </xf>
    <xf numFmtId="165" fontId="9" fillId="0" borderId="32" xfId="53" applyNumberFormat="1" applyFont="1" applyFill="1" applyBorder="1">
      <alignment/>
      <protection/>
    </xf>
    <xf numFmtId="0" fontId="9" fillId="0" borderId="10" xfId="63" applyFont="1" applyFill="1" applyBorder="1" applyAlignment="1">
      <alignment horizontal="left" wrapText="1"/>
      <protection/>
    </xf>
    <xf numFmtId="2" fontId="4" fillId="34" borderId="10" xfId="53" applyNumberFormat="1" applyFont="1" applyFill="1" applyBorder="1">
      <alignment/>
      <protection/>
    </xf>
    <xf numFmtId="2" fontId="4" fillId="0" borderId="32" xfId="53" applyNumberFormat="1" applyFont="1" applyFill="1" applyBorder="1">
      <alignment/>
      <protection/>
    </xf>
    <xf numFmtId="2" fontId="4" fillId="0" borderId="10" xfId="53" applyNumberFormat="1" applyFont="1" applyBorder="1">
      <alignment/>
      <protection/>
    </xf>
    <xf numFmtId="2" fontId="4" fillId="0" borderId="31" xfId="53" applyNumberFormat="1" applyFont="1" applyFill="1" applyBorder="1">
      <alignment/>
      <protection/>
    </xf>
    <xf numFmtId="0" fontId="26" fillId="0" borderId="32" xfId="53" applyFont="1" applyFill="1" applyBorder="1">
      <alignment/>
      <protection/>
    </xf>
    <xf numFmtId="4" fontId="4" fillId="0" borderId="10" xfId="53" applyNumberFormat="1" applyFont="1" applyBorder="1">
      <alignment/>
      <protection/>
    </xf>
    <xf numFmtId="4" fontId="4" fillId="0" borderId="31" xfId="53" applyNumberFormat="1" applyFont="1" applyFill="1" applyBorder="1">
      <alignment/>
      <protection/>
    </xf>
    <xf numFmtId="4" fontId="4" fillId="0" borderId="32" xfId="53" applyNumberFormat="1" applyFont="1" applyFill="1" applyBorder="1">
      <alignment/>
      <protection/>
    </xf>
    <xf numFmtId="4" fontId="9" fillId="0" borderId="31" xfId="53" applyNumberFormat="1" applyFont="1" applyFill="1" applyBorder="1">
      <alignment/>
      <protection/>
    </xf>
    <xf numFmtId="4" fontId="9" fillId="0" borderId="32" xfId="53" applyNumberFormat="1" applyFont="1" applyFill="1" applyBorder="1">
      <alignment/>
      <protection/>
    </xf>
    <xf numFmtId="4" fontId="9" fillId="0" borderId="10" xfId="53" applyNumberFormat="1" applyFont="1" applyBorder="1">
      <alignment/>
      <protection/>
    </xf>
    <xf numFmtId="0" fontId="25" fillId="0" borderId="10" xfId="53" applyFont="1" applyBorder="1" applyAlignment="1">
      <alignment wrapText="1"/>
      <protection/>
    </xf>
    <xf numFmtId="0" fontId="4" fillId="0" borderId="10" xfId="53" applyFont="1" applyFill="1" applyBorder="1">
      <alignment/>
      <protection/>
    </xf>
    <xf numFmtId="0" fontId="2" fillId="0" borderId="10" xfId="53" applyFont="1" applyBorder="1" applyAlignment="1">
      <alignment horizontal="left"/>
      <protection/>
    </xf>
    <xf numFmtId="168" fontId="4" fillId="0" borderId="35" xfId="53" applyNumberFormat="1" applyFont="1" applyFill="1" applyBorder="1">
      <alignment/>
      <protection/>
    </xf>
    <xf numFmtId="168" fontId="4" fillId="0" borderId="36" xfId="53" applyNumberFormat="1" applyFont="1" applyFill="1" applyBorder="1">
      <alignment/>
      <protection/>
    </xf>
    <xf numFmtId="0" fontId="4" fillId="0" borderId="10" xfId="53" applyFont="1" applyBorder="1" applyAlignment="1">
      <alignment horizontal="justify" vertical="top" wrapText="1"/>
      <protection/>
    </xf>
    <xf numFmtId="2" fontId="9" fillId="0" borderId="32" xfId="53" applyNumberFormat="1" applyFont="1" applyFill="1" applyBorder="1">
      <alignment/>
      <protection/>
    </xf>
    <xf numFmtId="165" fontId="4" fillId="0" borderId="36" xfId="53" applyNumberFormat="1" applyFont="1" applyFill="1" applyBorder="1">
      <alignment/>
      <protection/>
    </xf>
    <xf numFmtId="0" fontId="2" fillId="0" borderId="10" xfId="53" applyFont="1" applyBorder="1" applyAlignment="1">
      <alignment horizontal="left" wrapText="1"/>
      <protection/>
    </xf>
    <xf numFmtId="0" fontId="6" fillId="0" borderId="10" xfId="53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right"/>
      <protection/>
    </xf>
    <xf numFmtId="0" fontId="25" fillId="0" borderId="10" xfId="63" applyFont="1" applyBorder="1" applyAlignment="1">
      <alignment horizontal="center" wrapText="1"/>
      <protection/>
    </xf>
    <xf numFmtId="165" fontId="22" fillId="0" borderId="32" xfId="53" applyNumberFormat="1" applyFont="1" applyFill="1" applyBorder="1">
      <alignment/>
      <protection/>
    </xf>
    <xf numFmtId="167" fontId="4" fillId="0" borderId="0" xfId="53" applyNumberFormat="1" applyFont="1">
      <alignment/>
      <protection/>
    </xf>
    <xf numFmtId="165" fontId="22" fillId="0" borderId="31" xfId="53" applyNumberFormat="1" applyFont="1" applyFill="1" applyBorder="1">
      <alignment/>
      <protection/>
    </xf>
    <xf numFmtId="165" fontId="22" fillId="0" borderId="10" xfId="53" applyNumberFormat="1" applyFont="1" applyBorder="1">
      <alignment/>
      <protection/>
    </xf>
    <xf numFmtId="0" fontId="22" fillId="0" borderId="10" xfId="63" applyFont="1" applyBorder="1" applyAlignment="1">
      <alignment horizontal="left" wrapText="1"/>
      <protection/>
    </xf>
    <xf numFmtId="2" fontId="9" fillId="0" borderId="0" xfId="53" applyNumberFormat="1" applyFont="1">
      <alignment/>
      <protection/>
    </xf>
    <xf numFmtId="0" fontId="73" fillId="0" borderId="0" xfId="53" applyFont="1">
      <alignment/>
      <protection/>
    </xf>
    <xf numFmtId="0" fontId="74" fillId="0" borderId="0" xfId="53" applyFont="1">
      <alignment/>
      <protection/>
    </xf>
    <xf numFmtId="2" fontId="74" fillId="0" borderId="0" xfId="53" applyNumberFormat="1" applyFont="1">
      <alignment/>
      <protection/>
    </xf>
    <xf numFmtId="165" fontId="73" fillId="0" borderId="31" xfId="53" applyNumberFormat="1" applyFont="1" applyFill="1" applyBorder="1">
      <alignment/>
      <protection/>
    </xf>
    <xf numFmtId="0" fontId="73" fillId="0" borderId="32" xfId="53" applyFont="1" applyFill="1" applyBorder="1">
      <alignment/>
      <protection/>
    </xf>
    <xf numFmtId="49" fontId="4" fillId="0" borderId="10" xfId="53" applyNumberFormat="1" applyFont="1" applyFill="1" applyBorder="1">
      <alignment/>
      <protection/>
    </xf>
    <xf numFmtId="0" fontId="4" fillId="0" borderId="10" xfId="53" applyFont="1" applyFill="1" applyBorder="1" applyAlignment="1">
      <alignment horizontal="justify" vertical="top" wrapText="1"/>
      <protection/>
    </xf>
    <xf numFmtId="49" fontId="9" fillId="0" borderId="10" xfId="53" applyNumberFormat="1" applyFont="1" applyFill="1" applyBorder="1">
      <alignment/>
      <protection/>
    </xf>
    <xf numFmtId="0" fontId="4" fillId="0" borderId="10" xfId="53" applyFont="1" applyFill="1" applyBorder="1" applyAlignment="1">
      <alignment wrapText="1"/>
      <protection/>
    </xf>
    <xf numFmtId="49" fontId="23" fillId="0" borderId="10" xfId="53" applyNumberFormat="1" applyFont="1" applyFill="1" applyBorder="1">
      <alignment/>
      <protection/>
    </xf>
    <xf numFmtId="165" fontId="4" fillId="0" borderId="37" xfId="53" applyNumberFormat="1" applyFont="1" applyFill="1" applyBorder="1">
      <alignment/>
      <protection/>
    </xf>
    <xf numFmtId="0" fontId="4" fillId="0" borderId="38" xfId="53" applyFont="1" applyFill="1" applyBorder="1">
      <alignment/>
      <protection/>
    </xf>
    <xf numFmtId="49" fontId="6" fillId="0" borderId="10" xfId="53" applyNumberFormat="1" applyFont="1" applyBorder="1">
      <alignment/>
      <protection/>
    </xf>
    <xf numFmtId="49" fontId="25" fillId="0" borderId="10" xfId="53" applyNumberFormat="1" applyFont="1" applyBorder="1">
      <alignment/>
      <protection/>
    </xf>
    <xf numFmtId="49" fontId="6" fillId="0" borderId="10" xfId="53" applyNumberFormat="1" applyFont="1" applyFill="1" applyBorder="1">
      <alignment/>
      <protection/>
    </xf>
    <xf numFmtId="0" fontId="6" fillId="0" borderId="10" xfId="53" applyFont="1" applyFill="1" applyBorder="1" applyAlignment="1">
      <alignment wrapText="1"/>
      <protection/>
    </xf>
    <xf numFmtId="0" fontId="4" fillId="0" borderId="10" xfId="62" applyFont="1" applyBorder="1" applyAlignment="1">
      <alignment wrapText="1"/>
      <protection/>
    </xf>
    <xf numFmtId="2" fontId="9" fillId="0" borderId="31" xfId="53" applyNumberFormat="1" applyFont="1" applyFill="1" applyBorder="1">
      <alignment/>
      <protection/>
    </xf>
    <xf numFmtId="0" fontId="28" fillId="0" borderId="10" xfId="63" applyFont="1" applyBorder="1" applyAlignment="1">
      <alignment horizontal="left" wrapText="1"/>
      <protection/>
    </xf>
    <xf numFmtId="2" fontId="22" fillId="0" borderId="37" xfId="53" applyNumberFormat="1" applyFont="1" applyFill="1" applyBorder="1">
      <alignment/>
      <protection/>
    </xf>
    <xf numFmtId="2" fontId="22" fillId="0" borderId="38" xfId="53" applyNumberFormat="1" applyFont="1" applyFill="1" applyBorder="1">
      <alignment/>
      <protection/>
    </xf>
    <xf numFmtId="2" fontId="4" fillId="35" borderId="0" xfId="53" applyNumberFormat="1" applyFont="1" applyFill="1">
      <alignment/>
      <protection/>
    </xf>
    <xf numFmtId="166" fontId="23" fillId="0" borderId="39" xfId="53" applyNumberFormat="1" applyFont="1" applyFill="1" applyBorder="1">
      <alignment/>
      <protection/>
    </xf>
    <xf numFmtId="165" fontId="9" fillId="6" borderId="10" xfId="53" applyNumberFormat="1" applyFont="1" applyFill="1" applyBorder="1">
      <alignment/>
      <protection/>
    </xf>
    <xf numFmtId="2" fontId="23" fillId="6" borderId="10" xfId="53" applyNumberFormat="1" applyFont="1" applyFill="1" applyBorder="1">
      <alignment/>
      <protection/>
    </xf>
    <xf numFmtId="166" fontId="23" fillId="6" borderId="10" xfId="53" applyNumberFormat="1" applyFont="1" applyFill="1" applyBorder="1">
      <alignment/>
      <protection/>
    </xf>
    <xf numFmtId="49" fontId="23" fillId="6" borderId="10" xfId="53" applyNumberFormat="1" applyFont="1" applyFill="1" applyBorder="1">
      <alignment/>
      <protection/>
    </xf>
    <xf numFmtId="0" fontId="23" fillId="6" borderId="10" xfId="53" applyFont="1" applyFill="1" applyBorder="1" applyAlignment="1">
      <alignment horizontal="center" wrapText="1"/>
      <protection/>
    </xf>
    <xf numFmtId="0" fontId="23" fillId="0" borderId="10" xfId="53" applyFont="1" applyBorder="1" applyAlignment="1">
      <alignment horizontal="center" wrapText="1"/>
      <protection/>
    </xf>
    <xf numFmtId="0" fontId="29" fillId="0" borderId="10" xfId="53" applyFont="1" applyBorder="1" applyAlignment="1">
      <alignment wrapText="1"/>
      <protection/>
    </xf>
    <xf numFmtId="0" fontId="6" fillId="0" borderId="10" xfId="62" applyFont="1" applyBorder="1" applyAlignment="1">
      <alignment wrapText="1"/>
      <protection/>
    </xf>
    <xf numFmtId="0" fontId="4" fillId="33" borderId="10" xfId="53" applyFont="1" applyFill="1" applyBorder="1" applyAlignment="1">
      <alignment horizontal="justify" wrapText="1"/>
      <protection/>
    </xf>
    <xf numFmtId="0" fontId="25" fillId="0" borderId="10" xfId="62" applyFont="1" applyBorder="1" applyAlignment="1">
      <alignment wrapText="1"/>
      <protection/>
    </xf>
    <xf numFmtId="0" fontId="9" fillId="0" borderId="10" xfId="62" applyFont="1" applyBorder="1" applyAlignment="1">
      <alignment wrapText="1"/>
      <protection/>
    </xf>
    <xf numFmtId="0" fontId="21" fillId="0" borderId="10" xfId="62" applyFont="1" applyBorder="1" applyAlignment="1">
      <alignment wrapText="1"/>
      <protection/>
    </xf>
    <xf numFmtId="0" fontId="4" fillId="0" borderId="10" xfId="62" applyFont="1" applyFill="1" applyBorder="1" applyAlignment="1">
      <alignment wrapText="1"/>
      <protection/>
    </xf>
    <xf numFmtId="0" fontId="4" fillId="0" borderId="10" xfId="62" applyFont="1" applyFill="1" applyBorder="1">
      <alignment/>
      <protection/>
    </xf>
    <xf numFmtId="165" fontId="22" fillId="0" borderId="37" xfId="53" applyNumberFormat="1" applyFont="1" applyFill="1" applyBorder="1">
      <alignment/>
      <protection/>
    </xf>
    <xf numFmtId="165" fontId="22" fillId="0" borderId="38" xfId="53" applyNumberFormat="1" applyFont="1" applyFill="1" applyBorder="1">
      <alignment/>
      <protection/>
    </xf>
    <xf numFmtId="0" fontId="21" fillId="0" borderId="10" xfId="62" applyFont="1" applyFill="1" applyBorder="1">
      <alignment/>
      <protection/>
    </xf>
    <xf numFmtId="165" fontId="4" fillId="0" borderId="40" xfId="53" applyNumberFormat="1" applyFont="1" applyFill="1" applyBorder="1">
      <alignment/>
      <protection/>
    </xf>
    <xf numFmtId="0" fontId="4" fillId="0" borderId="17" xfId="53" applyFont="1" applyFill="1" applyBorder="1">
      <alignment/>
      <protection/>
    </xf>
    <xf numFmtId="0" fontId="26" fillId="0" borderId="10" xfId="53" applyFont="1" applyFill="1" applyBorder="1">
      <alignment/>
      <protection/>
    </xf>
    <xf numFmtId="165" fontId="26" fillId="0" borderId="10" xfId="53" applyNumberFormat="1" applyFont="1" applyFill="1" applyBorder="1">
      <alignment/>
      <protection/>
    </xf>
    <xf numFmtId="49" fontId="26" fillId="0" borderId="10" xfId="53" applyNumberFormat="1" applyFont="1" applyFill="1" applyBorder="1">
      <alignment/>
      <protection/>
    </xf>
    <xf numFmtId="0" fontId="9" fillId="0" borderId="10" xfId="62" applyFont="1" applyFill="1" applyBorder="1" applyAlignment="1">
      <alignment wrapText="1"/>
      <protection/>
    </xf>
    <xf numFmtId="0" fontId="26" fillId="0" borderId="10" xfId="62" applyFont="1" applyFill="1" applyBorder="1" applyAlignment="1">
      <alignment wrapText="1"/>
      <protection/>
    </xf>
    <xf numFmtId="0" fontId="22" fillId="0" borderId="10" xfId="62" applyFont="1" applyFill="1" applyBorder="1" applyAlignment="1">
      <alignment wrapText="1"/>
      <protection/>
    </xf>
    <xf numFmtId="165" fontId="4" fillId="0" borderId="38" xfId="53" applyNumberFormat="1" applyFont="1" applyFill="1" applyBorder="1">
      <alignment/>
      <protection/>
    </xf>
    <xf numFmtId="165" fontId="30" fillId="0" borderId="10" xfId="53" applyNumberFormat="1" applyFont="1" applyBorder="1">
      <alignment/>
      <protection/>
    </xf>
    <xf numFmtId="0" fontId="30" fillId="0" borderId="10" xfId="53" applyFont="1" applyBorder="1">
      <alignment/>
      <protection/>
    </xf>
    <xf numFmtId="49" fontId="30" fillId="0" borderId="10" xfId="53" applyNumberFormat="1" applyFont="1" applyBorder="1">
      <alignment/>
      <protection/>
    </xf>
    <xf numFmtId="0" fontId="21" fillId="0" borderId="10" xfId="62" applyFont="1" applyFill="1" applyBorder="1" applyAlignment="1">
      <alignment wrapText="1"/>
      <protection/>
    </xf>
    <xf numFmtId="166" fontId="73" fillId="0" borderId="0" xfId="53" applyNumberFormat="1" applyFont="1">
      <alignment/>
      <protection/>
    </xf>
    <xf numFmtId="0" fontId="21" fillId="0" borderId="10" xfId="62" applyFont="1" applyBorder="1">
      <alignment/>
      <protection/>
    </xf>
    <xf numFmtId="2" fontId="4" fillId="36" borderId="10" xfId="53" applyNumberFormat="1" applyFont="1" applyFill="1" applyBorder="1">
      <alignment/>
      <protection/>
    </xf>
    <xf numFmtId="4" fontId="4" fillId="36" borderId="10" xfId="53" applyNumberFormat="1" applyFont="1" applyFill="1" applyBorder="1">
      <alignment/>
      <protection/>
    </xf>
    <xf numFmtId="49" fontId="4" fillId="36" borderId="10" xfId="53" applyNumberFormat="1" applyFont="1" applyFill="1" applyBorder="1">
      <alignment/>
      <protection/>
    </xf>
    <xf numFmtId="0" fontId="6" fillId="36" borderId="10" xfId="53" applyFont="1" applyFill="1" applyBorder="1" applyAlignment="1">
      <alignment wrapText="1"/>
      <protection/>
    </xf>
    <xf numFmtId="164" fontId="4" fillId="0" borderId="32" xfId="53" applyNumberFormat="1" applyFont="1" applyFill="1" applyBorder="1">
      <alignment/>
      <protection/>
    </xf>
    <xf numFmtId="4" fontId="4" fillId="0" borderId="10" xfId="53" applyNumberFormat="1" applyFont="1" applyFill="1" applyBorder="1">
      <alignment/>
      <protection/>
    </xf>
    <xf numFmtId="2" fontId="21" fillId="0" borderId="35" xfId="53" applyNumberFormat="1" applyFont="1" applyFill="1" applyBorder="1">
      <alignment/>
      <protection/>
    </xf>
    <xf numFmtId="2" fontId="21" fillId="0" borderId="36" xfId="53" applyNumberFormat="1" applyFont="1" applyFill="1" applyBorder="1">
      <alignment/>
      <protection/>
    </xf>
    <xf numFmtId="4" fontId="21" fillId="0" borderId="10" xfId="53" applyNumberFormat="1" applyFont="1" applyBorder="1">
      <alignment/>
      <protection/>
    </xf>
    <xf numFmtId="0" fontId="17" fillId="0" borderId="10" xfId="53" applyFont="1" applyBorder="1" applyAlignment="1">
      <alignment horizontal="left" wrapText="1"/>
      <protection/>
    </xf>
    <xf numFmtId="49" fontId="2" fillId="0" borderId="10" xfId="53" applyNumberFormat="1" applyFont="1" applyBorder="1" applyAlignment="1">
      <alignment horizontal="left" wrapText="1"/>
      <protection/>
    </xf>
    <xf numFmtId="0" fontId="17" fillId="0" borderId="10" xfId="53" applyFont="1" applyBorder="1" applyAlignment="1">
      <alignment wrapText="1"/>
      <protection/>
    </xf>
    <xf numFmtId="0" fontId="17" fillId="0" borderId="10" xfId="53" applyFont="1" applyBorder="1" applyAlignment="1">
      <alignment horizontal="left" vertical="top" wrapText="1"/>
      <protection/>
    </xf>
    <xf numFmtId="0" fontId="22" fillId="0" borderId="10" xfId="53" applyFont="1" applyFill="1" applyBorder="1">
      <alignment/>
      <protection/>
    </xf>
    <xf numFmtId="49" fontId="22" fillId="0" borderId="10" xfId="53" applyNumberFormat="1" applyFont="1" applyFill="1" applyBorder="1">
      <alignment/>
      <protection/>
    </xf>
    <xf numFmtId="2" fontId="73" fillId="0" borderId="10" xfId="53" applyNumberFormat="1" applyFont="1" applyFill="1" applyBorder="1">
      <alignment/>
      <protection/>
    </xf>
    <xf numFmtId="0" fontId="73" fillId="0" borderId="10" xfId="53" applyFont="1" applyBorder="1">
      <alignment/>
      <protection/>
    </xf>
    <xf numFmtId="165" fontId="73" fillId="0" borderId="10" xfId="53" applyNumberFormat="1" applyFont="1" applyBorder="1">
      <alignment/>
      <protection/>
    </xf>
    <xf numFmtId="49" fontId="73" fillId="0" borderId="10" xfId="53" applyNumberFormat="1" applyFont="1" applyBorder="1">
      <alignment/>
      <protection/>
    </xf>
    <xf numFmtId="0" fontId="73" fillId="0" borderId="10" xfId="63" applyFont="1" applyBorder="1" applyAlignment="1">
      <alignment horizontal="left" wrapText="1"/>
      <protection/>
    </xf>
    <xf numFmtId="4" fontId="23" fillId="0" borderId="41" xfId="53" applyNumberFormat="1" applyFont="1" applyFill="1" applyBorder="1">
      <alignment/>
      <protection/>
    </xf>
    <xf numFmtId="4" fontId="23" fillId="0" borderId="20" xfId="53" applyNumberFormat="1" applyFont="1" applyFill="1" applyBorder="1">
      <alignment/>
      <protection/>
    </xf>
    <xf numFmtId="4" fontId="23" fillId="0" borderId="10" xfId="53" applyNumberFormat="1" applyFont="1" applyBorder="1">
      <alignment/>
      <protection/>
    </xf>
    <xf numFmtId="0" fontId="4" fillId="0" borderId="10" xfId="53" applyFont="1" applyBorder="1" applyAlignment="1">
      <alignment wrapText="1" shrinkToFit="1"/>
      <protection/>
    </xf>
    <xf numFmtId="0" fontId="26" fillId="0" borderId="10" xfId="53" applyFont="1" applyBorder="1" applyAlignment="1">
      <alignment wrapText="1"/>
      <protection/>
    </xf>
    <xf numFmtId="2" fontId="9" fillId="0" borderId="35" xfId="53" applyNumberFormat="1" applyFont="1" applyBorder="1">
      <alignment/>
      <protection/>
    </xf>
    <xf numFmtId="2" fontId="9" fillId="0" borderId="36" xfId="53" applyNumberFormat="1" applyFont="1" applyBorder="1">
      <alignment/>
      <protection/>
    </xf>
    <xf numFmtId="43" fontId="4" fillId="0" borderId="10" xfId="78" applyFont="1" applyFill="1" applyBorder="1" applyAlignment="1">
      <alignment wrapText="1"/>
    </xf>
    <xf numFmtId="49" fontId="6" fillId="0" borderId="10" xfId="53" applyNumberFormat="1" applyFont="1" applyBorder="1" applyAlignment="1">
      <alignment horizontal="center"/>
      <protection/>
    </xf>
    <xf numFmtId="0" fontId="6" fillId="0" borderId="10" xfId="53" applyFont="1" applyBorder="1" applyAlignment="1">
      <alignment horizontal="center" wrapText="1"/>
      <protection/>
    </xf>
    <xf numFmtId="49" fontId="6" fillId="0" borderId="10" xfId="53" applyNumberFormat="1" applyFont="1" applyBorder="1" applyAlignment="1">
      <alignment wrapText="1"/>
      <protection/>
    </xf>
    <xf numFmtId="2" fontId="4" fillId="0" borderId="10" xfId="53" applyNumberFormat="1" applyFont="1" applyFill="1" applyBorder="1" applyAlignment="1">
      <alignment horizontal="center"/>
      <protection/>
    </xf>
    <xf numFmtId="2" fontId="4" fillId="34" borderId="10" xfId="53" applyNumberFormat="1" applyFont="1" applyFill="1" applyBorder="1" applyAlignment="1">
      <alignment horizontal="right"/>
      <protection/>
    </xf>
    <xf numFmtId="4" fontId="4" fillId="0" borderId="10" xfId="53" applyNumberFormat="1" applyFont="1" applyBorder="1" applyAlignment="1">
      <alignment horizontal="justify" vertical="top" wrapText="1"/>
      <protection/>
    </xf>
    <xf numFmtId="2" fontId="4" fillId="0" borderId="35" xfId="53" applyNumberFormat="1" applyFont="1" applyBorder="1">
      <alignment/>
      <protection/>
    </xf>
    <xf numFmtId="2" fontId="4" fillId="0" borderId="36" xfId="53" applyNumberFormat="1" applyFont="1" applyBorder="1">
      <alignment/>
      <protection/>
    </xf>
    <xf numFmtId="0" fontId="4" fillId="0" borderId="0" xfId="53" applyFont="1" applyBorder="1">
      <alignment/>
      <protection/>
    </xf>
    <xf numFmtId="165" fontId="4" fillId="0" borderId="0" xfId="53" applyNumberFormat="1" applyFont="1" applyFill="1" applyBorder="1">
      <alignment/>
      <protection/>
    </xf>
    <xf numFmtId="0" fontId="4" fillId="37" borderId="0" xfId="53" applyFont="1" applyFill="1" applyBorder="1">
      <alignment/>
      <protection/>
    </xf>
    <xf numFmtId="0" fontId="4" fillId="0" borderId="0" xfId="53" applyFont="1" applyFill="1" applyBorder="1">
      <alignment/>
      <protection/>
    </xf>
    <xf numFmtId="165" fontId="31" fillId="0" borderId="28" xfId="53" applyNumberFormat="1" applyFont="1" applyFill="1" applyBorder="1">
      <alignment/>
      <protection/>
    </xf>
    <xf numFmtId="0" fontId="4" fillId="0" borderId="39" xfId="53" applyFont="1" applyFill="1" applyBorder="1">
      <alignment/>
      <protection/>
    </xf>
    <xf numFmtId="49" fontId="4" fillId="0" borderId="10" xfId="53" applyNumberFormat="1" applyFont="1" applyBorder="1" applyAlignment="1">
      <alignment horizontal="center"/>
      <protection/>
    </xf>
    <xf numFmtId="0" fontId="4" fillId="0" borderId="10" xfId="53" applyFont="1" applyBorder="1" applyAlignment="1">
      <alignment horizontal="center" wrapText="1"/>
      <protection/>
    </xf>
    <xf numFmtId="49" fontId="4" fillId="0" borderId="10" xfId="53" applyNumberFormat="1" applyFont="1" applyBorder="1" applyAlignment="1">
      <alignment horizontal="center" wrapText="1"/>
      <protection/>
    </xf>
    <xf numFmtId="165" fontId="31" fillId="0" borderId="42" xfId="53" applyNumberFormat="1" applyFont="1" applyFill="1" applyBorder="1">
      <alignment/>
      <protection/>
    </xf>
    <xf numFmtId="165" fontId="4" fillId="0" borderId="11" xfId="53" applyNumberFormat="1" applyFont="1" applyFill="1" applyBorder="1">
      <alignment/>
      <protection/>
    </xf>
    <xf numFmtId="49" fontId="26" fillId="0" borderId="10" xfId="53" applyNumberFormat="1" applyFont="1" applyBorder="1" applyAlignment="1">
      <alignment horizontal="center"/>
      <protection/>
    </xf>
    <xf numFmtId="165" fontId="31" fillId="0" borderId="43" xfId="53" applyNumberFormat="1" applyFont="1" applyFill="1" applyBorder="1">
      <alignment/>
      <protection/>
    </xf>
    <xf numFmtId="0" fontId="31" fillId="0" borderId="36" xfId="53" applyFont="1" applyFill="1" applyBorder="1">
      <alignment/>
      <protection/>
    </xf>
    <xf numFmtId="0" fontId="9" fillId="0" borderId="0" xfId="53" applyFont="1" applyFill="1" applyBorder="1">
      <alignment/>
      <protection/>
    </xf>
    <xf numFmtId="0" fontId="9" fillId="37" borderId="0" xfId="53" applyFont="1" applyFill="1" applyBorder="1">
      <alignment/>
      <protection/>
    </xf>
    <xf numFmtId="165" fontId="31" fillId="0" borderId="36" xfId="53" applyNumberFormat="1" applyFont="1" applyFill="1" applyBorder="1">
      <alignment/>
      <protection/>
    </xf>
    <xf numFmtId="2" fontId="9" fillId="0" borderId="37" xfId="53" applyNumberFormat="1" applyFont="1" applyFill="1" applyBorder="1">
      <alignment/>
      <protection/>
    </xf>
    <xf numFmtId="2" fontId="9" fillId="0" borderId="38" xfId="53" applyNumberFormat="1" applyFont="1" applyFill="1" applyBorder="1">
      <alignment/>
      <protection/>
    </xf>
    <xf numFmtId="49" fontId="22" fillId="0" borderId="10" xfId="53" applyNumberFormat="1" applyFont="1" applyBorder="1" applyAlignment="1">
      <alignment horizontal="center"/>
      <protection/>
    </xf>
    <xf numFmtId="166" fontId="4" fillId="0" borderId="41" xfId="53" applyNumberFormat="1" applyFont="1" applyFill="1" applyBorder="1">
      <alignment/>
      <protection/>
    </xf>
    <xf numFmtId="166" fontId="4" fillId="0" borderId="20" xfId="53" applyNumberFormat="1" applyFont="1" applyFill="1" applyBorder="1">
      <alignment/>
      <protection/>
    </xf>
    <xf numFmtId="166" fontId="4" fillId="0" borderId="10" xfId="53" applyNumberFormat="1" applyFont="1" applyBorder="1">
      <alignment/>
      <protection/>
    </xf>
    <xf numFmtId="49" fontId="23" fillId="0" borderId="10" xfId="53" applyNumberFormat="1" applyFont="1" applyBorder="1" applyAlignment="1">
      <alignment horizontal="center"/>
      <protection/>
    </xf>
    <xf numFmtId="0" fontId="23" fillId="0" borderId="10" xfId="53" applyFont="1" applyBorder="1" applyAlignment="1">
      <alignment horizontal="center"/>
      <protection/>
    </xf>
    <xf numFmtId="0" fontId="9" fillId="0" borderId="44" xfId="53" applyFont="1" applyFill="1" applyBorder="1" applyAlignment="1">
      <alignment vertical="center"/>
      <protection/>
    </xf>
    <xf numFmtId="0" fontId="9" fillId="0" borderId="45" xfId="53" applyFont="1" applyFill="1" applyBorder="1">
      <alignment/>
      <protection/>
    </xf>
    <xf numFmtId="1" fontId="32" fillId="0" borderId="10" xfId="53" applyNumberFormat="1" applyFont="1" applyFill="1" applyBorder="1" applyAlignment="1">
      <alignment horizontal="center" vertical="center"/>
      <protection/>
    </xf>
    <xf numFmtId="1" fontId="32" fillId="0" borderId="10" xfId="53" applyNumberFormat="1" applyFont="1" applyFill="1" applyBorder="1" applyAlignment="1">
      <alignment horizontal="center"/>
      <protection/>
    </xf>
    <xf numFmtId="1" fontId="32" fillId="0" borderId="10" xfId="53" applyNumberFormat="1" applyFont="1" applyBorder="1" applyAlignment="1">
      <alignment horizontal="center" vertical="center"/>
      <protection/>
    </xf>
    <xf numFmtId="0" fontId="19" fillId="0" borderId="10" xfId="53" applyFont="1" applyBorder="1">
      <alignment/>
      <protection/>
    </xf>
    <xf numFmtId="0" fontId="19" fillId="0" borderId="10" xfId="53" applyFont="1" applyBorder="1" applyAlignment="1">
      <alignment vertical="center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33" fillId="0" borderId="10" xfId="53" applyFont="1" applyBorder="1" applyAlignment="1">
      <alignment horizontal="center" vertical="center" wrapText="1"/>
      <protection/>
    </xf>
    <xf numFmtId="168" fontId="4" fillId="0" borderId="0" xfId="53" applyNumberFormat="1" applyFont="1" applyAlignment="1">
      <alignment vertical="top" wrapText="1"/>
      <protection/>
    </xf>
    <xf numFmtId="0" fontId="4" fillId="0" borderId="0" xfId="53" applyFont="1" applyAlignment="1">
      <alignment vertical="top" wrapText="1"/>
      <protection/>
    </xf>
    <xf numFmtId="2" fontId="4" fillId="0" borderId="10" xfId="74" applyNumberFormat="1" applyFont="1" applyFill="1" applyBorder="1" applyAlignment="1">
      <alignment horizontal="center" vertical="top" wrapText="1"/>
    </xf>
    <xf numFmtId="49" fontId="3" fillId="0" borderId="0" xfId="0" applyNumberFormat="1" applyFont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/>
    </xf>
    <xf numFmtId="0" fontId="3" fillId="0" borderId="0" xfId="0" applyFont="1" applyFill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4" fillId="0" borderId="0" xfId="63" applyFont="1" applyAlignment="1">
      <alignment horizontal="left" wrapText="1"/>
      <protection/>
    </xf>
    <xf numFmtId="0" fontId="2" fillId="0" borderId="0" xfId="61" applyAlignment="1">
      <alignment wrapText="1"/>
      <protection/>
    </xf>
    <xf numFmtId="0" fontId="16" fillId="0" borderId="0" xfId="53" applyFont="1" applyAlignment="1">
      <alignment wrapText="1"/>
      <protection/>
    </xf>
    <xf numFmtId="0" fontId="9" fillId="0" borderId="0" xfId="63" applyFont="1" applyBorder="1" applyAlignment="1">
      <alignment horizontal="center" vertical="center" wrapText="1"/>
      <protection/>
    </xf>
    <xf numFmtId="0" fontId="4" fillId="0" borderId="0" xfId="63" applyFont="1" applyAlignment="1">
      <alignment vertical="center" wrapText="1"/>
      <protection/>
    </xf>
    <xf numFmtId="0" fontId="4" fillId="0" borderId="0" xfId="53" applyFont="1" applyAlignment="1">
      <alignment vertical="center"/>
      <protection/>
    </xf>
    <xf numFmtId="0" fontId="2" fillId="0" borderId="0" xfId="53" applyAlignment="1">
      <alignment vertical="center"/>
      <protection/>
    </xf>
    <xf numFmtId="0" fontId="18" fillId="0" borderId="0" xfId="63" applyFont="1" applyBorder="1" applyAlignment="1">
      <alignment horizontal="center" wrapText="1"/>
      <protection/>
    </xf>
    <xf numFmtId="0" fontId="2" fillId="0" borderId="0" xfId="53" applyAlignment="1">
      <alignment/>
      <protection/>
    </xf>
    <xf numFmtId="49" fontId="9" fillId="0" borderId="10" xfId="63" applyNumberFormat="1" applyFont="1" applyBorder="1" applyAlignment="1">
      <alignment horizontal="center"/>
      <protection/>
    </xf>
    <xf numFmtId="0" fontId="4" fillId="0" borderId="10" xfId="53" applyFont="1" applyBorder="1" applyAlignment="1">
      <alignment horizontal="center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9" fillId="0" borderId="10" xfId="53" applyFont="1" applyBorder="1">
      <alignment/>
      <protection/>
    </xf>
    <xf numFmtId="167" fontId="9" fillId="0" borderId="10" xfId="53" applyNumberFormat="1" applyFont="1" applyFill="1" applyBorder="1" applyAlignment="1">
      <alignment vertical="center" wrapText="1"/>
      <protection/>
    </xf>
    <xf numFmtId="167" fontId="9" fillId="0" borderId="10" xfId="53" applyNumberFormat="1" applyFont="1" applyFill="1" applyBorder="1" applyAlignment="1">
      <alignment vertical="center"/>
      <protection/>
    </xf>
    <xf numFmtId="168" fontId="9" fillId="0" borderId="10" xfId="53" applyNumberFormat="1" applyFont="1" applyFill="1" applyBorder="1" applyAlignment="1">
      <alignment horizontal="center" vertical="center" wrapText="1"/>
      <protection/>
    </xf>
    <xf numFmtId="168" fontId="9" fillId="0" borderId="10" xfId="53" applyNumberFormat="1" applyFont="1" applyFill="1" applyBorder="1">
      <alignment/>
      <protection/>
    </xf>
    <xf numFmtId="168" fontId="4" fillId="0" borderId="10" xfId="53" applyNumberFormat="1" applyFont="1" applyFill="1" applyBorder="1" applyAlignment="1">
      <alignment vertical="center" wrapText="1"/>
      <protection/>
    </xf>
    <xf numFmtId="168" fontId="4" fillId="0" borderId="10" xfId="53" applyNumberFormat="1" applyFont="1" applyFill="1" applyBorder="1" applyAlignment="1">
      <alignment vertical="center"/>
      <protection/>
    </xf>
    <xf numFmtId="0" fontId="9" fillId="0" borderId="46" xfId="53" applyFont="1" applyFill="1" applyBorder="1" applyAlignment="1">
      <alignment horizontal="center" vertical="center" wrapText="1"/>
      <protection/>
    </xf>
    <xf numFmtId="0" fontId="9" fillId="0" borderId="32" xfId="53" applyFont="1" applyFill="1" applyBorder="1">
      <alignment/>
      <protection/>
    </xf>
    <xf numFmtId="0" fontId="9" fillId="0" borderId="30" xfId="53" applyFont="1" applyFill="1" applyBorder="1">
      <alignment/>
      <protection/>
    </xf>
    <xf numFmtId="0" fontId="9" fillId="0" borderId="47" xfId="53" applyFont="1" applyFill="1" applyBorder="1" applyAlignment="1">
      <alignment vertical="center" wrapText="1"/>
      <protection/>
    </xf>
    <xf numFmtId="0" fontId="9" fillId="0" borderId="48" xfId="53" applyFont="1" applyFill="1" applyBorder="1" applyAlignment="1">
      <alignment vertical="center"/>
      <protection/>
    </xf>
    <xf numFmtId="0" fontId="9" fillId="0" borderId="49" xfId="53" applyFont="1" applyFill="1" applyBorder="1" applyAlignment="1">
      <alignment vertical="center"/>
      <protection/>
    </xf>
    <xf numFmtId="0" fontId="4" fillId="0" borderId="0" xfId="53" applyFont="1" applyAlignment="1">
      <alignment horizontal="left" wrapText="1"/>
      <protection/>
    </xf>
    <xf numFmtId="0" fontId="4" fillId="0" borderId="0" xfId="53" applyFont="1" applyAlignment="1">
      <alignment horizontal="left"/>
      <protection/>
    </xf>
    <xf numFmtId="0" fontId="15" fillId="0" borderId="0" xfId="53" applyFont="1" applyAlignment="1">
      <alignment vertical="top" wrapText="1"/>
      <protection/>
    </xf>
    <xf numFmtId="0" fontId="15" fillId="0" borderId="0" xfId="53" applyFont="1" applyAlignment="1">
      <alignment wrapText="1"/>
      <protection/>
    </xf>
    <xf numFmtId="0" fontId="35" fillId="0" borderId="0" xfId="53" applyFont="1" applyAlignment="1">
      <alignment horizontal="center"/>
      <protection/>
    </xf>
    <xf numFmtId="0" fontId="34" fillId="0" borderId="0" xfId="53" applyFont="1" applyAlignment="1">
      <alignment horizontal="center"/>
      <protection/>
    </xf>
    <xf numFmtId="0" fontId="2" fillId="0" borderId="0" xfId="53" applyAlignment="1">
      <alignment horizontal="center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vertical="center" wrapText="1"/>
      <protection/>
    </xf>
    <xf numFmtId="0" fontId="9" fillId="0" borderId="10" xfId="53" applyFont="1" applyBorder="1" applyAlignment="1">
      <alignment vertical="center"/>
      <protection/>
    </xf>
    <xf numFmtId="4" fontId="15" fillId="0" borderId="0" xfId="61" applyNumberFormat="1" applyFont="1" applyBorder="1" applyAlignment="1">
      <alignment horizontal="left"/>
      <protection/>
    </xf>
    <xf numFmtId="0" fontId="14" fillId="0" borderId="0" xfId="61" applyFont="1" applyBorder="1" applyAlignment="1">
      <alignment horizontal="left" vertical="top" wrapText="1"/>
      <protection/>
    </xf>
    <xf numFmtId="0" fontId="13" fillId="0" borderId="0" xfId="61" applyFont="1" applyBorder="1" applyAlignment="1">
      <alignment horizontal="center" vertical="top" wrapText="1"/>
      <protection/>
    </xf>
    <xf numFmtId="0" fontId="2" fillId="0" borderId="0" xfId="61" applyAlignment="1">
      <alignment horizontal="center" vertical="top" wrapText="1"/>
      <protection/>
    </xf>
    <xf numFmtId="2" fontId="9" fillId="34" borderId="10" xfId="53" applyNumberFormat="1" applyFont="1" applyFill="1" applyBorder="1" applyAlignment="1">
      <alignment horizontal="center" wrapText="1"/>
      <protection/>
    </xf>
    <xf numFmtId="2" fontId="9" fillId="34" borderId="10" xfId="63" applyNumberFormat="1" applyFont="1" applyFill="1" applyBorder="1" applyAlignment="1">
      <alignment horizontal="center"/>
      <protection/>
    </xf>
    <xf numFmtId="2" fontId="4" fillId="34" borderId="10" xfId="53" applyNumberFormat="1" applyFont="1" applyFill="1" applyBorder="1" applyAlignment="1">
      <alignment horizontal="center" wrapText="1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_прил 7,9-2009-2010 нов классиф." xfId="62"/>
    <cellStyle name="Обычный_прилож 8,10 -2008г.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Тысячи [0]_перечис.11" xfId="70"/>
    <cellStyle name="Тысячи_перечис.11" xfId="71"/>
    <cellStyle name="Comma" xfId="72"/>
    <cellStyle name="Comma [0]" xfId="73"/>
    <cellStyle name="Финансовый 2" xfId="74"/>
    <cellStyle name="Финансовый 3" xfId="75"/>
    <cellStyle name="Финансовый 4" xfId="76"/>
    <cellStyle name="Финансовый 5" xfId="77"/>
    <cellStyle name="Финансовый 6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1;&#1080;&#1076;&#1080;&#1103;&#1080;&#1074;&#1072;&#1085;&#1086;&#1074;&#1072;&#1085;&#1072;\&#1076;&#1083;&#1103;%20&#1086;&#1073;&#1084;&#1077;&#1085;&#1072;\&#1084;&#1086;&#1080;%20&#1076;&#1086;&#1082;&#1080;\RABOTA%202011\&#1073;&#1102;&#1076;&#1078;&#1077;&#1090;2011\&#1080;&#1079;&#1084;&#1077;&#1085;&#1077;&#1085;&#1080;&#1103;%20&#1089;&#1077;&#1085;&#1090;&#1103;&#1073;&#1088;&#1100;\&#1080;&#1079;&#1084;&#1077;&#1085;&#1077;&#1085;&#1080;&#1103;%20&#1089;&#1077;&#1085;&#1090;&#1103;&#1073;&#1088;&#1100;%202011&#1075;\&#1048;&#1079;&#1084;&#1077;&#1085;.&#1089;&#1077;&#1085;&#1090;%202011%20&#1076;&#1083;&#1103;%20&#1040;&#1078;&#1091;&#1076;&#1072;%20&#1087;&#1088;&#1080;&#1083;%201.2,8,10,12,14,17.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Application%20Data\Microsoft\Excel\&#1055;&#1088;&#1080;&#1083;&#1086;&#1078;&#1077;&#1085;&#1080;&#1103;%208,10(2011&#1075;-2013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1;&#1080;&#1076;&#1080;&#1103;&#1080;&#1074;&#1072;&#1085;&#1086;&#1074;&#1072;&#1085;&#1072;\&#1076;&#1083;&#1103;%20&#1086;&#1073;&#1084;&#1077;&#1085;&#1072;\&#1084;&#1086;&#1080;%20&#1076;&#1086;&#1082;&#1080;\RABOTA%202011\&#1073;&#1102;&#1076;&#1078;&#1077;&#1090;2011\&#1048;&#1079;&#1084;&#1077;&#1085;%20&#1076;&#1077;&#1082;&#1072;&#1073;&#1088;&#1100;\&#1076;&#1083;&#1103;%20&#1040;&#1078;&#1091;&#1076;&#1072;%20&#1076;&#1077;&#1082;\&#1048;&#1079;&#1084;&#1077;&#1085;.&#1076;&#1077;&#1082;&#1072;&#1073;&#1088;&#1100;%202812%202011%20%20&#1087;&#1088;&#1080;&#1083;2,8,10,14,15.17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2"/>
      <sheetName val="прил 8 (разд, подразд)"/>
      <sheetName val="10 прил(гл.расп,расх)"/>
      <sheetName val="Прилож.14 (кап стр)"/>
      <sheetName val="пРИЛ 15 ПУБЛИЧН."/>
      <sheetName val="Приложение 17 (2011)"/>
      <sheetName val="прилож &quot;20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8 (2011г)"/>
      <sheetName val="10 прил(2011г)чистовик"/>
    </sheetNames>
    <sheetDataSet>
      <sheetData sheetId="1">
        <row r="651">
          <cell r="J651">
            <v>1080.095</v>
          </cell>
          <cell r="K651">
            <v>0</v>
          </cell>
        </row>
        <row r="652">
          <cell r="J652">
            <v>1677.149</v>
          </cell>
          <cell r="K652">
            <v>0</v>
          </cell>
        </row>
        <row r="653">
          <cell r="J653">
            <v>17629.555999999997</v>
          </cell>
          <cell r="K653">
            <v>1264</v>
          </cell>
        </row>
        <row r="654">
          <cell r="J654">
            <v>0</v>
          </cell>
          <cell r="K654">
            <v>0</v>
          </cell>
        </row>
        <row r="655">
          <cell r="J655">
            <v>3205.056</v>
          </cell>
          <cell r="K655">
            <v>0</v>
          </cell>
        </row>
        <row r="656">
          <cell r="J656">
            <v>134.28893</v>
          </cell>
          <cell r="K656">
            <v>0</v>
          </cell>
        </row>
        <row r="665">
          <cell r="J665">
            <v>500</v>
          </cell>
          <cell r="K665">
            <v>200</v>
          </cell>
        </row>
        <row r="666">
          <cell r="J666">
            <v>75</v>
          </cell>
          <cell r="K666">
            <v>0</v>
          </cell>
        </row>
        <row r="668">
          <cell r="J668">
            <v>160</v>
          </cell>
          <cell r="K668">
            <v>70</v>
          </cell>
        </row>
        <row r="669">
          <cell r="J669">
            <v>0</v>
          </cell>
          <cell r="K669">
            <v>0</v>
          </cell>
        </row>
        <row r="670">
          <cell r="J670">
            <v>0</v>
          </cell>
          <cell r="K670">
            <v>0</v>
          </cell>
        </row>
        <row r="671">
          <cell r="J671">
            <v>2534.703</v>
          </cell>
          <cell r="K671">
            <v>0</v>
          </cell>
        </row>
        <row r="673">
          <cell r="J673">
            <v>1400</v>
          </cell>
          <cell r="K673">
            <v>80</v>
          </cell>
        </row>
        <row r="674">
          <cell r="J674">
            <v>14356.14</v>
          </cell>
          <cell r="K674">
            <v>710.6</v>
          </cell>
        </row>
        <row r="675">
          <cell r="J675">
            <v>300</v>
          </cell>
          <cell r="K675">
            <v>200</v>
          </cell>
        </row>
        <row r="676">
          <cell r="J676">
            <v>0</v>
          </cell>
          <cell r="K676">
            <v>0</v>
          </cell>
        </row>
        <row r="678">
          <cell r="J678">
            <v>565</v>
          </cell>
          <cell r="K678">
            <v>263</v>
          </cell>
        </row>
        <row r="679">
          <cell r="J679">
            <v>191668.53093</v>
          </cell>
          <cell r="K679">
            <v>4208.95606</v>
          </cell>
        </row>
        <row r="680">
          <cell r="J680">
            <v>740.91</v>
          </cell>
          <cell r="K680">
            <v>0</v>
          </cell>
        </row>
        <row r="681">
          <cell r="J681">
            <v>2380.06</v>
          </cell>
          <cell r="K681">
            <v>0</v>
          </cell>
        </row>
        <row r="682">
          <cell r="J682">
            <v>7032.566</v>
          </cell>
          <cell r="K682">
            <v>1.25498</v>
          </cell>
        </row>
        <row r="684">
          <cell r="J684">
            <v>4058.852</v>
          </cell>
          <cell r="K684">
            <v>648.88</v>
          </cell>
        </row>
        <row r="685">
          <cell r="J685">
            <v>0</v>
          </cell>
          <cell r="K685">
            <v>0</v>
          </cell>
        </row>
        <row r="687">
          <cell r="J687">
            <v>0</v>
          </cell>
          <cell r="K687">
            <v>0</v>
          </cell>
        </row>
        <row r="689">
          <cell r="J689">
            <v>38155.259999999995</v>
          </cell>
          <cell r="K689">
            <v>100</v>
          </cell>
        </row>
        <row r="690">
          <cell r="J690">
            <v>4948.8</v>
          </cell>
          <cell r="K690">
            <v>0</v>
          </cell>
        </row>
        <row r="691">
          <cell r="J691">
            <v>749.9</v>
          </cell>
          <cell r="K691">
            <v>0</v>
          </cell>
        </row>
        <row r="696">
          <cell r="J696">
            <v>1593.18</v>
          </cell>
          <cell r="K696">
            <v>0</v>
          </cell>
        </row>
        <row r="697">
          <cell r="J697">
            <v>6711.6474</v>
          </cell>
          <cell r="K697">
            <v>212.857</v>
          </cell>
        </row>
        <row r="698">
          <cell r="J698">
            <v>44962.2</v>
          </cell>
          <cell r="K698">
            <v>725.706</v>
          </cell>
        </row>
        <row r="699">
          <cell r="J699">
            <v>10903.6</v>
          </cell>
          <cell r="K699">
            <v>0</v>
          </cell>
        </row>
        <row r="700">
          <cell r="J700">
            <v>1997.3809999999999</v>
          </cell>
          <cell r="K70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812 прил 2"/>
      <sheetName val="прил 8 (разд, подразд)"/>
      <sheetName val="10 прил(гл.расп,расх) правка"/>
      <sheetName val="Прилож.14 (кап стр)"/>
      <sheetName val="пРИЛ 15 ПУБЛИЧН."/>
      <sheetName val="Приложение 17 (2011)"/>
      <sheetName val="Лист1"/>
    </sheetNames>
    <sheetDataSet>
      <sheetData sheetId="2">
        <row r="740">
          <cell r="J740">
            <v>0</v>
          </cell>
        </row>
        <row r="764">
          <cell r="J764">
            <v>0</v>
          </cell>
          <cell r="K764">
            <v>0</v>
          </cell>
        </row>
        <row r="773">
          <cell r="J773">
            <v>0</v>
          </cell>
        </row>
        <row r="775">
          <cell r="J775">
            <v>0</v>
          </cell>
          <cell r="K77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7"/>
  <sheetViews>
    <sheetView zoomScale="82" zoomScaleNormal="82" zoomScalePageLayoutView="0" workbookViewId="0" topLeftCell="A155">
      <selection activeCell="K203" sqref="K203"/>
    </sheetView>
  </sheetViews>
  <sheetFormatPr defaultColWidth="9.140625" defaultRowHeight="15"/>
  <cols>
    <col min="1" max="1" width="9.28125" style="21" customWidth="1"/>
    <col min="2" max="2" width="23.140625" style="0" customWidth="1"/>
    <col min="3" max="3" width="50.8515625" style="0" customWidth="1"/>
    <col min="4" max="4" width="17.00390625" style="9" customWidth="1"/>
    <col min="5" max="5" width="15.57421875" style="10" customWidth="1"/>
    <col min="6" max="6" width="17.28125" style="0" customWidth="1"/>
    <col min="7" max="7" width="15.421875" style="0" hidden="1" customWidth="1"/>
    <col min="8" max="8" width="13.8515625" style="0" hidden="1" customWidth="1"/>
    <col min="9" max="9" width="0" style="0" hidden="1" customWidth="1"/>
    <col min="10" max="10" width="17.00390625" style="0" bestFit="1" customWidth="1"/>
    <col min="11" max="12" width="16.00390625" style="0" bestFit="1" customWidth="1"/>
  </cols>
  <sheetData>
    <row r="1" spans="1:6" ht="15">
      <c r="A1" s="7"/>
      <c r="B1" s="8"/>
      <c r="C1" s="8"/>
      <c r="D1" s="457"/>
      <c r="E1" s="457"/>
      <c r="F1" s="457"/>
    </row>
    <row r="2" spans="1:6" ht="12.75" customHeight="1">
      <c r="A2" s="7"/>
      <c r="B2" s="8"/>
      <c r="C2" s="8"/>
      <c r="D2" s="456" t="s">
        <v>273</v>
      </c>
      <c r="E2" s="456"/>
      <c r="F2" s="456"/>
    </row>
    <row r="3" spans="1:2" ht="0.75" customHeight="1">
      <c r="A3" s="7"/>
      <c r="B3" s="8"/>
    </row>
    <row r="4" spans="1:6" ht="58.5" customHeight="1">
      <c r="A4" s="7"/>
      <c r="B4" s="8"/>
      <c r="D4" s="454" t="s">
        <v>1008</v>
      </c>
      <c r="E4" s="454"/>
      <c r="F4" s="454"/>
    </row>
    <row r="5" spans="1:3" ht="16.5" customHeight="1">
      <c r="A5" s="11"/>
      <c r="B5" s="8"/>
      <c r="C5" s="8"/>
    </row>
    <row r="6" spans="1:6" ht="12.75" customHeight="1">
      <c r="A6" s="7"/>
      <c r="B6" s="455" t="s">
        <v>1010</v>
      </c>
      <c r="C6" s="455"/>
      <c r="D6" s="455"/>
      <c r="E6" s="455"/>
      <c r="F6" s="455"/>
    </row>
    <row r="7" spans="1:5" s="16" customFormat="1" ht="15.75" customHeight="1">
      <c r="A7" s="12"/>
      <c r="B7" s="13"/>
      <c r="C7" s="13"/>
      <c r="D7" s="14"/>
      <c r="E7" s="15"/>
    </row>
    <row r="8" spans="1:6" s="19" customFormat="1" ht="18" customHeight="1">
      <c r="A8" s="459" t="s">
        <v>0</v>
      </c>
      <c r="B8" s="459" t="s">
        <v>1</v>
      </c>
      <c r="C8" s="459" t="s">
        <v>2</v>
      </c>
      <c r="D8" s="458" t="s">
        <v>275</v>
      </c>
      <c r="E8" s="458"/>
      <c r="F8" s="458"/>
    </row>
    <row r="9" spans="1:6" s="19" customFormat="1" ht="43.5" customHeight="1">
      <c r="A9" s="460"/>
      <c r="B9" s="460"/>
      <c r="C9" s="460"/>
      <c r="D9" s="48" t="s">
        <v>1020</v>
      </c>
      <c r="E9" s="48" t="s">
        <v>274</v>
      </c>
      <c r="F9" s="48" t="s">
        <v>1021</v>
      </c>
    </row>
    <row r="10" spans="1:6" s="21" customFormat="1" ht="12.75" customHeight="1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</row>
    <row r="11" spans="1:6" s="19" customFormat="1" ht="19.5" customHeight="1">
      <c r="A11" s="17" t="s">
        <v>3</v>
      </c>
      <c r="B11" s="18" t="s">
        <v>4</v>
      </c>
      <c r="C11" s="18" t="s">
        <v>5</v>
      </c>
      <c r="D11" s="1">
        <f>D12+D55</f>
        <v>72412.09259</v>
      </c>
      <c r="E11" s="1">
        <f>E12+E55</f>
        <v>74596.49740000001</v>
      </c>
      <c r="F11" s="1">
        <f>E11/D11*100</f>
        <v>103.01662986369998</v>
      </c>
    </row>
    <row r="12" spans="1:10" s="19" customFormat="1" ht="15" customHeight="1" hidden="1">
      <c r="A12" s="17"/>
      <c r="B12" s="18"/>
      <c r="C12" s="18" t="s">
        <v>6</v>
      </c>
      <c r="D12" s="1">
        <f>D13+D22+D28+D38+D44</f>
        <v>54111.23048</v>
      </c>
      <c r="E12" s="1">
        <f>E13+E22+E28+E38+E44+E52</f>
        <v>55604.782210000005</v>
      </c>
      <c r="F12" s="1">
        <f aca="true" t="shared" si="0" ref="F12:F78">E12/D12*100</f>
        <v>102.76015111235002</v>
      </c>
      <c r="J12" s="25"/>
    </row>
    <row r="13" spans="1:10" s="22" customFormat="1" ht="23.25" customHeight="1">
      <c r="A13" s="17" t="s">
        <v>3</v>
      </c>
      <c r="B13" s="18" t="s">
        <v>7</v>
      </c>
      <c r="C13" s="18" t="s">
        <v>8</v>
      </c>
      <c r="D13" s="1">
        <f>D14</f>
        <v>34024.19048</v>
      </c>
      <c r="E13" s="1">
        <f>E14</f>
        <v>35790.76180000001</v>
      </c>
      <c r="F13" s="1">
        <f t="shared" si="0"/>
        <v>105.19210389748561</v>
      </c>
      <c r="J13" s="25"/>
    </row>
    <row r="14" spans="1:10" s="22" customFormat="1" ht="24" customHeight="1">
      <c r="A14" s="17" t="s">
        <v>9</v>
      </c>
      <c r="B14" s="18" t="s">
        <v>10</v>
      </c>
      <c r="C14" s="18" t="s">
        <v>11</v>
      </c>
      <c r="D14" s="1">
        <f>D15+D16+D20+D19+D21</f>
        <v>34024.19048</v>
      </c>
      <c r="E14" s="1">
        <f>E15+E16+E20+E19+E21</f>
        <v>35790.76180000001</v>
      </c>
      <c r="F14" s="1">
        <f t="shared" si="0"/>
        <v>105.19210389748561</v>
      </c>
      <c r="J14" s="25"/>
    </row>
    <row r="15" spans="1:10" s="19" customFormat="1" ht="61.5" customHeight="1">
      <c r="A15" s="17" t="s">
        <v>9</v>
      </c>
      <c r="B15" s="18" t="s">
        <v>12</v>
      </c>
      <c r="C15" s="18" t="s">
        <v>13</v>
      </c>
      <c r="D15" s="1">
        <v>0</v>
      </c>
      <c r="E15" s="1">
        <v>16.20147</v>
      </c>
      <c r="F15" s="1"/>
      <c r="J15" s="25"/>
    </row>
    <row r="16" spans="1:10" s="23" customFormat="1" ht="58.5" customHeight="1">
      <c r="A16" s="17" t="s">
        <v>9</v>
      </c>
      <c r="B16" s="18" t="s">
        <v>14</v>
      </c>
      <c r="C16" s="18" t="s">
        <v>15</v>
      </c>
      <c r="D16" s="1">
        <f>D17+D18</f>
        <v>33916.19048</v>
      </c>
      <c r="E16" s="1">
        <f>E17+E18</f>
        <v>35663.365690000006</v>
      </c>
      <c r="F16" s="1">
        <f t="shared" si="0"/>
        <v>105.15144886637637</v>
      </c>
      <c r="J16" s="25"/>
    </row>
    <row r="17" spans="1:10" s="19" customFormat="1" ht="124.5" customHeight="1">
      <c r="A17" s="17" t="s">
        <v>9</v>
      </c>
      <c r="B17" s="18" t="s">
        <v>16</v>
      </c>
      <c r="C17" s="18" t="s">
        <v>17</v>
      </c>
      <c r="D17" s="1">
        <f>29031.6+3300-185.96+170.00057+230-1.26825+0.01+1.25+921+389.4+0.15816</f>
        <v>33856.19048</v>
      </c>
      <c r="E17" s="1">
        <v>35553.80346</v>
      </c>
      <c r="F17" s="1">
        <f t="shared" si="0"/>
        <v>105.01418782187808</v>
      </c>
      <c r="J17" s="25"/>
    </row>
    <row r="18" spans="1:10" s="19" customFormat="1" ht="107.25" customHeight="1">
      <c r="A18" s="17" t="s">
        <v>9</v>
      </c>
      <c r="B18" s="18" t="s">
        <v>18</v>
      </c>
      <c r="C18" s="18" t="s">
        <v>19</v>
      </c>
      <c r="D18" s="1">
        <v>60</v>
      </c>
      <c r="E18" s="1">
        <v>109.56223</v>
      </c>
      <c r="F18" s="1">
        <f t="shared" si="0"/>
        <v>182.60371666666666</v>
      </c>
      <c r="J18" s="25"/>
    </row>
    <row r="19" spans="1:10" s="19" customFormat="1" ht="45" customHeight="1">
      <c r="A19" s="17" t="s">
        <v>9</v>
      </c>
      <c r="B19" s="18" t="s">
        <v>20</v>
      </c>
      <c r="C19" s="18" t="s">
        <v>21</v>
      </c>
      <c r="D19" s="1">
        <v>80</v>
      </c>
      <c r="E19" s="1">
        <v>82.68614</v>
      </c>
      <c r="F19" s="1">
        <f t="shared" si="0"/>
        <v>103.357675</v>
      </c>
      <c r="J19" s="25"/>
    </row>
    <row r="20" spans="1:10" s="19" customFormat="1" ht="102.75" customHeight="1">
      <c r="A20" s="17" t="s">
        <v>9</v>
      </c>
      <c r="B20" s="18" t="s">
        <v>22</v>
      </c>
      <c r="C20" s="18" t="s">
        <v>23</v>
      </c>
      <c r="D20" s="1">
        <v>28</v>
      </c>
      <c r="E20" s="1">
        <v>28.0085</v>
      </c>
      <c r="F20" s="1">
        <f t="shared" si="0"/>
        <v>100.03035714285716</v>
      </c>
      <c r="J20" s="25"/>
    </row>
    <row r="21" spans="1:10" s="19" customFormat="1" ht="73.5" customHeight="1">
      <c r="A21" s="17" t="s">
        <v>9</v>
      </c>
      <c r="B21" s="18" t="s">
        <v>276</v>
      </c>
      <c r="C21" s="18" t="s">
        <v>281</v>
      </c>
      <c r="D21" s="1">
        <v>0</v>
      </c>
      <c r="E21" s="1">
        <v>0.5</v>
      </c>
      <c r="F21" s="1"/>
      <c r="J21" s="25"/>
    </row>
    <row r="22" spans="1:10" s="19" customFormat="1" ht="15">
      <c r="A22" s="17" t="s">
        <v>3</v>
      </c>
      <c r="B22" s="18" t="s">
        <v>24</v>
      </c>
      <c r="C22" s="18" t="s">
        <v>25</v>
      </c>
      <c r="D22" s="1">
        <f>D23+D26+D27</f>
        <v>12728</v>
      </c>
      <c r="E22" s="1">
        <f>E23+E26+E27</f>
        <v>12128.698519999998</v>
      </c>
      <c r="F22" s="1">
        <f t="shared" si="0"/>
        <v>95.29147171590193</v>
      </c>
      <c r="J22" s="25"/>
    </row>
    <row r="23" spans="1:10" s="19" customFormat="1" ht="34.5" customHeight="1">
      <c r="A23" s="17" t="s">
        <v>9</v>
      </c>
      <c r="B23" s="18" t="s">
        <v>26</v>
      </c>
      <c r="C23" s="18" t="s">
        <v>27</v>
      </c>
      <c r="D23" s="1">
        <f>D24+D25</f>
        <v>5055</v>
      </c>
      <c r="E23" s="1">
        <f>E24+E25</f>
        <v>4401.492319999999</v>
      </c>
      <c r="F23" s="1">
        <f t="shared" si="0"/>
        <v>87.07205380811077</v>
      </c>
      <c r="J23" s="25"/>
    </row>
    <row r="24" spans="1:10" s="19" customFormat="1" ht="33.75" customHeight="1">
      <c r="A24" s="17" t="s">
        <v>9</v>
      </c>
      <c r="B24" s="18" t="s">
        <v>28</v>
      </c>
      <c r="C24" s="18" t="s">
        <v>29</v>
      </c>
      <c r="D24" s="1">
        <f>3435-200</f>
        <v>3235</v>
      </c>
      <c r="E24" s="1">
        <v>2582.01756</v>
      </c>
      <c r="F24" s="1">
        <f t="shared" si="0"/>
        <v>79.81507140649148</v>
      </c>
      <c r="J24" s="25"/>
    </row>
    <row r="25" spans="1:10" s="19" customFormat="1" ht="45" customHeight="1">
      <c r="A25" s="17" t="s">
        <v>9</v>
      </c>
      <c r="B25" s="18" t="s">
        <v>30</v>
      </c>
      <c r="C25" s="18" t="s">
        <v>31</v>
      </c>
      <c r="D25" s="1">
        <v>1820</v>
      </c>
      <c r="E25" s="1">
        <v>1819.47476</v>
      </c>
      <c r="F25" s="1">
        <f t="shared" si="0"/>
        <v>99.97114065934066</v>
      </c>
      <c r="J25" s="25"/>
    </row>
    <row r="26" spans="1:10" s="19" customFormat="1" ht="32.25" customHeight="1">
      <c r="A26" s="17" t="s">
        <v>9</v>
      </c>
      <c r="B26" s="18" t="s">
        <v>32</v>
      </c>
      <c r="C26" s="18" t="s">
        <v>33</v>
      </c>
      <c r="D26" s="1">
        <f>7613-300-140</f>
        <v>7173</v>
      </c>
      <c r="E26" s="1">
        <v>7198.94451</v>
      </c>
      <c r="F26" s="1">
        <f t="shared" si="0"/>
        <v>100.36169677959012</v>
      </c>
      <c r="J26" s="25"/>
    </row>
    <row r="27" spans="1:10" s="19" customFormat="1" ht="21.75" customHeight="1">
      <c r="A27" s="17" t="s">
        <v>9</v>
      </c>
      <c r="B27" s="18" t="s">
        <v>34</v>
      </c>
      <c r="C27" s="18" t="s">
        <v>35</v>
      </c>
      <c r="D27" s="1">
        <v>500</v>
      </c>
      <c r="E27" s="1">
        <v>528.26169</v>
      </c>
      <c r="F27" s="1">
        <f t="shared" si="0"/>
        <v>105.652338</v>
      </c>
      <c r="J27" s="25"/>
    </row>
    <row r="28" spans="1:10" s="19" customFormat="1" ht="15">
      <c r="A28" s="17" t="s">
        <v>3</v>
      </c>
      <c r="B28" s="18" t="s">
        <v>36</v>
      </c>
      <c r="C28" s="18" t="s">
        <v>37</v>
      </c>
      <c r="D28" s="1">
        <f>D30</f>
        <v>3601</v>
      </c>
      <c r="E28" s="1">
        <f>E30</f>
        <v>3809.8763099999996</v>
      </c>
      <c r="F28" s="1">
        <f t="shared" si="0"/>
        <v>105.80050846986948</v>
      </c>
      <c r="J28" s="25"/>
    </row>
    <row r="29" spans="1:10" s="19" customFormat="1" ht="30" customHeight="1" hidden="1">
      <c r="A29" s="17"/>
      <c r="B29" s="18" t="s">
        <v>38</v>
      </c>
      <c r="C29" s="18" t="s">
        <v>39</v>
      </c>
      <c r="D29" s="1"/>
      <c r="E29" s="1"/>
      <c r="F29" s="1" t="e">
        <f t="shared" si="0"/>
        <v>#DIV/0!</v>
      </c>
      <c r="J29" s="25"/>
    </row>
    <row r="30" spans="1:10" s="23" customFormat="1" ht="15">
      <c r="A30" s="17" t="s">
        <v>9</v>
      </c>
      <c r="B30" s="18" t="s">
        <v>40</v>
      </c>
      <c r="C30" s="18" t="s">
        <v>41</v>
      </c>
      <c r="D30" s="1">
        <f>SUM(D31:D32)</f>
        <v>3601</v>
      </c>
      <c r="E30" s="1">
        <f>SUM(E31:E32)</f>
        <v>3809.8763099999996</v>
      </c>
      <c r="F30" s="1">
        <f t="shared" si="0"/>
        <v>105.80050846986948</v>
      </c>
      <c r="J30" s="25"/>
    </row>
    <row r="31" spans="1:10" s="19" customFormat="1" ht="34.5" customHeight="1">
      <c r="A31" s="17" t="s">
        <v>9</v>
      </c>
      <c r="B31" s="18" t="s">
        <v>42</v>
      </c>
      <c r="C31" s="18" t="s">
        <v>43</v>
      </c>
      <c r="D31" s="1">
        <v>3600.75</v>
      </c>
      <c r="E31" s="1">
        <v>3809.63586</v>
      </c>
      <c r="F31" s="1">
        <f t="shared" si="0"/>
        <v>105.80117642157883</v>
      </c>
      <c r="J31" s="25"/>
    </row>
    <row r="32" spans="1:10" s="19" customFormat="1" ht="33.75" customHeight="1">
      <c r="A32" s="17" t="s">
        <v>9</v>
      </c>
      <c r="B32" s="18" t="s">
        <v>44</v>
      </c>
      <c r="C32" s="18" t="s">
        <v>45</v>
      </c>
      <c r="D32" s="1">
        <v>0.25</v>
      </c>
      <c r="E32" s="1">
        <v>0.24045</v>
      </c>
      <c r="F32" s="1">
        <f t="shared" si="0"/>
        <v>96.17999999999999</v>
      </c>
      <c r="J32" s="25"/>
    </row>
    <row r="33" spans="1:10" s="23" customFormat="1" ht="15" customHeight="1" hidden="1">
      <c r="A33" s="17" t="s">
        <v>9</v>
      </c>
      <c r="B33" s="18" t="s">
        <v>46</v>
      </c>
      <c r="C33" s="18" t="s">
        <v>47</v>
      </c>
      <c r="D33" s="1">
        <v>0</v>
      </c>
      <c r="E33" s="1">
        <v>0</v>
      </c>
      <c r="F33" s="1" t="e">
        <f t="shared" si="0"/>
        <v>#DIV/0!</v>
      </c>
      <c r="J33" s="25"/>
    </row>
    <row r="34" spans="1:10" s="19" customFormat="1" ht="15" customHeight="1" hidden="1">
      <c r="A34" s="17" t="s">
        <v>9</v>
      </c>
      <c r="B34" s="18" t="s">
        <v>48</v>
      </c>
      <c r="C34" s="18" t="s">
        <v>49</v>
      </c>
      <c r="D34" s="1">
        <v>0</v>
      </c>
      <c r="E34" s="1">
        <v>0</v>
      </c>
      <c r="F34" s="1" t="e">
        <f t="shared" si="0"/>
        <v>#DIV/0!</v>
      </c>
      <c r="J34" s="25"/>
    </row>
    <row r="35" spans="1:10" s="19" customFormat="1" ht="15" customHeight="1" hidden="1">
      <c r="A35" s="17" t="s">
        <v>9</v>
      </c>
      <c r="B35" s="18" t="s">
        <v>50</v>
      </c>
      <c r="C35" s="18" t="s">
        <v>51</v>
      </c>
      <c r="D35" s="1">
        <v>0</v>
      </c>
      <c r="E35" s="1">
        <v>0</v>
      </c>
      <c r="F35" s="1" t="e">
        <f t="shared" si="0"/>
        <v>#DIV/0!</v>
      </c>
      <c r="J35" s="25"/>
    </row>
    <row r="36" spans="1:10" s="19" customFormat="1" ht="30" customHeight="1" hidden="1">
      <c r="A36" s="17"/>
      <c r="B36" s="18" t="s">
        <v>52</v>
      </c>
      <c r="C36" s="18" t="s">
        <v>53</v>
      </c>
      <c r="D36" s="1"/>
      <c r="E36" s="1"/>
      <c r="F36" s="1" t="e">
        <f t="shared" si="0"/>
        <v>#DIV/0!</v>
      </c>
      <c r="J36" s="25"/>
    </row>
    <row r="37" spans="1:10" s="19" customFormat="1" ht="30" customHeight="1" hidden="1">
      <c r="A37" s="17"/>
      <c r="B37" s="18" t="s">
        <v>54</v>
      </c>
      <c r="C37" s="18" t="s">
        <v>55</v>
      </c>
      <c r="D37" s="1"/>
      <c r="E37" s="1"/>
      <c r="F37" s="1" t="e">
        <f t="shared" si="0"/>
        <v>#DIV/0!</v>
      </c>
      <c r="J37" s="25"/>
    </row>
    <row r="38" spans="1:10" s="19" customFormat="1" ht="36.75" customHeight="1">
      <c r="A38" s="17" t="s">
        <v>3</v>
      </c>
      <c r="B38" s="18" t="s">
        <v>56</v>
      </c>
      <c r="C38" s="18" t="s">
        <v>57</v>
      </c>
      <c r="D38" s="1">
        <f>SUM(D39)</f>
        <v>22</v>
      </c>
      <c r="E38" s="1">
        <f>SUM(E39)</f>
        <v>24.03545</v>
      </c>
      <c r="F38" s="1">
        <f t="shared" si="0"/>
        <v>109.25204545454545</v>
      </c>
      <c r="J38" s="25"/>
    </row>
    <row r="39" spans="1:10" s="19" customFormat="1" ht="15">
      <c r="A39" s="17" t="s">
        <v>9</v>
      </c>
      <c r="B39" s="18" t="s">
        <v>58</v>
      </c>
      <c r="C39" s="18" t="s">
        <v>59</v>
      </c>
      <c r="D39" s="1">
        <f>SUM(D40)</f>
        <v>22</v>
      </c>
      <c r="E39" s="1">
        <f>SUM(E40)</f>
        <v>24.03545</v>
      </c>
      <c r="F39" s="1">
        <f t="shared" si="0"/>
        <v>109.25204545454545</v>
      </c>
      <c r="J39" s="25"/>
    </row>
    <row r="40" spans="1:10" s="19" customFormat="1" ht="35.25" customHeight="1">
      <c r="A40" s="17" t="s">
        <v>9</v>
      </c>
      <c r="B40" s="18" t="s">
        <v>60</v>
      </c>
      <c r="C40" s="18" t="s">
        <v>61</v>
      </c>
      <c r="D40" s="1">
        <v>22</v>
      </c>
      <c r="E40" s="1">
        <v>24.03545</v>
      </c>
      <c r="F40" s="1">
        <f t="shared" si="0"/>
        <v>109.25204545454545</v>
      </c>
      <c r="J40" s="25"/>
    </row>
    <row r="41" spans="1:10" s="19" customFormat="1" ht="45" customHeight="1" hidden="1">
      <c r="A41" s="17"/>
      <c r="B41" s="18" t="s">
        <v>62</v>
      </c>
      <c r="C41" s="18" t="s">
        <v>63</v>
      </c>
      <c r="D41" s="1"/>
      <c r="E41" s="1"/>
      <c r="F41" s="1" t="e">
        <f t="shared" si="0"/>
        <v>#DIV/0!</v>
      </c>
      <c r="J41" s="25"/>
    </row>
    <row r="42" spans="1:10" s="19" customFormat="1" ht="30" customHeight="1" hidden="1">
      <c r="A42" s="17"/>
      <c r="B42" s="18" t="s">
        <v>64</v>
      </c>
      <c r="C42" s="18" t="s">
        <v>65</v>
      </c>
      <c r="D42" s="1">
        <v>0</v>
      </c>
      <c r="E42" s="1">
        <v>0</v>
      </c>
      <c r="F42" s="1" t="e">
        <f t="shared" si="0"/>
        <v>#DIV/0!</v>
      </c>
      <c r="J42" s="25"/>
    </row>
    <row r="43" spans="1:10" s="19" customFormat="1" ht="30" customHeight="1" hidden="1">
      <c r="A43" s="17"/>
      <c r="B43" s="18" t="s">
        <v>66</v>
      </c>
      <c r="C43" s="18" t="s">
        <v>67</v>
      </c>
      <c r="D43" s="1"/>
      <c r="E43" s="1"/>
      <c r="F43" s="1" t="e">
        <f t="shared" si="0"/>
        <v>#DIV/0!</v>
      </c>
      <c r="J43" s="25"/>
    </row>
    <row r="44" spans="1:10" s="19" customFormat="1" ht="15">
      <c r="A44" s="17" t="s">
        <v>3</v>
      </c>
      <c r="B44" s="18" t="s">
        <v>68</v>
      </c>
      <c r="C44" s="18" t="s">
        <v>69</v>
      </c>
      <c r="D44" s="1">
        <f>D45+D48</f>
        <v>3736.04</v>
      </c>
      <c r="E44" s="1">
        <f>E45+E48</f>
        <v>3850.1701700000003</v>
      </c>
      <c r="F44" s="1">
        <f t="shared" si="0"/>
        <v>103.05484336356143</v>
      </c>
      <c r="J44" s="25"/>
    </row>
    <row r="45" spans="1:10" s="19" customFormat="1" ht="39" customHeight="1">
      <c r="A45" s="17" t="s">
        <v>3</v>
      </c>
      <c r="B45" s="18" t="s">
        <v>70</v>
      </c>
      <c r="C45" s="18" t="s">
        <v>71</v>
      </c>
      <c r="D45" s="1">
        <f>SUM(D46)</f>
        <v>790.04</v>
      </c>
      <c r="E45" s="1">
        <f>SUM(E46)</f>
        <v>761.23017</v>
      </c>
      <c r="F45" s="1">
        <f t="shared" si="0"/>
        <v>96.35337071540683</v>
      </c>
      <c r="J45" s="25"/>
    </row>
    <row r="46" spans="1:10" s="19" customFormat="1" ht="54" customHeight="1">
      <c r="A46" s="17" t="s">
        <v>9</v>
      </c>
      <c r="B46" s="18" t="s">
        <v>72</v>
      </c>
      <c r="C46" s="18" t="s">
        <v>73</v>
      </c>
      <c r="D46" s="1">
        <f>785+5.04</f>
        <v>790.04</v>
      </c>
      <c r="E46" s="1">
        <v>761.23017</v>
      </c>
      <c r="F46" s="1">
        <f t="shared" si="0"/>
        <v>96.35337071540683</v>
      </c>
      <c r="J46" s="25"/>
    </row>
    <row r="47" spans="1:10" s="19" customFormat="1" ht="45" customHeight="1" hidden="1">
      <c r="A47" s="17"/>
      <c r="B47" s="18" t="s">
        <v>74</v>
      </c>
      <c r="C47" s="18" t="s">
        <v>75</v>
      </c>
      <c r="D47" s="1">
        <v>0</v>
      </c>
      <c r="E47" s="1">
        <v>0</v>
      </c>
      <c r="F47" s="1" t="e">
        <f t="shared" si="0"/>
        <v>#DIV/0!</v>
      </c>
      <c r="J47" s="25"/>
    </row>
    <row r="48" spans="1:10" s="22" customFormat="1" ht="51" customHeight="1">
      <c r="A48" s="17" t="s">
        <v>3</v>
      </c>
      <c r="B48" s="18" t="s">
        <v>76</v>
      </c>
      <c r="C48" s="18" t="s">
        <v>77</v>
      </c>
      <c r="D48" s="1">
        <f>SUM(D49:D50)+D51</f>
        <v>2946</v>
      </c>
      <c r="E48" s="1">
        <f>SUM(E49:E50)+E51</f>
        <v>3088.94</v>
      </c>
      <c r="F48" s="1">
        <f t="shared" si="0"/>
        <v>104.8520027155465</v>
      </c>
      <c r="J48" s="25"/>
    </row>
    <row r="49" spans="1:10" s="22" customFormat="1" ht="84" customHeight="1">
      <c r="A49" s="24" t="s">
        <v>78</v>
      </c>
      <c r="B49" s="18" t="s">
        <v>79</v>
      </c>
      <c r="C49" s="18" t="s">
        <v>80</v>
      </c>
      <c r="D49" s="1">
        <f>1600+140</f>
        <v>1740</v>
      </c>
      <c r="E49" s="1">
        <v>1780.3</v>
      </c>
      <c r="F49" s="1">
        <f t="shared" si="0"/>
        <v>102.31609195402298</v>
      </c>
      <c r="J49" s="25"/>
    </row>
    <row r="50" spans="1:10" s="19" customFormat="1" ht="105.75" customHeight="1">
      <c r="A50" s="17" t="s">
        <v>3</v>
      </c>
      <c r="B50" s="18" t="s">
        <v>81</v>
      </c>
      <c r="C50" s="18" t="s">
        <v>82</v>
      </c>
      <c r="D50" s="1">
        <v>1200</v>
      </c>
      <c r="E50" s="1">
        <v>1302.64</v>
      </c>
      <c r="F50" s="1">
        <f t="shared" si="0"/>
        <v>108.55333333333334</v>
      </c>
      <c r="J50" s="25"/>
    </row>
    <row r="51" spans="1:10" s="19" customFormat="1" ht="33" customHeight="1">
      <c r="A51" s="24" t="s">
        <v>78</v>
      </c>
      <c r="B51" s="18" t="s">
        <v>270</v>
      </c>
      <c r="C51" s="18" t="s">
        <v>269</v>
      </c>
      <c r="D51" s="1">
        <v>6</v>
      </c>
      <c r="E51" s="1">
        <v>6</v>
      </c>
      <c r="F51" s="1">
        <f t="shared" si="0"/>
        <v>100</v>
      </c>
      <c r="J51" s="25"/>
    </row>
    <row r="52" spans="1:10" s="19" customFormat="1" ht="46.5" customHeight="1">
      <c r="A52" s="17" t="s">
        <v>3</v>
      </c>
      <c r="B52" s="18" t="s">
        <v>283</v>
      </c>
      <c r="C52" s="18" t="s">
        <v>282</v>
      </c>
      <c r="D52" s="1">
        <f>SUM(D53:D54)</f>
        <v>0</v>
      </c>
      <c r="E52" s="1">
        <f>SUM(E53:E54)</f>
        <v>1.23996</v>
      </c>
      <c r="F52" s="1"/>
      <c r="J52" s="25"/>
    </row>
    <row r="53" spans="1:10" s="19" customFormat="1" ht="33" customHeight="1">
      <c r="A53" s="17">
        <v>182</v>
      </c>
      <c r="B53" s="18" t="s">
        <v>287</v>
      </c>
      <c r="C53" s="18" t="s">
        <v>284</v>
      </c>
      <c r="D53" s="1"/>
      <c r="E53" s="1">
        <v>0.99358</v>
      </c>
      <c r="F53" s="1"/>
      <c r="J53" s="25"/>
    </row>
    <row r="54" spans="1:10" s="19" customFormat="1" ht="33" customHeight="1">
      <c r="A54" s="17">
        <v>182</v>
      </c>
      <c r="B54" s="18" t="s">
        <v>286</v>
      </c>
      <c r="C54" s="18" t="s">
        <v>285</v>
      </c>
      <c r="D54" s="1"/>
      <c r="E54" s="1">
        <v>0.24638</v>
      </c>
      <c r="F54" s="1"/>
      <c r="J54" s="25"/>
    </row>
    <row r="55" spans="1:10" s="19" customFormat="1" ht="15" customHeight="1" hidden="1">
      <c r="A55" s="17"/>
      <c r="B55" s="18"/>
      <c r="C55" s="18" t="s">
        <v>83</v>
      </c>
      <c r="D55" s="1">
        <f>D56+D64+D66+D69+D74+D77+D92</f>
        <v>18300.86211</v>
      </c>
      <c r="E55" s="1">
        <f>E56+E64+E66+E69+E74+E77+E92</f>
        <v>18991.71519</v>
      </c>
      <c r="F55" s="1">
        <f t="shared" si="0"/>
        <v>103.77497560414109</v>
      </c>
      <c r="J55" s="25"/>
    </row>
    <row r="56" spans="1:10" s="19" customFormat="1" ht="52.5" customHeight="1">
      <c r="A56" s="17" t="s">
        <v>3</v>
      </c>
      <c r="B56" s="18" t="s">
        <v>84</v>
      </c>
      <c r="C56" s="18" t="s">
        <v>85</v>
      </c>
      <c r="D56" s="1">
        <f>D57+D59</f>
        <v>1341.76826</v>
      </c>
      <c r="E56" s="1">
        <f>E57+E59</f>
        <v>1247.48538</v>
      </c>
      <c r="F56" s="1">
        <f t="shared" si="0"/>
        <v>92.97323667501271</v>
      </c>
      <c r="J56" s="25"/>
    </row>
    <row r="57" spans="1:10" s="19" customFormat="1" ht="30">
      <c r="A57" s="17" t="s">
        <v>3</v>
      </c>
      <c r="B57" s="18" t="s">
        <v>86</v>
      </c>
      <c r="C57" s="18" t="s">
        <v>87</v>
      </c>
      <c r="D57" s="1">
        <f>D58</f>
        <v>48.95345</v>
      </c>
      <c r="E57" s="1">
        <f>E58</f>
        <v>54.08371</v>
      </c>
      <c r="F57" s="1">
        <f t="shared" si="0"/>
        <v>110.47987424788244</v>
      </c>
      <c r="J57" s="25"/>
    </row>
    <row r="58" spans="1:10" s="19" customFormat="1" ht="54" customHeight="1">
      <c r="A58" s="17" t="s">
        <v>78</v>
      </c>
      <c r="B58" s="18" t="s">
        <v>88</v>
      </c>
      <c r="C58" s="18" t="s">
        <v>89</v>
      </c>
      <c r="D58" s="1">
        <v>48.95345</v>
      </c>
      <c r="E58" s="1">
        <v>54.08371</v>
      </c>
      <c r="F58" s="1">
        <f t="shared" si="0"/>
        <v>110.47987424788244</v>
      </c>
      <c r="J58" s="25"/>
    </row>
    <row r="59" spans="1:10" s="19" customFormat="1" ht="101.25" customHeight="1">
      <c r="A59" s="17" t="s">
        <v>3</v>
      </c>
      <c r="B59" s="18" t="s">
        <v>90</v>
      </c>
      <c r="C59" s="18" t="s">
        <v>91</v>
      </c>
      <c r="D59" s="1">
        <f>D60+D62</f>
        <v>1292.81481</v>
      </c>
      <c r="E59" s="1">
        <f>E60+E62</f>
        <v>1193.40167</v>
      </c>
      <c r="F59" s="1">
        <f t="shared" si="0"/>
        <v>92.31033406865133</v>
      </c>
      <c r="J59" s="25"/>
    </row>
    <row r="60" spans="1:10" s="19" customFormat="1" ht="75.75" customHeight="1">
      <c r="A60" s="17" t="s">
        <v>3</v>
      </c>
      <c r="B60" s="18" t="s">
        <v>92</v>
      </c>
      <c r="C60" s="18" t="s">
        <v>93</v>
      </c>
      <c r="D60" s="1">
        <f>SUM(D61)</f>
        <v>849.71481</v>
      </c>
      <c r="E60" s="1">
        <f>SUM(E61)</f>
        <v>790.61441</v>
      </c>
      <c r="F60" s="1">
        <f t="shared" si="0"/>
        <v>93.04467813147802</v>
      </c>
      <c r="J60" s="25"/>
    </row>
    <row r="61" spans="1:10" s="19" customFormat="1" ht="98.25" customHeight="1">
      <c r="A61" s="17" t="s">
        <v>78</v>
      </c>
      <c r="B61" s="18" t="s">
        <v>94</v>
      </c>
      <c r="C61" s="18" t="s">
        <v>95</v>
      </c>
      <c r="D61" s="1">
        <v>849.71481</v>
      </c>
      <c r="E61" s="1">
        <v>790.61441</v>
      </c>
      <c r="F61" s="1">
        <f t="shared" si="0"/>
        <v>93.04467813147802</v>
      </c>
      <c r="J61" s="25"/>
    </row>
    <row r="62" spans="1:10" s="19" customFormat="1" ht="104.25" customHeight="1">
      <c r="A62" s="17" t="s">
        <v>3</v>
      </c>
      <c r="B62" s="18" t="s">
        <v>96</v>
      </c>
      <c r="C62" s="18" t="s">
        <v>97</v>
      </c>
      <c r="D62" s="1">
        <f>SUM(D63)</f>
        <v>443.1</v>
      </c>
      <c r="E62" s="1">
        <f>SUM(E63)</f>
        <v>402.78726</v>
      </c>
      <c r="F62" s="1">
        <f t="shared" si="0"/>
        <v>90.90211238997968</v>
      </c>
      <c r="J62" s="25"/>
    </row>
    <row r="63" spans="1:10" s="19" customFormat="1" ht="83.25" customHeight="1">
      <c r="A63" s="17" t="s">
        <v>78</v>
      </c>
      <c r="B63" s="18" t="s">
        <v>98</v>
      </c>
      <c r="C63" s="18" t="s">
        <v>99</v>
      </c>
      <c r="D63" s="1">
        <v>443.1</v>
      </c>
      <c r="E63" s="1">
        <v>402.78726</v>
      </c>
      <c r="F63" s="1">
        <f t="shared" si="0"/>
        <v>90.90211238997968</v>
      </c>
      <c r="J63" s="25"/>
    </row>
    <row r="64" spans="1:10" s="19" customFormat="1" ht="36.75" customHeight="1">
      <c r="A64" s="17" t="s">
        <v>3</v>
      </c>
      <c r="B64" s="18" t="s">
        <v>100</v>
      </c>
      <c r="C64" s="18" t="s">
        <v>101</v>
      </c>
      <c r="D64" s="1">
        <f>SUM(D65)</f>
        <v>180</v>
      </c>
      <c r="E64" s="1">
        <f>SUM(E65)</f>
        <v>197.49378</v>
      </c>
      <c r="F64" s="1">
        <f t="shared" si="0"/>
        <v>109.71876666666667</v>
      </c>
      <c r="J64" s="25"/>
    </row>
    <row r="65" spans="1:10" s="19" customFormat="1" ht="29.25" customHeight="1">
      <c r="A65" s="17" t="s">
        <v>102</v>
      </c>
      <c r="B65" s="18" t="s">
        <v>103</v>
      </c>
      <c r="C65" s="18" t="s">
        <v>104</v>
      </c>
      <c r="D65" s="1">
        <v>180</v>
      </c>
      <c r="E65" s="1">
        <v>197.49378</v>
      </c>
      <c r="F65" s="1">
        <f t="shared" si="0"/>
        <v>109.71876666666667</v>
      </c>
      <c r="J65" s="25"/>
    </row>
    <row r="66" spans="1:10" s="19" customFormat="1" ht="43.5" customHeight="1">
      <c r="A66" s="17" t="s">
        <v>3</v>
      </c>
      <c r="B66" s="18" t="s">
        <v>105</v>
      </c>
      <c r="C66" s="18" t="s">
        <v>106</v>
      </c>
      <c r="D66" s="1">
        <f>D67</f>
        <v>12182.79585</v>
      </c>
      <c r="E66" s="1">
        <f>E67</f>
        <v>12656.75375</v>
      </c>
      <c r="F66" s="1">
        <f t="shared" si="0"/>
        <v>103.89038695087385</v>
      </c>
      <c r="J66" s="25"/>
    </row>
    <row r="67" spans="1:10" s="19" customFormat="1" ht="30">
      <c r="A67" s="17" t="s">
        <v>3</v>
      </c>
      <c r="B67" s="18" t="s">
        <v>107</v>
      </c>
      <c r="C67" s="18" t="s">
        <v>108</v>
      </c>
      <c r="D67" s="1">
        <f>SUM(D68)</f>
        <v>12182.79585</v>
      </c>
      <c r="E67" s="1">
        <f>SUM(E68)</f>
        <v>12656.75375</v>
      </c>
      <c r="F67" s="1">
        <f t="shared" si="0"/>
        <v>103.89038695087385</v>
      </c>
      <c r="J67" s="25"/>
    </row>
    <row r="68" spans="1:10" s="19" customFormat="1" ht="59.25" customHeight="1">
      <c r="A68" s="17" t="s">
        <v>78</v>
      </c>
      <c r="B68" s="18" t="s">
        <v>109</v>
      </c>
      <c r="C68" s="18" t="s">
        <v>110</v>
      </c>
      <c r="D68" s="40">
        <f>3816.78585+3200+38+5128+0.01</f>
        <v>12182.79585</v>
      </c>
      <c r="E68" s="40">
        <v>12656.75375</v>
      </c>
      <c r="F68" s="1">
        <f t="shared" si="0"/>
        <v>103.89038695087385</v>
      </c>
      <c r="J68" s="25"/>
    </row>
    <row r="69" spans="1:10" s="19" customFormat="1" ht="41.25" customHeight="1">
      <c r="A69" s="17" t="s">
        <v>3</v>
      </c>
      <c r="B69" s="18" t="s">
        <v>111</v>
      </c>
      <c r="C69" s="18" t="s">
        <v>112</v>
      </c>
      <c r="D69" s="1">
        <f>D70+D72</f>
        <v>1400</v>
      </c>
      <c r="E69" s="1">
        <f>E70+E72</f>
        <v>1459.8807700000002</v>
      </c>
      <c r="F69" s="1">
        <f t="shared" si="0"/>
        <v>104.27719785714287</v>
      </c>
      <c r="J69" s="25"/>
    </row>
    <row r="70" spans="1:10" s="19" customFormat="1" ht="80.25" customHeight="1">
      <c r="A70" s="17" t="s">
        <v>3</v>
      </c>
      <c r="B70" s="18" t="s">
        <v>113</v>
      </c>
      <c r="C70" s="18" t="s">
        <v>114</v>
      </c>
      <c r="D70" s="1">
        <f>SUM(D71)</f>
        <v>400</v>
      </c>
      <c r="E70" s="1">
        <f>SUM(E71)</f>
        <v>386.37</v>
      </c>
      <c r="F70" s="1">
        <f t="shared" si="0"/>
        <v>96.5925</v>
      </c>
      <c r="J70" s="25"/>
    </row>
    <row r="71" spans="1:10" s="19" customFormat="1" ht="95.25" customHeight="1">
      <c r="A71" s="17" t="s">
        <v>3</v>
      </c>
      <c r="B71" s="18" t="s">
        <v>245</v>
      </c>
      <c r="C71" s="18" t="s">
        <v>115</v>
      </c>
      <c r="D71" s="1">
        <v>400</v>
      </c>
      <c r="E71" s="1">
        <v>386.37</v>
      </c>
      <c r="F71" s="1">
        <f t="shared" si="0"/>
        <v>96.5925</v>
      </c>
      <c r="J71" s="25"/>
    </row>
    <row r="72" spans="1:10" s="19" customFormat="1" ht="72" customHeight="1">
      <c r="A72" s="17" t="s">
        <v>3</v>
      </c>
      <c r="B72" s="18" t="s">
        <v>116</v>
      </c>
      <c r="C72" s="18" t="s">
        <v>117</v>
      </c>
      <c r="D72" s="1">
        <f>SUM(D73)</f>
        <v>1000</v>
      </c>
      <c r="E72" s="1">
        <f>SUM(E73)</f>
        <v>1073.51077</v>
      </c>
      <c r="F72" s="1">
        <f t="shared" si="0"/>
        <v>107.35107700000002</v>
      </c>
      <c r="J72" s="25"/>
    </row>
    <row r="73" spans="1:10" s="19" customFormat="1" ht="66" customHeight="1">
      <c r="A73" s="17" t="s">
        <v>78</v>
      </c>
      <c r="B73" s="18" t="s">
        <v>118</v>
      </c>
      <c r="C73" s="18" t="s">
        <v>119</v>
      </c>
      <c r="D73" s="1">
        <f>1000</f>
        <v>1000</v>
      </c>
      <c r="E73" s="1">
        <v>1073.51077</v>
      </c>
      <c r="F73" s="1">
        <f t="shared" si="0"/>
        <v>107.35107700000002</v>
      </c>
      <c r="J73" s="25"/>
    </row>
    <row r="74" spans="1:10" s="19" customFormat="1" ht="15">
      <c r="A74" s="17" t="s">
        <v>3</v>
      </c>
      <c r="B74" s="18" t="s">
        <v>120</v>
      </c>
      <c r="C74" s="18" t="s">
        <v>121</v>
      </c>
      <c r="D74" s="1">
        <f>SUM(D75)</f>
        <v>0.75</v>
      </c>
      <c r="E74" s="1">
        <f>SUM(E75)</f>
        <v>0.75</v>
      </c>
      <c r="F74" s="1">
        <f t="shared" si="0"/>
        <v>100</v>
      </c>
      <c r="J74" s="25"/>
    </row>
    <row r="75" spans="1:10" s="19" customFormat="1" ht="51" customHeight="1">
      <c r="A75" s="17" t="s">
        <v>3</v>
      </c>
      <c r="B75" s="18" t="s">
        <v>122</v>
      </c>
      <c r="C75" s="18" t="s">
        <v>123</v>
      </c>
      <c r="D75" s="1">
        <f>SUM(D76)</f>
        <v>0.75</v>
      </c>
      <c r="E75" s="1">
        <f>SUM(E76)</f>
        <v>0.75</v>
      </c>
      <c r="F75" s="1">
        <f t="shared" si="0"/>
        <v>100</v>
      </c>
      <c r="J75" s="25"/>
    </row>
    <row r="76" spans="1:10" s="19" customFormat="1" ht="37.5" customHeight="1">
      <c r="A76" s="17" t="s">
        <v>78</v>
      </c>
      <c r="B76" s="18" t="s">
        <v>124</v>
      </c>
      <c r="C76" s="18" t="s">
        <v>125</v>
      </c>
      <c r="D76" s="1">
        <v>0.75</v>
      </c>
      <c r="E76" s="1">
        <v>0.75</v>
      </c>
      <c r="F76" s="1">
        <f t="shared" si="0"/>
        <v>100</v>
      </c>
      <c r="J76" s="25"/>
    </row>
    <row r="77" spans="1:10" s="19" customFormat="1" ht="33" customHeight="1">
      <c r="A77" s="17" t="s">
        <v>3</v>
      </c>
      <c r="B77" s="18" t="s">
        <v>126</v>
      </c>
      <c r="C77" s="18" t="s">
        <v>127</v>
      </c>
      <c r="D77" s="1">
        <f>SUM(D78:D91)-D78-D83</f>
        <v>2445</v>
      </c>
      <c r="E77" s="1">
        <f>SUM(E78:E91)-E78-E83</f>
        <v>2648.66876</v>
      </c>
      <c r="F77" s="1">
        <f t="shared" si="0"/>
        <v>108.33001063394683</v>
      </c>
      <c r="J77" s="25"/>
    </row>
    <row r="78" spans="1:10" s="19" customFormat="1" ht="37.5" customHeight="1">
      <c r="A78" s="17" t="s">
        <v>3</v>
      </c>
      <c r="B78" s="18" t="s">
        <v>128</v>
      </c>
      <c r="C78" s="18" t="s">
        <v>129</v>
      </c>
      <c r="D78" s="1">
        <f>SUM(D79:D80)</f>
        <v>50</v>
      </c>
      <c r="E78" s="1">
        <f>SUM(E79:E80)</f>
        <v>51.64</v>
      </c>
      <c r="F78" s="1">
        <f t="shared" si="0"/>
        <v>103.28</v>
      </c>
      <c r="J78" s="25"/>
    </row>
    <row r="79" spans="1:10" s="19" customFormat="1" ht="81.75" customHeight="1">
      <c r="A79" s="17" t="s">
        <v>9</v>
      </c>
      <c r="B79" s="18" t="s">
        <v>130</v>
      </c>
      <c r="C79" s="18" t="s">
        <v>131</v>
      </c>
      <c r="D79" s="1">
        <v>20</v>
      </c>
      <c r="E79" s="1">
        <v>20.64</v>
      </c>
      <c r="F79" s="1">
        <f aca="true" t="shared" si="1" ref="F79:F144">E79/D79*100</f>
        <v>103.2</v>
      </c>
      <c r="J79" s="25"/>
    </row>
    <row r="80" spans="1:10" s="19" customFormat="1" ht="69.75" customHeight="1">
      <c r="A80" s="17" t="s">
        <v>9</v>
      </c>
      <c r="B80" s="18" t="s">
        <v>132</v>
      </c>
      <c r="C80" s="18" t="s">
        <v>133</v>
      </c>
      <c r="D80" s="1">
        <v>30</v>
      </c>
      <c r="E80" s="1">
        <v>31</v>
      </c>
      <c r="F80" s="1">
        <f t="shared" si="1"/>
        <v>103.33333333333334</v>
      </c>
      <c r="J80" s="25"/>
    </row>
    <row r="81" spans="1:10" s="19" customFormat="1" ht="86.25" customHeight="1">
      <c r="A81" s="17" t="s">
        <v>3</v>
      </c>
      <c r="B81" s="18" t="s">
        <v>134</v>
      </c>
      <c r="C81" s="18" t="s">
        <v>135</v>
      </c>
      <c r="D81" s="1">
        <v>110</v>
      </c>
      <c r="E81" s="1">
        <v>104.2</v>
      </c>
      <c r="F81" s="1">
        <f t="shared" si="1"/>
        <v>94.72727272727272</v>
      </c>
      <c r="J81" s="25"/>
    </row>
    <row r="82" spans="1:10" s="19" customFormat="1" ht="91.5" customHeight="1" hidden="1">
      <c r="A82" s="17" t="s">
        <v>3</v>
      </c>
      <c r="B82" s="18" t="s">
        <v>136</v>
      </c>
      <c r="C82" s="18" t="s">
        <v>137</v>
      </c>
      <c r="D82" s="1">
        <v>0</v>
      </c>
      <c r="E82" s="1">
        <v>0</v>
      </c>
      <c r="F82" s="1" t="e">
        <f t="shared" si="1"/>
        <v>#DIV/0!</v>
      </c>
      <c r="J82" s="25"/>
    </row>
    <row r="83" spans="1:10" s="19" customFormat="1" ht="123" customHeight="1">
      <c r="A83" s="17" t="s">
        <v>3</v>
      </c>
      <c r="B83" s="18" t="s">
        <v>138</v>
      </c>
      <c r="C83" s="18" t="s">
        <v>139</v>
      </c>
      <c r="D83" s="1">
        <f>SUM(D84:D87)</f>
        <v>21</v>
      </c>
      <c r="E83" s="1">
        <f>SUM(E84:E87)</f>
        <v>25</v>
      </c>
      <c r="F83" s="1">
        <f t="shared" si="1"/>
        <v>119.04761904761905</v>
      </c>
      <c r="J83" s="25"/>
    </row>
    <row r="84" spans="1:10" s="19" customFormat="1" ht="30" hidden="1">
      <c r="A84" s="17" t="s">
        <v>3</v>
      </c>
      <c r="B84" s="18" t="s">
        <v>140</v>
      </c>
      <c r="C84" s="18" t="s">
        <v>141</v>
      </c>
      <c r="D84" s="1">
        <v>0</v>
      </c>
      <c r="E84" s="1">
        <v>0</v>
      </c>
      <c r="F84" s="1" t="e">
        <f t="shared" si="1"/>
        <v>#DIV/0!</v>
      </c>
      <c r="J84" s="25"/>
    </row>
    <row r="85" spans="1:10" s="19" customFormat="1" ht="55.5" customHeight="1">
      <c r="A85" s="17" t="s">
        <v>3</v>
      </c>
      <c r="B85" s="18" t="s">
        <v>142</v>
      </c>
      <c r="C85" s="18" t="s">
        <v>143</v>
      </c>
      <c r="D85" s="1">
        <v>6.5</v>
      </c>
      <c r="E85" s="1">
        <v>6.5</v>
      </c>
      <c r="F85" s="1">
        <f t="shared" si="1"/>
        <v>100</v>
      </c>
      <c r="J85" s="25"/>
    </row>
    <row r="86" spans="1:10" s="19" customFormat="1" ht="30.75" customHeight="1">
      <c r="A86" s="17" t="s">
        <v>3</v>
      </c>
      <c r="B86" s="18" t="s">
        <v>144</v>
      </c>
      <c r="C86" s="18" t="s">
        <v>145</v>
      </c>
      <c r="D86" s="1"/>
      <c r="E86" s="1">
        <v>4</v>
      </c>
      <c r="F86" s="1"/>
      <c r="J86" s="25"/>
    </row>
    <row r="87" spans="1:10" s="19" customFormat="1" ht="37.5" customHeight="1">
      <c r="A87" s="17" t="s">
        <v>3</v>
      </c>
      <c r="B87" s="18" t="s">
        <v>146</v>
      </c>
      <c r="C87" s="18" t="s">
        <v>147</v>
      </c>
      <c r="D87" s="1">
        <v>14.5</v>
      </c>
      <c r="E87" s="1">
        <v>14.5</v>
      </c>
      <c r="F87" s="1">
        <f t="shared" si="1"/>
        <v>100</v>
      </c>
      <c r="J87" s="25"/>
    </row>
    <row r="88" spans="1:10" s="19" customFormat="1" ht="66.75" customHeight="1">
      <c r="A88" s="17" t="s">
        <v>3</v>
      </c>
      <c r="B88" s="18" t="s">
        <v>148</v>
      </c>
      <c r="C88" s="18" t="s">
        <v>149</v>
      </c>
      <c r="D88" s="1">
        <f>300.5-4.06</f>
        <v>296.44</v>
      </c>
      <c r="E88" s="1">
        <v>312.002</v>
      </c>
      <c r="F88" s="1">
        <f t="shared" si="1"/>
        <v>105.24962892996896</v>
      </c>
      <c r="J88" s="25"/>
    </row>
    <row r="89" spans="1:10" s="19" customFormat="1" ht="34.5" customHeight="1">
      <c r="A89" s="17" t="s">
        <v>3</v>
      </c>
      <c r="B89" s="18" t="s">
        <v>150</v>
      </c>
      <c r="C89" s="18" t="s">
        <v>151</v>
      </c>
      <c r="D89" s="1">
        <f>1000+60</f>
        <v>1060</v>
      </c>
      <c r="E89" s="1">
        <v>1205.07349</v>
      </c>
      <c r="F89" s="1">
        <f t="shared" si="1"/>
        <v>113.68617830188678</v>
      </c>
      <c r="J89" s="25"/>
    </row>
    <row r="90" spans="1:10" s="19" customFormat="1" ht="67.5" customHeight="1">
      <c r="A90" s="17" t="s">
        <v>3</v>
      </c>
      <c r="B90" s="18" t="s">
        <v>152</v>
      </c>
      <c r="C90" s="18" t="s">
        <v>153</v>
      </c>
      <c r="D90" s="1">
        <v>0</v>
      </c>
      <c r="E90" s="1">
        <v>3</v>
      </c>
      <c r="F90" s="1"/>
      <c r="J90" s="25"/>
    </row>
    <row r="91" spans="1:10" s="19" customFormat="1" ht="46.5" customHeight="1">
      <c r="A91" s="17" t="s">
        <v>3</v>
      </c>
      <c r="B91" s="18" t="s">
        <v>154</v>
      </c>
      <c r="C91" s="18" t="s">
        <v>155</v>
      </c>
      <c r="D91" s="1">
        <f>915-7.44</f>
        <v>907.56</v>
      </c>
      <c r="E91" s="1">
        <v>947.75327</v>
      </c>
      <c r="F91" s="1">
        <f t="shared" si="1"/>
        <v>104.42871766054036</v>
      </c>
      <c r="J91" s="25"/>
    </row>
    <row r="92" spans="1:10" s="19" customFormat="1" ht="22.5" customHeight="1">
      <c r="A92" s="17" t="s">
        <v>3</v>
      </c>
      <c r="B92" s="18" t="s">
        <v>156</v>
      </c>
      <c r="C92" s="18" t="s">
        <v>157</v>
      </c>
      <c r="D92" s="1">
        <f>SUM(D95)+D93</f>
        <v>750.548</v>
      </c>
      <c r="E92" s="1">
        <f>SUM(E95)+E93</f>
        <v>780.68275</v>
      </c>
      <c r="F92" s="1">
        <f t="shared" si="1"/>
        <v>104.0150330158764</v>
      </c>
      <c r="J92" s="25"/>
    </row>
    <row r="93" spans="1:10" s="19" customFormat="1" ht="15">
      <c r="A93" s="17" t="s">
        <v>3</v>
      </c>
      <c r="B93" s="18" t="s">
        <v>277</v>
      </c>
      <c r="C93" s="18" t="s">
        <v>279</v>
      </c>
      <c r="D93" s="1">
        <f aca="true" t="shared" si="2" ref="D93:E95">SUM(D94)</f>
        <v>0</v>
      </c>
      <c r="E93" s="1">
        <f t="shared" si="2"/>
        <v>1.24</v>
      </c>
      <c r="F93" s="1"/>
      <c r="J93" s="25"/>
    </row>
    <row r="94" spans="1:10" s="19" customFormat="1" ht="36" customHeight="1">
      <c r="A94" s="17" t="s">
        <v>78</v>
      </c>
      <c r="B94" s="18" t="s">
        <v>278</v>
      </c>
      <c r="C94" s="18" t="s">
        <v>280</v>
      </c>
      <c r="D94" s="1">
        <v>0</v>
      </c>
      <c r="E94" s="1">
        <v>1.24</v>
      </c>
      <c r="F94" s="1"/>
      <c r="J94" s="25"/>
    </row>
    <row r="95" spans="1:10" s="19" customFormat="1" ht="15">
      <c r="A95" s="17" t="s">
        <v>3</v>
      </c>
      <c r="B95" s="18" t="s">
        <v>158</v>
      </c>
      <c r="C95" s="18" t="s">
        <v>159</v>
      </c>
      <c r="D95" s="1">
        <f t="shared" si="2"/>
        <v>750.548</v>
      </c>
      <c r="E95" s="1">
        <f t="shared" si="2"/>
        <v>779.44275</v>
      </c>
      <c r="F95" s="1">
        <f t="shared" si="1"/>
        <v>103.84982039789594</v>
      </c>
      <c r="J95" s="25"/>
    </row>
    <row r="96" spans="1:10" s="19" customFormat="1" ht="36" customHeight="1">
      <c r="A96" s="17" t="s">
        <v>78</v>
      </c>
      <c r="B96" s="18" t="s">
        <v>160</v>
      </c>
      <c r="C96" s="18" t="s">
        <v>161</v>
      </c>
      <c r="D96" s="1">
        <f>282.91+463.68+3.958</f>
        <v>750.548</v>
      </c>
      <c r="E96" s="1">
        <v>779.44275</v>
      </c>
      <c r="F96" s="1">
        <f t="shared" si="1"/>
        <v>103.84982039789594</v>
      </c>
      <c r="J96" s="25"/>
    </row>
    <row r="97" spans="1:10" s="19" customFormat="1" ht="15">
      <c r="A97" s="17" t="s">
        <v>3</v>
      </c>
      <c r="B97" s="18" t="s">
        <v>163</v>
      </c>
      <c r="C97" s="18" t="s">
        <v>164</v>
      </c>
      <c r="D97" s="1">
        <f>D98+D160+D161</f>
        <v>560657.68541</v>
      </c>
      <c r="E97" s="1">
        <f>E98+E160+E161</f>
        <v>560154.9005000001</v>
      </c>
      <c r="F97" s="1">
        <f t="shared" si="1"/>
        <v>99.91032230127512</v>
      </c>
      <c r="J97" s="25"/>
    </row>
    <row r="98" spans="1:10" s="19" customFormat="1" ht="51" customHeight="1">
      <c r="A98" s="17" t="s">
        <v>3</v>
      </c>
      <c r="B98" s="18" t="s">
        <v>165</v>
      </c>
      <c r="C98" s="18" t="s">
        <v>166</v>
      </c>
      <c r="D98" s="1">
        <f>D99+D104+D125+D156</f>
        <v>561831.35469</v>
      </c>
      <c r="E98" s="1">
        <f>E99+E104+E125+E156</f>
        <v>561328.56978</v>
      </c>
      <c r="F98" s="1">
        <f t="shared" si="1"/>
        <v>99.91050963855919</v>
      </c>
      <c r="J98" s="25"/>
    </row>
    <row r="99" spans="1:10" s="19" customFormat="1" ht="35.25" customHeight="1">
      <c r="A99" s="17" t="s">
        <v>3</v>
      </c>
      <c r="B99" s="18" t="s">
        <v>167</v>
      </c>
      <c r="C99" s="18" t="s">
        <v>168</v>
      </c>
      <c r="D99" s="1">
        <f>D100+D103</f>
        <v>110028.7</v>
      </c>
      <c r="E99" s="1">
        <f>E100+E103</f>
        <v>110028.7</v>
      </c>
      <c r="F99" s="1">
        <f t="shared" si="1"/>
        <v>100</v>
      </c>
      <c r="J99" s="25"/>
    </row>
    <row r="100" spans="1:10" s="19" customFormat="1" ht="39" customHeight="1">
      <c r="A100" s="17" t="s">
        <v>78</v>
      </c>
      <c r="B100" s="18" t="s">
        <v>169</v>
      </c>
      <c r="C100" s="18" t="s">
        <v>170</v>
      </c>
      <c r="D100" s="1">
        <f>SUM(D101:D102)</f>
        <v>97634.68</v>
      </c>
      <c r="E100" s="1">
        <f>SUM(E101:E102)</f>
        <v>97634.68</v>
      </c>
      <c r="F100" s="1">
        <f t="shared" si="1"/>
        <v>100</v>
      </c>
      <c r="J100" s="25"/>
    </row>
    <row r="101" spans="1:10" s="19" customFormat="1" ht="34.5" customHeight="1" hidden="1">
      <c r="A101" s="17"/>
      <c r="B101" s="18"/>
      <c r="C101" s="18" t="s">
        <v>171</v>
      </c>
      <c r="D101" s="2">
        <f>97634.68-4269.5</f>
        <v>93365.18</v>
      </c>
      <c r="E101" s="2">
        <f>97634.68-4269.5</f>
        <v>93365.18</v>
      </c>
      <c r="F101" s="1">
        <f t="shared" si="1"/>
        <v>100</v>
      </c>
      <c r="J101" s="25"/>
    </row>
    <row r="102" spans="1:10" s="19" customFormat="1" ht="46.5" customHeight="1" hidden="1">
      <c r="A102" s="17"/>
      <c r="B102" s="18"/>
      <c r="C102" s="18" t="s">
        <v>172</v>
      </c>
      <c r="D102" s="1">
        <v>4269.5</v>
      </c>
      <c r="E102" s="1">
        <v>4269.5</v>
      </c>
      <c r="F102" s="1">
        <f t="shared" si="1"/>
        <v>100</v>
      </c>
      <c r="J102" s="25"/>
    </row>
    <row r="103" spans="1:10" s="19" customFormat="1" ht="43.5" customHeight="1">
      <c r="A103" s="17" t="s">
        <v>78</v>
      </c>
      <c r="B103" s="18" t="s">
        <v>173</v>
      </c>
      <c r="C103" s="18" t="s">
        <v>174</v>
      </c>
      <c r="D103" s="1">
        <f>10095+1636.3+3525-2862.28</f>
        <v>12394.019999999999</v>
      </c>
      <c r="E103" s="1">
        <f>10095+1636.3+3525-2862.28</f>
        <v>12394.019999999999</v>
      </c>
      <c r="F103" s="1">
        <f t="shared" si="1"/>
        <v>100</v>
      </c>
      <c r="J103" s="25"/>
    </row>
    <row r="104" spans="1:10" s="19" customFormat="1" ht="33" customHeight="1">
      <c r="A104" s="17" t="s">
        <v>3</v>
      </c>
      <c r="B104" s="18" t="s">
        <v>175</v>
      </c>
      <c r="C104" s="18" t="s">
        <v>176</v>
      </c>
      <c r="D104" s="40">
        <f>SUM(D105:D113)</f>
        <v>184119.305</v>
      </c>
      <c r="E104" s="40">
        <f>SUM(E105:E113)</f>
        <v>184119.305</v>
      </c>
      <c r="F104" s="1">
        <f t="shared" si="1"/>
        <v>100</v>
      </c>
      <c r="J104" s="25"/>
    </row>
    <row r="105" spans="1:10" s="19" customFormat="1" ht="62.25" customHeight="1">
      <c r="A105" s="17" t="s">
        <v>78</v>
      </c>
      <c r="B105" s="18" t="s">
        <v>246</v>
      </c>
      <c r="C105" s="18" t="s">
        <v>247</v>
      </c>
      <c r="D105" s="1">
        <f>1202.059+8300+750</f>
        <v>10252.059</v>
      </c>
      <c r="E105" s="1">
        <f>1202.059+8300+750</f>
        <v>10252.059</v>
      </c>
      <c r="F105" s="1">
        <f t="shared" si="1"/>
        <v>100</v>
      </c>
      <c r="J105" s="25"/>
    </row>
    <row r="106" spans="1:10" s="19" customFormat="1" ht="38.25" customHeight="1">
      <c r="A106" s="17" t="s">
        <v>78</v>
      </c>
      <c r="B106" s="18" t="s">
        <v>260</v>
      </c>
      <c r="C106" s="18" t="s">
        <v>179</v>
      </c>
      <c r="D106" s="1">
        <v>870.93</v>
      </c>
      <c r="E106" s="1">
        <v>870.93</v>
      </c>
      <c r="F106" s="1">
        <f t="shared" si="1"/>
        <v>100</v>
      </c>
      <c r="J106" s="25"/>
    </row>
    <row r="107" spans="1:10" s="19" customFormat="1" ht="34.5" customHeight="1">
      <c r="A107" s="17" t="s">
        <v>78</v>
      </c>
      <c r="B107" s="18" t="s">
        <v>178</v>
      </c>
      <c r="C107" s="18" t="s">
        <v>179</v>
      </c>
      <c r="D107" s="1">
        <f>130986.1+200</f>
        <v>131186.1</v>
      </c>
      <c r="E107" s="1">
        <f>130986.1+200</f>
        <v>131186.1</v>
      </c>
      <c r="F107" s="1">
        <f t="shared" si="1"/>
        <v>100</v>
      </c>
      <c r="J107" s="25"/>
    </row>
    <row r="108" spans="1:10" s="19" customFormat="1" ht="51" customHeight="1">
      <c r="A108" s="17" t="s">
        <v>78</v>
      </c>
      <c r="B108" s="18" t="s">
        <v>243</v>
      </c>
      <c r="C108" s="18" t="s">
        <v>244</v>
      </c>
      <c r="D108" s="1">
        <v>1000</v>
      </c>
      <c r="E108" s="1">
        <v>1000</v>
      </c>
      <c r="F108" s="1">
        <f t="shared" si="1"/>
        <v>100</v>
      </c>
      <c r="J108" s="25"/>
    </row>
    <row r="109" spans="1:10" s="19" customFormat="1" ht="59.25" customHeight="1">
      <c r="A109" s="17" t="s">
        <v>78</v>
      </c>
      <c r="B109" s="18" t="s">
        <v>248</v>
      </c>
      <c r="C109" s="18" t="s">
        <v>249</v>
      </c>
      <c r="D109" s="1">
        <v>3601.962</v>
      </c>
      <c r="E109" s="1">
        <v>3601.962</v>
      </c>
      <c r="F109" s="1">
        <f t="shared" si="1"/>
        <v>100</v>
      </c>
      <c r="J109" s="25"/>
    </row>
    <row r="110" spans="1:10" s="19" customFormat="1" ht="59.25" customHeight="1">
      <c r="A110" s="17" t="s">
        <v>78</v>
      </c>
      <c r="B110" s="18" t="s">
        <v>250</v>
      </c>
      <c r="C110" s="18" t="s">
        <v>251</v>
      </c>
      <c r="D110" s="1">
        <v>8204</v>
      </c>
      <c r="E110" s="1">
        <v>8204</v>
      </c>
      <c r="F110" s="1">
        <f t="shared" si="1"/>
        <v>100</v>
      </c>
      <c r="J110" s="25"/>
    </row>
    <row r="111" spans="1:10" s="19" customFormat="1" ht="59.25" customHeight="1">
      <c r="A111" s="17" t="s">
        <v>78</v>
      </c>
      <c r="B111" s="18" t="s">
        <v>262</v>
      </c>
      <c r="C111" s="18" t="s">
        <v>261</v>
      </c>
      <c r="D111" s="1">
        <v>4840.5</v>
      </c>
      <c r="E111" s="1">
        <v>4840.5</v>
      </c>
      <c r="F111" s="1">
        <f t="shared" si="1"/>
        <v>100</v>
      </c>
      <c r="J111" s="25"/>
    </row>
    <row r="112" spans="1:10" s="19" customFormat="1" ht="59.25" customHeight="1">
      <c r="A112" s="17" t="s">
        <v>78</v>
      </c>
      <c r="B112" s="18" t="s">
        <v>271</v>
      </c>
      <c r="C112" s="18" t="s">
        <v>272</v>
      </c>
      <c r="D112" s="1">
        <v>1644.8</v>
      </c>
      <c r="E112" s="1">
        <v>1644.8</v>
      </c>
      <c r="F112" s="1">
        <f t="shared" si="1"/>
        <v>100</v>
      </c>
      <c r="J112" s="25"/>
    </row>
    <row r="113" spans="1:10" s="23" customFormat="1" ht="15">
      <c r="A113" s="17" t="s">
        <v>78</v>
      </c>
      <c r="B113" s="18" t="s">
        <v>180</v>
      </c>
      <c r="C113" s="18" t="s">
        <v>181</v>
      </c>
      <c r="D113" s="1">
        <f>SUM(D116:D124)</f>
        <v>22518.953999999998</v>
      </c>
      <c r="E113" s="1">
        <f>SUM(E116:E124)</f>
        <v>22518.953999999998</v>
      </c>
      <c r="F113" s="1">
        <f t="shared" si="1"/>
        <v>100</v>
      </c>
      <c r="J113" s="25">
        <f>22518.954-E113</f>
        <v>0</v>
      </c>
    </row>
    <row r="114" spans="1:10" s="19" customFormat="1" ht="90" customHeight="1" hidden="1">
      <c r="A114" s="17" t="s">
        <v>78</v>
      </c>
      <c r="B114" s="18" t="s">
        <v>182</v>
      </c>
      <c r="C114" s="18" t="s">
        <v>183</v>
      </c>
      <c r="D114" s="1"/>
      <c r="E114" s="1"/>
      <c r="F114" s="1" t="e">
        <f t="shared" si="1"/>
        <v>#DIV/0!</v>
      </c>
      <c r="J114" s="25"/>
    </row>
    <row r="115" spans="1:10" s="19" customFormat="1" ht="60" customHeight="1" hidden="1">
      <c r="A115" s="17" t="s">
        <v>78</v>
      </c>
      <c r="B115" s="18" t="s">
        <v>182</v>
      </c>
      <c r="C115" s="18" t="s">
        <v>177</v>
      </c>
      <c r="D115" s="1"/>
      <c r="E115" s="1"/>
      <c r="F115" s="1" t="e">
        <f t="shared" si="1"/>
        <v>#DIV/0!</v>
      </c>
      <c r="J115" s="25"/>
    </row>
    <row r="116" spans="1:10" s="19" customFormat="1" ht="30" customHeight="1" hidden="1">
      <c r="A116" s="17"/>
      <c r="B116" s="18"/>
      <c r="C116" s="18" t="s">
        <v>184</v>
      </c>
      <c r="D116" s="1">
        <v>806</v>
      </c>
      <c r="E116" s="1">
        <v>806</v>
      </c>
      <c r="F116" s="1">
        <f t="shared" si="1"/>
        <v>100</v>
      </c>
      <c r="J116" s="25"/>
    </row>
    <row r="117" spans="1:10" s="19" customFormat="1" ht="73.5" customHeight="1" hidden="1">
      <c r="A117" s="17"/>
      <c r="B117" s="18"/>
      <c r="C117" s="18" t="s">
        <v>185</v>
      </c>
      <c r="D117" s="1">
        <v>5813.8</v>
      </c>
      <c r="E117" s="1">
        <v>5813.8</v>
      </c>
      <c r="F117" s="1">
        <f t="shared" si="1"/>
        <v>100</v>
      </c>
      <c r="G117" s="25"/>
      <c r="J117" s="25"/>
    </row>
    <row r="118" spans="1:10" s="19" customFormat="1" ht="30" hidden="1">
      <c r="A118" s="17"/>
      <c r="B118" s="18"/>
      <c r="C118" s="18" t="s">
        <v>186</v>
      </c>
      <c r="D118" s="1">
        <f>2088.2+9106.8</f>
        <v>11195</v>
      </c>
      <c r="E118" s="1">
        <f>2088.2+9106.8</f>
        <v>11195</v>
      </c>
      <c r="F118" s="1">
        <f t="shared" si="1"/>
        <v>100</v>
      </c>
      <c r="J118" s="25"/>
    </row>
    <row r="119" spans="1:10" s="19" customFormat="1" ht="84" customHeight="1" hidden="1">
      <c r="A119" s="17"/>
      <c r="B119" s="18"/>
      <c r="C119" s="18" t="s">
        <v>252</v>
      </c>
      <c r="D119" s="1">
        <v>3010.1</v>
      </c>
      <c r="E119" s="1">
        <v>3010.1</v>
      </c>
      <c r="F119" s="1">
        <f t="shared" si="1"/>
        <v>100</v>
      </c>
      <c r="J119" s="25"/>
    </row>
    <row r="120" spans="1:10" s="19" customFormat="1" ht="50.25" customHeight="1" hidden="1">
      <c r="A120" s="17"/>
      <c r="B120" s="18"/>
      <c r="C120" s="18" t="s">
        <v>187</v>
      </c>
      <c r="D120" s="1">
        <v>331.7</v>
      </c>
      <c r="E120" s="1">
        <v>331.7</v>
      </c>
      <c r="F120" s="1">
        <f t="shared" si="1"/>
        <v>100</v>
      </c>
      <c r="J120" s="25"/>
    </row>
    <row r="121" spans="1:10" s="19" customFormat="1" ht="78" customHeight="1" hidden="1">
      <c r="A121" s="17"/>
      <c r="B121" s="18"/>
      <c r="C121" s="18" t="s">
        <v>268</v>
      </c>
      <c r="D121" s="1">
        <v>1194.654</v>
      </c>
      <c r="E121" s="1">
        <v>1194.654</v>
      </c>
      <c r="F121" s="1">
        <f t="shared" si="1"/>
        <v>100</v>
      </c>
      <c r="J121" s="25"/>
    </row>
    <row r="122" spans="1:10" s="19" customFormat="1" ht="114.75" customHeight="1" hidden="1">
      <c r="A122" s="17"/>
      <c r="B122" s="18"/>
      <c r="C122" s="18" t="s">
        <v>268</v>
      </c>
      <c r="D122" s="1"/>
      <c r="E122" s="1"/>
      <c r="F122" s="1" t="e">
        <f t="shared" si="1"/>
        <v>#DIV/0!</v>
      </c>
      <c r="J122" s="25"/>
    </row>
    <row r="123" spans="1:10" s="19" customFormat="1" ht="75" customHeight="1" hidden="1">
      <c r="A123" s="17"/>
      <c r="B123" s="18"/>
      <c r="C123" s="18" t="s">
        <v>267</v>
      </c>
      <c r="D123" s="1">
        <v>124.2</v>
      </c>
      <c r="E123" s="1">
        <v>124.2</v>
      </c>
      <c r="F123" s="1">
        <f t="shared" si="1"/>
        <v>100</v>
      </c>
      <c r="J123" s="25"/>
    </row>
    <row r="124" spans="1:10" s="19" customFormat="1" ht="61.5" customHeight="1" hidden="1">
      <c r="A124" s="17"/>
      <c r="B124" s="18"/>
      <c r="C124" s="18" t="s">
        <v>188</v>
      </c>
      <c r="D124" s="1">
        <v>43.5</v>
      </c>
      <c r="E124" s="1">
        <v>43.5</v>
      </c>
      <c r="F124" s="1">
        <f t="shared" si="1"/>
        <v>100</v>
      </c>
      <c r="J124" s="25"/>
    </row>
    <row r="125" spans="1:10" s="19" customFormat="1" ht="39" customHeight="1">
      <c r="A125" s="17" t="s">
        <v>3</v>
      </c>
      <c r="B125" s="18" t="s">
        <v>189</v>
      </c>
      <c r="C125" s="18" t="s">
        <v>190</v>
      </c>
      <c r="D125" s="36">
        <f>SUM(D126:D133)+D149+D150+D151+D152+D153+D155+D154</f>
        <v>204614.22911</v>
      </c>
      <c r="E125" s="36">
        <f>SUM(E126:E133)+E149+E150+E151+E152+E153+E155+E154</f>
        <v>204111.4442</v>
      </c>
      <c r="F125" s="1">
        <f t="shared" si="1"/>
        <v>99.75427666385328</v>
      </c>
      <c r="G125" s="25"/>
      <c r="J125" s="25"/>
    </row>
    <row r="126" spans="1:10" s="19" customFormat="1" ht="33" customHeight="1">
      <c r="A126" s="17" t="s">
        <v>78</v>
      </c>
      <c r="B126" s="18" t="s">
        <v>191</v>
      </c>
      <c r="C126" s="18" t="s">
        <v>192</v>
      </c>
      <c r="D126" s="1">
        <v>16700</v>
      </c>
      <c r="E126" s="1">
        <v>16700</v>
      </c>
      <c r="F126" s="1">
        <f t="shared" si="1"/>
        <v>100</v>
      </c>
      <c r="G126" s="3"/>
      <c r="J126" s="25"/>
    </row>
    <row r="127" spans="1:10" s="19" customFormat="1" ht="54" customHeight="1">
      <c r="A127" s="17" t="s">
        <v>78</v>
      </c>
      <c r="B127" s="18" t="s">
        <v>193</v>
      </c>
      <c r="C127" s="18" t="s">
        <v>194</v>
      </c>
      <c r="D127" s="1">
        <v>175.8</v>
      </c>
      <c r="E127" s="1">
        <f>175.8-3.958</f>
        <v>171.842</v>
      </c>
      <c r="F127" s="1">
        <f t="shared" si="1"/>
        <v>97.74857792946531</v>
      </c>
      <c r="J127" s="25"/>
    </row>
    <row r="128" spans="1:10" s="19" customFormat="1" ht="65.25" customHeight="1">
      <c r="A128" s="17" t="s">
        <v>78</v>
      </c>
      <c r="B128" s="18" t="s">
        <v>195</v>
      </c>
      <c r="C128" s="18" t="s">
        <v>196</v>
      </c>
      <c r="D128" s="1">
        <f>115+13.9+10.17611</f>
        <v>139.07611</v>
      </c>
      <c r="E128" s="1">
        <f>115+13.9+10.17611</f>
        <v>139.07611</v>
      </c>
      <c r="F128" s="1">
        <f t="shared" si="1"/>
        <v>100</v>
      </c>
      <c r="J128" s="25"/>
    </row>
    <row r="129" spans="1:10" s="19" customFormat="1" ht="67.5" customHeight="1">
      <c r="A129" s="17" t="s">
        <v>78</v>
      </c>
      <c r="B129" s="18" t="s">
        <v>197</v>
      </c>
      <c r="C129" s="18" t="s">
        <v>198</v>
      </c>
      <c r="D129" s="1">
        <v>230</v>
      </c>
      <c r="E129" s="1">
        <v>230</v>
      </c>
      <c r="F129" s="1">
        <f t="shared" si="1"/>
        <v>100</v>
      </c>
      <c r="J129" s="25"/>
    </row>
    <row r="130" spans="1:10" s="19" customFormat="1" ht="51.75" customHeight="1">
      <c r="A130" s="17" t="s">
        <v>78</v>
      </c>
      <c r="B130" s="18" t="s">
        <v>199</v>
      </c>
      <c r="C130" s="18" t="s">
        <v>200</v>
      </c>
      <c r="D130" s="1">
        <f>561.1</f>
        <v>561.1</v>
      </c>
      <c r="E130" s="1">
        <f>561.1</f>
        <v>561.1</v>
      </c>
      <c r="F130" s="1">
        <f t="shared" si="1"/>
        <v>100</v>
      </c>
      <c r="J130" s="25"/>
    </row>
    <row r="131" spans="1:10" s="19" customFormat="1" ht="45" customHeight="1">
      <c r="A131" s="17" t="s">
        <v>78</v>
      </c>
      <c r="B131" s="18" t="s">
        <v>201</v>
      </c>
      <c r="C131" s="18" t="s">
        <v>202</v>
      </c>
      <c r="D131" s="1">
        <f>870+1715+73</f>
        <v>2658</v>
      </c>
      <c r="E131" s="1">
        <f>870+1715+73</f>
        <v>2658</v>
      </c>
      <c r="F131" s="1">
        <f t="shared" si="1"/>
        <v>100</v>
      </c>
      <c r="J131" s="25"/>
    </row>
    <row r="132" spans="1:10" s="19" customFormat="1" ht="47.25" customHeight="1">
      <c r="A132" s="17" t="s">
        <v>78</v>
      </c>
      <c r="B132" s="18" t="s">
        <v>203</v>
      </c>
      <c r="C132" s="18" t="s">
        <v>204</v>
      </c>
      <c r="D132" s="1">
        <v>6929.1</v>
      </c>
      <c r="E132" s="1">
        <v>6929.1</v>
      </c>
      <c r="F132" s="1">
        <f t="shared" si="1"/>
        <v>100</v>
      </c>
      <c r="J132" s="25"/>
    </row>
    <row r="133" spans="1:10" s="23" customFormat="1" ht="42.75" customHeight="1">
      <c r="A133" s="17" t="s">
        <v>78</v>
      </c>
      <c r="B133" s="18" t="s">
        <v>205</v>
      </c>
      <c r="C133" s="18" t="s">
        <v>206</v>
      </c>
      <c r="D133" s="453">
        <f>SUM(D134:D148)</f>
        <v>147727.753</v>
      </c>
      <c r="E133" s="453">
        <f>SUM(E134:E148)</f>
        <v>147727.753</v>
      </c>
      <c r="F133" s="1">
        <f t="shared" si="1"/>
        <v>100</v>
      </c>
      <c r="G133" s="3"/>
      <c r="J133" s="25"/>
    </row>
    <row r="134" spans="1:10" s="19" customFormat="1" ht="70.5" customHeight="1" hidden="1">
      <c r="A134" s="17"/>
      <c r="B134" s="18"/>
      <c r="C134" s="18" t="s">
        <v>207</v>
      </c>
      <c r="D134" s="1">
        <f>413+20.65</f>
        <v>433.65</v>
      </c>
      <c r="E134" s="1">
        <f>413+20.65</f>
        <v>433.65</v>
      </c>
      <c r="F134" s="1">
        <f t="shared" si="1"/>
        <v>100</v>
      </c>
      <c r="G134" s="3"/>
      <c r="J134" s="25"/>
    </row>
    <row r="135" spans="1:10" s="19" customFormat="1" ht="101.25" customHeight="1" hidden="1">
      <c r="A135" s="17"/>
      <c r="B135" s="18"/>
      <c r="C135" s="18" t="s">
        <v>208</v>
      </c>
      <c r="D135" s="1">
        <f>1055.7+54</f>
        <v>1109.7</v>
      </c>
      <c r="E135" s="1">
        <f>1055.7+54</f>
        <v>1109.7</v>
      </c>
      <c r="F135" s="1">
        <f t="shared" si="1"/>
        <v>100</v>
      </c>
      <c r="J135" s="25"/>
    </row>
    <row r="136" spans="1:10" s="19" customFormat="1" ht="107.25" customHeight="1" hidden="1">
      <c r="A136" s="17"/>
      <c r="B136" s="18"/>
      <c r="C136" s="18" t="s">
        <v>209</v>
      </c>
      <c r="D136" s="1">
        <v>8454.5</v>
      </c>
      <c r="E136" s="1">
        <v>8454.5</v>
      </c>
      <c r="F136" s="1">
        <f t="shared" si="1"/>
        <v>100</v>
      </c>
      <c r="J136" s="25"/>
    </row>
    <row r="137" spans="1:10" s="19" customFormat="1" ht="42.75" customHeight="1" hidden="1">
      <c r="A137" s="17"/>
      <c r="B137" s="18"/>
      <c r="C137" s="18" t="s">
        <v>210</v>
      </c>
      <c r="D137" s="45">
        <v>9.7</v>
      </c>
      <c r="E137" s="45">
        <v>9.7</v>
      </c>
      <c r="F137" s="1">
        <f t="shared" si="1"/>
        <v>100</v>
      </c>
      <c r="J137" s="25"/>
    </row>
    <row r="138" spans="1:10" s="19" customFormat="1" ht="94.5" customHeight="1" hidden="1">
      <c r="A138" s="17"/>
      <c r="B138" s="18"/>
      <c r="C138" s="18" t="s">
        <v>211</v>
      </c>
      <c r="D138" s="1">
        <v>112594.2</v>
      </c>
      <c r="E138" s="1">
        <v>112594.2</v>
      </c>
      <c r="F138" s="1">
        <f t="shared" si="1"/>
        <v>100</v>
      </c>
      <c r="J138" s="25"/>
    </row>
    <row r="139" spans="1:10" s="19" customFormat="1" ht="80.25" customHeight="1" hidden="1">
      <c r="A139" s="17"/>
      <c r="B139" s="18"/>
      <c r="C139" s="18" t="s">
        <v>212</v>
      </c>
      <c r="D139" s="1">
        <v>721</v>
      </c>
      <c r="E139" s="1">
        <v>721</v>
      </c>
      <c r="F139" s="1">
        <f t="shared" si="1"/>
        <v>100</v>
      </c>
      <c r="J139" s="25"/>
    </row>
    <row r="140" spans="1:10" s="19" customFormat="1" ht="39" customHeight="1" hidden="1">
      <c r="A140" s="17"/>
      <c r="B140" s="18"/>
      <c r="C140" s="18" t="s">
        <v>213</v>
      </c>
      <c r="D140" s="1">
        <v>299.75</v>
      </c>
      <c r="E140" s="1">
        <v>299.75</v>
      </c>
      <c r="F140" s="1">
        <f t="shared" si="1"/>
        <v>100</v>
      </c>
      <c r="J140" s="25"/>
    </row>
    <row r="141" spans="1:10" s="19" customFormat="1" ht="41.25" customHeight="1" hidden="1">
      <c r="A141" s="17"/>
      <c r="B141" s="18"/>
      <c r="C141" s="18" t="s">
        <v>214</v>
      </c>
      <c r="D141" s="1">
        <v>822.25</v>
      </c>
      <c r="E141" s="1">
        <v>822.25</v>
      </c>
      <c r="F141" s="1">
        <f t="shared" si="1"/>
        <v>100</v>
      </c>
      <c r="J141" s="25"/>
    </row>
    <row r="142" spans="1:10" s="19" customFormat="1" ht="52.5" customHeight="1" hidden="1">
      <c r="A142" s="17"/>
      <c r="B142" s="18"/>
      <c r="C142" s="18" t="s">
        <v>215</v>
      </c>
      <c r="D142" s="1">
        <v>8044</v>
      </c>
      <c r="E142" s="1">
        <v>8044</v>
      </c>
      <c r="F142" s="1">
        <f t="shared" si="1"/>
        <v>100</v>
      </c>
      <c r="J142" s="25"/>
    </row>
    <row r="143" spans="1:10" s="19" customFormat="1" ht="43.5" customHeight="1" hidden="1">
      <c r="A143" s="17"/>
      <c r="B143" s="18"/>
      <c r="C143" s="18" t="s">
        <v>216</v>
      </c>
      <c r="D143" s="1">
        <v>3520</v>
      </c>
      <c r="E143" s="1">
        <v>3520</v>
      </c>
      <c r="F143" s="1">
        <f t="shared" si="1"/>
        <v>100</v>
      </c>
      <c r="J143" s="25"/>
    </row>
    <row r="144" spans="1:10" s="19" customFormat="1" ht="37.5" customHeight="1" hidden="1">
      <c r="A144" s="17"/>
      <c r="B144" s="18"/>
      <c r="C144" s="18" t="s">
        <v>217</v>
      </c>
      <c r="D144" s="1">
        <f>7021</f>
        <v>7021</v>
      </c>
      <c r="E144" s="1">
        <f>7021</f>
        <v>7021</v>
      </c>
      <c r="F144" s="1">
        <f t="shared" si="1"/>
        <v>100</v>
      </c>
      <c r="J144" s="25"/>
    </row>
    <row r="145" spans="1:10" s="19" customFormat="1" ht="59.25" customHeight="1" hidden="1">
      <c r="A145" s="17"/>
      <c r="B145" s="18"/>
      <c r="C145" s="18" t="s">
        <v>253</v>
      </c>
      <c r="D145" s="1">
        <v>856.203</v>
      </c>
      <c r="E145" s="1">
        <v>856.203</v>
      </c>
      <c r="F145" s="1">
        <f aca="true" t="shared" si="3" ref="F145:F163">E145/D145*100</f>
        <v>100</v>
      </c>
      <c r="J145" s="25"/>
    </row>
    <row r="146" spans="1:10" s="19" customFormat="1" ht="36.75" customHeight="1" hidden="1">
      <c r="A146" s="17"/>
      <c r="B146" s="18"/>
      <c r="C146" s="18" t="s">
        <v>218</v>
      </c>
      <c r="D146" s="1">
        <v>2376</v>
      </c>
      <c r="E146" s="1">
        <v>2376</v>
      </c>
      <c r="F146" s="1">
        <f t="shared" si="3"/>
        <v>100</v>
      </c>
      <c r="J146" s="25"/>
    </row>
    <row r="147" spans="1:10" s="19" customFormat="1" ht="57.75" customHeight="1" hidden="1">
      <c r="A147" s="17"/>
      <c r="B147" s="18"/>
      <c r="C147" s="18" t="s">
        <v>219</v>
      </c>
      <c r="D147" s="1">
        <v>54.3</v>
      </c>
      <c r="E147" s="1">
        <v>54.3</v>
      </c>
      <c r="F147" s="1">
        <f t="shared" si="3"/>
        <v>100</v>
      </c>
      <c r="J147" s="25"/>
    </row>
    <row r="148" spans="1:10" s="19" customFormat="1" ht="30" hidden="1">
      <c r="A148" s="17"/>
      <c r="B148" s="18"/>
      <c r="C148" s="18" t="s">
        <v>220</v>
      </c>
      <c r="D148" s="1">
        <v>1411.5</v>
      </c>
      <c r="E148" s="1">
        <v>1411.5</v>
      </c>
      <c r="F148" s="1">
        <f t="shared" si="3"/>
        <v>100</v>
      </c>
      <c r="J148" s="25"/>
    </row>
    <row r="149" spans="1:10" s="19" customFormat="1" ht="74.25" customHeight="1">
      <c r="A149" s="17" t="s">
        <v>78</v>
      </c>
      <c r="B149" s="18" t="s">
        <v>221</v>
      </c>
      <c r="C149" s="18" t="s">
        <v>222</v>
      </c>
      <c r="D149" s="1">
        <v>9425.5</v>
      </c>
      <c r="E149" s="1">
        <v>9425.5</v>
      </c>
      <c r="F149" s="1">
        <f t="shared" si="3"/>
        <v>100</v>
      </c>
      <c r="J149" s="25"/>
    </row>
    <row r="150" spans="1:10" s="19" customFormat="1" ht="65.25" customHeight="1">
      <c r="A150" s="17" t="s">
        <v>78</v>
      </c>
      <c r="B150" s="18" t="s">
        <v>223</v>
      </c>
      <c r="C150" s="18" t="s">
        <v>224</v>
      </c>
      <c r="D150" s="1">
        <v>11370.3</v>
      </c>
      <c r="E150" s="1">
        <v>11370.3</v>
      </c>
      <c r="F150" s="1">
        <f t="shared" si="3"/>
        <v>100</v>
      </c>
      <c r="J150" s="25"/>
    </row>
    <row r="151" spans="1:10" s="19" customFormat="1" ht="96.75" customHeight="1">
      <c r="A151" s="17" t="s">
        <v>78</v>
      </c>
      <c r="B151" s="18" t="s">
        <v>225</v>
      </c>
      <c r="C151" s="18" t="s">
        <v>226</v>
      </c>
      <c r="D151" s="1">
        <f>1403.9-650</f>
        <v>753.9000000000001</v>
      </c>
      <c r="E151" s="1">
        <f>1403.9-650</f>
        <v>753.9000000000001</v>
      </c>
      <c r="F151" s="1">
        <f t="shared" si="3"/>
        <v>100</v>
      </c>
      <c r="J151" s="25"/>
    </row>
    <row r="152" spans="1:10" s="19" customFormat="1" ht="32.25" customHeight="1">
      <c r="A152" s="17" t="s">
        <v>78</v>
      </c>
      <c r="B152" s="18" t="s">
        <v>227</v>
      </c>
      <c r="C152" s="18" t="s">
        <v>228</v>
      </c>
      <c r="D152" s="1">
        <v>2828</v>
      </c>
      <c r="E152" s="1">
        <v>2828</v>
      </c>
      <c r="F152" s="1">
        <f t="shared" si="3"/>
        <v>100</v>
      </c>
      <c r="J152" s="25"/>
    </row>
    <row r="153" spans="1:10" s="19" customFormat="1" ht="166.5" customHeight="1">
      <c r="A153" s="17" t="s">
        <v>78</v>
      </c>
      <c r="B153" s="18" t="s">
        <v>229</v>
      </c>
      <c r="C153" s="18" t="s">
        <v>230</v>
      </c>
      <c r="D153" s="1">
        <f>2883.7</f>
        <v>2883.7</v>
      </c>
      <c r="E153" s="1">
        <v>2384.87309</v>
      </c>
      <c r="F153" s="1">
        <f t="shared" si="3"/>
        <v>82.70184450532302</v>
      </c>
      <c r="J153" s="25"/>
    </row>
    <row r="154" spans="1:10" s="19" customFormat="1" ht="108" customHeight="1">
      <c r="A154" s="17" t="s">
        <v>78</v>
      </c>
      <c r="B154" s="18" t="s">
        <v>254</v>
      </c>
      <c r="C154" s="18" t="s">
        <v>255</v>
      </c>
      <c r="D154" s="1">
        <v>1116</v>
      </c>
      <c r="E154" s="1">
        <v>1116</v>
      </c>
      <c r="F154" s="1">
        <f t="shared" si="3"/>
        <v>100</v>
      </c>
      <c r="J154" s="25"/>
    </row>
    <row r="155" spans="1:10" s="19" customFormat="1" ht="90.75" customHeight="1">
      <c r="A155" s="17" t="s">
        <v>78</v>
      </c>
      <c r="B155" s="18" t="s">
        <v>231</v>
      </c>
      <c r="C155" s="18" t="s">
        <v>232</v>
      </c>
      <c r="D155" s="1">
        <v>1116</v>
      </c>
      <c r="E155" s="1">
        <v>1116</v>
      </c>
      <c r="F155" s="1">
        <f t="shared" si="3"/>
        <v>100</v>
      </c>
      <c r="J155" s="25"/>
    </row>
    <row r="156" spans="1:10" s="19" customFormat="1" ht="26.25" customHeight="1">
      <c r="A156" s="17" t="s">
        <v>3</v>
      </c>
      <c r="B156" s="18" t="s">
        <v>266</v>
      </c>
      <c r="C156" s="18" t="s">
        <v>265</v>
      </c>
      <c r="D156" s="36">
        <f>SUM(D157:D159)</f>
        <v>63069.12058</v>
      </c>
      <c r="E156" s="36">
        <f>SUM(E157:E159)</f>
        <v>63069.12058</v>
      </c>
      <c r="F156" s="1">
        <f t="shared" si="3"/>
        <v>100</v>
      </c>
      <c r="J156" s="25"/>
    </row>
    <row r="157" spans="1:10" s="19" customFormat="1" ht="80.25" customHeight="1">
      <c r="A157" s="17" t="s">
        <v>78</v>
      </c>
      <c r="B157" s="18" t="s">
        <v>256</v>
      </c>
      <c r="C157" s="18" t="s">
        <v>258</v>
      </c>
      <c r="D157" s="1">
        <f>598.6+60.6+9.92058</f>
        <v>669.12058</v>
      </c>
      <c r="E157" s="1">
        <v>669.12058</v>
      </c>
      <c r="F157" s="1">
        <f t="shared" si="3"/>
        <v>100</v>
      </c>
      <c r="J157" s="25"/>
    </row>
    <row r="158" spans="1:10" s="19" customFormat="1" ht="79.5" customHeight="1">
      <c r="A158" s="17" t="s">
        <v>78</v>
      </c>
      <c r="B158" s="18" t="s">
        <v>257</v>
      </c>
      <c r="C158" s="18" t="s">
        <v>259</v>
      </c>
      <c r="D158" s="1">
        <v>58400</v>
      </c>
      <c r="E158" s="1">
        <v>58400</v>
      </c>
      <c r="F158" s="1">
        <f t="shared" si="3"/>
        <v>100</v>
      </c>
      <c r="J158" s="25"/>
    </row>
    <row r="159" spans="1:10" s="19" customFormat="1" ht="37.5" customHeight="1">
      <c r="A159" s="17" t="s">
        <v>78</v>
      </c>
      <c r="B159" s="18" t="s">
        <v>264</v>
      </c>
      <c r="C159" s="18" t="s">
        <v>263</v>
      </c>
      <c r="D159" s="1">
        <v>4000</v>
      </c>
      <c r="E159" s="1">
        <v>4000</v>
      </c>
      <c r="F159" s="1">
        <f t="shared" si="3"/>
        <v>100</v>
      </c>
      <c r="J159" s="25"/>
    </row>
    <row r="160" spans="1:10" s="19" customFormat="1" ht="58.5" customHeight="1">
      <c r="A160" s="17" t="s">
        <v>78</v>
      </c>
      <c r="B160" s="18" t="s">
        <v>233</v>
      </c>
      <c r="C160" s="18" t="s">
        <v>234</v>
      </c>
      <c r="D160" s="1">
        <v>84.3549</v>
      </c>
      <c r="E160" s="1">
        <v>84.3549</v>
      </c>
      <c r="F160" s="1">
        <f t="shared" si="3"/>
        <v>100</v>
      </c>
      <c r="J160" s="25"/>
    </row>
    <row r="161" spans="1:10" s="19" customFormat="1" ht="66.75" customHeight="1">
      <c r="A161" s="17" t="s">
        <v>78</v>
      </c>
      <c r="B161" s="18" t="s">
        <v>235</v>
      </c>
      <c r="C161" s="18" t="s">
        <v>162</v>
      </c>
      <c r="D161" s="1">
        <v>-1258.02418</v>
      </c>
      <c r="E161" s="1">
        <v>-1258.02418</v>
      </c>
      <c r="F161" s="1">
        <f t="shared" si="3"/>
        <v>100</v>
      </c>
      <c r="G161" s="25"/>
      <c r="J161" s="25"/>
    </row>
    <row r="162" spans="1:10" s="26" customFormat="1" ht="15">
      <c r="A162" s="17"/>
      <c r="B162" s="18"/>
      <c r="C162" s="18" t="s">
        <v>236</v>
      </c>
      <c r="D162" s="1">
        <f>D11+D97</f>
        <v>633069.778</v>
      </c>
      <c r="E162" s="1">
        <f>E11+E97</f>
        <v>634751.3979000001</v>
      </c>
      <c r="F162" s="1">
        <f t="shared" si="3"/>
        <v>100.26562947062688</v>
      </c>
      <c r="G162" s="38">
        <v>407598.06</v>
      </c>
      <c r="H162" s="38">
        <f>G162+F161-F160</f>
        <v>407598.06</v>
      </c>
      <c r="J162" s="25"/>
    </row>
    <row r="163" spans="1:10" s="26" customFormat="1" ht="20.25" customHeight="1">
      <c r="A163" s="17"/>
      <c r="B163" s="18"/>
      <c r="C163" s="18" t="s">
        <v>237</v>
      </c>
      <c r="D163" s="1">
        <f>D11</f>
        <v>72412.09259</v>
      </c>
      <c r="E163" s="1">
        <f>E11</f>
        <v>74596.49740000001</v>
      </c>
      <c r="F163" s="1">
        <f t="shared" si="3"/>
        <v>103.01662986369998</v>
      </c>
      <c r="G163" s="38"/>
      <c r="J163" s="25"/>
    </row>
    <row r="164" spans="1:10" ht="15" hidden="1">
      <c r="A164" s="4"/>
      <c r="B164" s="28"/>
      <c r="C164" s="29" t="s">
        <v>238</v>
      </c>
      <c r="D164" s="1"/>
      <c r="E164" s="1"/>
      <c r="F164" s="1"/>
      <c r="J164" s="25"/>
    </row>
    <row r="165" spans="1:10" ht="15" hidden="1">
      <c r="A165" s="4"/>
      <c r="B165" s="28"/>
      <c r="C165" s="29" t="s">
        <v>239</v>
      </c>
      <c r="D165" s="5"/>
      <c r="E165" s="5"/>
      <c r="F165" s="5"/>
      <c r="G165" s="35">
        <f>F165+F161-F160</f>
        <v>0</v>
      </c>
      <c r="J165" s="25"/>
    </row>
    <row r="166" spans="1:11" ht="30" hidden="1">
      <c r="A166" s="4"/>
      <c r="B166" s="28"/>
      <c r="C166" s="27" t="s">
        <v>240</v>
      </c>
      <c r="D166" s="1">
        <v>0</v>
      </c>
      <c r="E166" s="1">
        <v>0</v>
      </c>
      <c r="F166" s="1">
        <v>0</v>
      </c>
      <c r="G166" s="35"/>
      <c r="J166" s="25"/>
      <c r="K166" s="41"/>
    </row>
    <row r="167" spans="1:12" ht="15" hidden="1">
      <c r="A167" s="4"/>
      <c r="B167" s="28"/>
      <c r="C167" s="29" t="s">
        <v>241</v>
      </c>
      <c r="D167" s="39">
        <f>D162+D164-D166</f>
        <v>633069.778</v>
      </c>
      <c r="E167" s="39">
        <f>E162+E164-E166</f>
        <v>634751.3979000001</v>
      </c>
      <c r="F167" s="39">
        <f>F162+F164-F166</f>
        <v>100.26562947062688</v>
      </c>
      <c r="G167" t="s">
        <v>242</v>
      </c>
      <c r="H167" s="35"/>
      <c r="J167" s="25"/>
      <c r="K167" s="41"/>
      <c r="L167" s="41"/>
    </row>
    <row r="168" spans="1:17" ht="15" customHeight="1" hidden="1">
      <c r="A168" s="30"/>
      <c r="B168" s="9"/>
      <c r="C168" s="31"/>
      <c r="D168" s="6"/>
      <c r="E168" s="6"/>
      <c r="F168" s="32"/>
      <c r="G168" s="16"/>
      <c r="H168" s="16"/>
      <c r="I168" s="16"/>
      <c r="J168" s="25"/>
      <c r="K168" s="16"/>
      <c r="L168" s="16"/>
      <c r="M168" s="16"/>
      <c r="N168" s="16"/>
      <c r="O168" s="16"/>
      <c r="P168" s="16"/>
      <c r="Q168" s="16"/>
    </row>
    <row r="169" spans="1:17" ht="15" customHeight="1" hidden="1">
      <c r="A169" s="30"/>
      <c r="B169" s="9"/>
      <c r="C169" s="31"/>
      <c r="D169" s="6"/>
      <c r="E169" s="6"/>
      <c r="F169" s="33" t="e">
        <f>#REF!-F167</f>
        <v>#REF!</v>
      </c>
      <c r="G169" s="16"/>
      <c r="H169" s="16"/>
      <c r="I169" s="16"/>
      <c r="J169" s="25"/>
      <c r="K169" s="16"/>
      <c r="L169" s="16"/>
      <c r="M169" s="16"/>
      <c r="N169" s="16"/>
      <c r="O169" s="16"/>
      <c r="P169" s="16"/>
      <c r="Q169" s="16"/>
    </row>
    <row r="170" spans="1:17" ht="15" customHeight="1" hidden="1">
      <c r="A170" s="34"/>
      <c r="B170" s="9"/>
      <c r="C170" s="31"/>
      <c r="D170" s="31"/>
      <c r="E170" s="37"/>
      <c r="F170" s="33"/>
      <c r="G170" s="16"/>
      <c r="H170" s="16"/>
      <c r="I170" s="16"/>
      <c r="J170" s="25"/>
      <c r="K170" s="16"/>
      <c r="L170" s="16"/>
      <c r="M170" s="16"/>
      <c r="N170" s="16"/>
      <c r="O170" s="16"/>
      <c r="P170" s="16"/>
      <c r="Q170" s="16"/>
    </row>
    <row r="171" spans="1:17" ht="15" customHeight="1" hidden="1">
      <c r="A171" s="34"/>
      <c r="B171" s="9"/>
      <c r="C171" s="31"/>
      <c r="D171" s="31"/>
      <c r="E171" s="31">
        <v>2524.4</v>
      </c>
      <c r="F171" s="33">
        <f>E163-E171</f>
        <v>72072.09740000001</v>
      </c>
      <c r="G171" s="16"/>
      <c r="H171" s="16"/>
      <c r="I171" s="16"/>
      <c r="J171" s="25"/>
      <c r="K171" s="16"/>
      <c r="L171" s="16"/>
      <c r="M171" s="16"/>
      <c r="N171" s="16"/>
      <c r="O171" s="16"/>
      <c r="P171" s="16"/>
      <c r="Q171" s="16"/>
    </row>
    <row r="172" spans="2:17" ht="15" customHeight="1" hidden="1">
      <c r="B172" s="9"/>
      <c r="C172" s="31"/>
      <c r="D172" s="31"/>
      <c r="E172" s="31">
        <v>7612.56</v>
      </c>
      <c r="F172" s="33">
        <f>E172-E97</f>
        <v>-552542.3405</v>
      </c>
      <c r="G172" s="16"/>
      <c r="H172" s="16"/>
      <c r="I172" s="16"/>
      <c r="J172" s="25"/>
      <c r="K172" s="16"/>
      <c r="L172" s="16"/>
      <c r="M172" s="16"/>
      <c r="N172" s="16"/>
      <c r="O172" s="16"/>
      <c r="P172" s="16"/>
      <c r="Q172" s="16"/>
    </row>
    <row r="173" spans="2:10" ht="15" customHeight="1" hidden="1">
      <c r="B173" s="9"/>
      <c r="C173" s="9"/>
      <c r="E173" s="9"/>
      <c r="J173" s="25"/>
    </row>
    <row r="174" spans="2:10" ht="15" customHeight="1" hidden="1">
      <c r="B174" s="9"/>
      <c r="C174" s="9"/>
      <c r="E174" s="9"/>
      <c r="F174" s="35"/>
      <c r="J174" s="25"/>
    </row>
    <row r="175" spans="2:10" ht="15" customHeight="1" hidden="1">
      <c r="B175" s="9"/>
      <c r="C175" s="9"/>
      <c r="E175" s="9"/>
      <c r="J175" s="25"/>
    </row>
    <row r="176" spans="2:10" ht="15" customHeight="1" hidden="1">
      <c r="B176" s="9"/>
      <c r="C176" s="9"/>
      <c r="E176" s="9"/>
      <c r="J176" s="25"/>
    </row>
    <row r="177" spans="2:10" ht="15" hidden="1">
      <c r="B177" s="9"/>
      <c r="C177" s="9"/>
      <c r="E177" s="9"/>
      <c r="J177" s="25"/>
    </row>
    <row r="178" spans="5:10" ht="15" hidden="1">
      <c r="E178" s="42"/>
      <c r="J178" s="25"/>
    </row>
    <row r="179" ht="15" hidden="1">
      <c r="J179" s="25"/>
    </row>
    <row r="180" spans="5:10" ht="15" hidden="1">
      <c r="E180" s="43"/>
      <c r="J180" s="25"/>
    </row>
    <row r="181" spans="4:10" ht="15" hidden="1">
      <c r="D181" s="44"/>
      <c r="E181" s="43"/>
      <c r="F181" s="41"/>
      <c r="J181" s="25"/>
    </row>
    <row r="182" ht="15" hidden="1">
      <c r="J182" s="25"/>
    </row>
    <row r="183" spans="4:10" ht="15" hidden="1">
      <c r="D183" s="44"/>
      <c r="F183" s="41"/>
      <c r="J183" s="25"/>
    </row>
    <row r="184" ht="15" hidden="1">
      <c r="J184" s="25"/>
    </row>
    <row r="185" ht="15" hidden="1">
      <c r="J185" s="25"/>
    </row>
    <row r="186" ht="15" hidden="1">
      <c r="J186" s="25"/>
    </row>
    <row r="187" ht="15" hidden="1">
      <c r="J187" s="25"/>
    </row>
    <row r="188" ht="15" hidden="1">
      <c r="J188" s="25"/>
    </row>
    <row r="189" ht="15" hidden="1">
      <c r="J189" s="25"/>
    </row>
    <row r="190" ht="15" hidden="1">
      <c r="J190" s="25"/>
    </row>
    <row r="191" ht="15" hidden="1">
      <c r="J191" s="25"/>
    </row>
    <row r="192" ht="15" hidden="1">
      <c r="J192" s="25"/>
    </row>
    <row r="193" ht="15" hidden="1">
      <c r="J193" s="25"/>
    </row>
    <row r="194" ht="15" hidden="1">
      <c r="J194" s="25"/>
    </row>
    <row r="195" ht="15" hidden="1">
      <c r="J195" s="25"/>
    </row>
    <row r="196" ht="15" hidden="1">
      <c r="J196" s="25"/>
    </row>
    <row r="197" ht="15" hidden="1">
      <c r="J197" s="25"/>
    </row>
    <row r="198" ht="15" hidden="1">
      <c r="J198" s="25"/>
    </row>
    <row r="199" ht="15" hidden="1">
      <c r="J199" s="25"/>
    </row>
    <row r="200" ht="15" hidden="1">
      <c r="J200" s="25"/>
    </row>
    <row r="202" spans="3:6" ht="15">
      <c r="C202" t="s">
        <v>288</v>
      </c>
      <c r="E202" s="42"/>
      <c r="F202" s="47"/>
    </row>
    <row r="203" spans="5:6" ht="15">
      <c r="E203" s="46"/>
      <c r="F203" s="47"/>
    </row>
    <row r="204" spans="5:6" ht="15">
      <c r="E204" s="46"/>
      <c r="F204" s="35"/>
    </row>
    <row r="205" spans="5:6" ht="15">
      <c r="E205" s="46"/>
      <c r="F205" s="35"/>
    </row>
    <row r="206" ht="15">
      <c r="E206" s="46"/>
    </row>
    <row r="207" ht="15">
      <c r="E207" s="46"/>
    </row>
  </sheetData>
  <sheetProtection/>
  <mergeCells count="8">
    <mergeCell ref="D4:F4"/>
    <mergeCell ref="B6:F6"/>
    <mergeCell ref="D2:F2"/>
    <mergeCell ref="D1:F1"/>
    <mergeCell ref="D8:F8"/>
    <mergeCell ref="A8:A9"/>
    <mergeCell ref="B8:B9"/>
    <mergeCell ref="C8:C9"/>
  </mergeCells>
  <printOptions/>
  <pageMargins left="0.7480314960629921" right="0.1968503937007874" top="0.35433070866141736" bottom="0.2362204724409449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2:L71"/>
  <sheetViews>
    <sheetView tabSelected="1" view="pageBreakPreview" zoomScaleSheetLayoutView="100" zoomScalePageLayoutView="0" workbookViewId="0" topLeftCell="B1">
      <selection activeCell="O33" sqref="O33"/>
    </sheetView>
  </sheetViews>
  <sheetFormatPr defaultColWidth="9.140625" defaultRowHeight="15"/>
  <cols>
    <col min="1" max="1" width="6.140625" style="77" customWidth="1"/>
    <col min="2" max="2" width="46.7109375" style="77" customWidth="1"/>
    <col min="3" max="3" width="6.421875" style="77" customWidth="1"/>
    <col min="4" max="4" width="6.00390625" style="77" customWidth="1"/>
    <col min="5" max="5" width="12.57421875" style="77" hidden="1" customWidth="1"/>
    <col min="6" max="6" width="11.8515625" style="77" hidden="1" customWidth="1"/>
    <col min="7" max="7" width="12.7109375" style="78" hidden="1" customWidth="1"/>
    <col min="8" max="8" width="13.57421875" style="77" customWidth="1"/>
    <col min="9" max="9" width="11.8515625" style="77" customWidth="1"/>
    <col min="10" max="10" width="10.00390625" style="77" customWidth="1"/>
    <col min="11" max="11" width="9.421875" style="77" hidden="1" customWidth="1"/>
    <col min="12" max="12" width="0" style="77" hidden="1" customWidth="1"/>
    <col min="13" max="16384" width="9.140625" style="77" customWidth="1"/>
  </cols>
  <sheetData>
    <row r="2" spans="2:12" ht="12.75" customHeight="1">
      <c r="B2" s="79"/>
      <c r="C2" s="80"/>
      <c r="D2" s="81"/>
      <c r="E2" s="81"/>
      <c r="F2" s="81"/>
      <c r="G2" s="82"/>
      <c r="H2" s="81"/>
      <c r="I2" s="461" t="s">
        <v>342</v>
      </c>
      <c r="J2" s="462"/>
      <c r="K2" s="462"/>
      <c r="L2" s="462"/>
    </row>
    <row r="3" spans="2:12" ht="60.75" customHeight="1">
      <c r="B3" s="79"/>
      <c r="C3" s="83"/>
      <c r="D3" s="83"/>
      <c r="E3" s="83"/>
      <c r="F3" s="83"/>
      <c r="G3" s="84"/>
      <c r="H3" s="83"/>
      <c r="I3" s="463" t="s">
        <v>1007</v>
      </c>
      <c r="J3" s="462"/>
      <c r="K3" s="462"/>
      <c r="L3" s="462"/>
    </row>
    <row r="4" spans="2:10" ht="9.75" customHeight="1">
      <c r="B4" s="79"/>
      <c r="C4" s="85"/>
      <c r="D4" s="85"/>
      <c r="E4" s="85"/>
      <c r="F4" s="85"/>
      <c r="G4" s="86"/>
      <c r="H4" s="85"/>
      <c r="I4" s="87"/>
      <c r="J4" s="87"/>
    </row>
    <row r="5" spans="2:10" ht="15.75" customHeight="1">
      <c r="B5" s="464" t="s">
        <v>343</v>
      </c>
      <c r="C5" s="465"/>
      <c r="D5" s="465"/>
      <c r="E5" s="465"/>
      <c r="F5" s="466"/>
      <c r="G5" s="466"/>
      <c r="H5" s="466"/>
      <c r="I5" s="467"/>
      <c r="J5" s="467"/>
    </row>
    <row r="6" spans="2:10" ht="54" customHeight="1">
      <c r="B6" s="468" t="s">
        <v>1009</v>
      </c>
      <c r="C6" s="469"/>
      <c r="D6" s="469"/>
      <c r="E6" s="469"/>
      <c r="F6" s="469"/>
      <c r="G6" s="469"/>
      <c r="H6" s="469"/>
      <c r="I6" s="469"/>
      <c r="J6" s="469"/>
    </row>
    <row r="7" spans="2:11" ht="15">
      <c r="B7" s="88"/>
      <c r="C7" s="89"/>
      <c r="D7" s="89"/>
      <c r="F7" s="79"/>
      <c r="G7" s="90"/>
      <c r="I7" s="79"/>
      <c r="K7" s="77" t="s">
        <v>344</v>
      </c>
    </row>
    <row r="8" spans="2:12" ht="42" customHeight="1">
      <c r="B8" s="91" t="s">
        <v>345</v>
      </c>
      <c r="C8" s="91" t="s">
        <v>346</v>
      </c>
      <c r="D8" s="91" t="s">
        <v>347</v>
      </c>
      <c r="E8" s="91" t="s">
        <v>348</v>
      </c>
      <c r="F8" s="92" t="s">
        <v>349</v>
      </c>
      <c r="G8" s="93" t="s">
        <v>350</v>
      </c>
      <c r="H8" s="91" t="s">
        <v>1018</v>
      </c>
      <c r="I8" s="92" t="s">
        <v>1012</v>
      </c>
      <c r="J8" s="94" t="s">
        <v>1019</v>
      </c>
      <c r="K8" s="94" t="s">
        <v>352</v>
      </c>
      <c r="L8" s="94" t="s">
        <v>353</v>
      </c>
    </row>
    <row r="9" spans="2:12" ht="15">
      <c r="B9" s="95" t="s">
        <v>354</v>
      </c>
      <c r="C9" s="470" t="s">
        <v>355</v>
      </c>
      <c r="D9" s="470"/>
      <c r="E9" s="97" t="e">
        <f>E10+E11+E12+E13+E14+E15+#REF!+#REF!+#REF!</f>
        <v>#REF!</v>
      </c>
      <c r="F9" s="97" t="e">
        <f>F10+F11+F12+F13+F14+F15+#REF!+#REF!+#REF!</f>
        <v>#REF!</v>
      </c>
      <c r="G9" s="97">
        <f>G10+G11+G12+G13+G14+G15+G16</f>
        <v>23909.180900000003</v>
      </c>
      <c r="H9" s="97">
        <f>H10+H11+H12+H13+H14+H15+H16</f>
        <v>25153.76657</v>
      </c>
      <c r="I9" s="97">
        <f>I10+I11+I12+I13+I14+I15+I16</f>
        <v>25029.373300000003</v>
      </c>
      <c r="J9" s="98">
        <f>I9/H9*100</f>
        <v>99.50546861578832</v>
      </c>
      <c r="K9" s="99">
        <f>I9/637381.65*100</f>
        <v>3.9269052223263725</v>
      </c>
      <c r="L9" s="99">
        <f>I9/G9*100</f>
        <v>104.68519772670255</v>
      </c>
    </row>
    <row r="10" spans="2:12" ht="45">
      <c r="B10" s="100" t="s">
        <v>356</v>
      </c>
      <c r="C10" s="101" t="s">
        <v>357</v>
      </c>
      <c r="D10" s="101" t="s">
        <v>358</v>
      </c>
      <c r="E10" s="102">
        <f>'[2]10 прил(2011г)чистовик'!J651</f>
        <v>1080.095</v>
      </c>
      <c r="F10" s="102">
        <f>'[2]10 прил(2011г)чистовик'!K651</f>
        <v>0</v>
      </c>
      <c r="G10" s="102">
        <v>975.2004</v>
      </c>
      <c r="H10" s="103">
        <v>1004.573</v>
      </c>
      <c r="I10" s="103">
        <v>1000.8444</v>
      </c>
      <c r="J10" s="98">
        <f aca="true" t="shared" si="0" ref="J10:J69">I10/H10*100</f>
        <v>99.62883732690406</v>
      </c>
      <c r="K10" s="99">
        <f aca="true" t="shared" si="1" ref="K10:K69">I10/637381.65*100</f>
        <v>0.15702435110894702</v>
      </c>
      <c r="L10" s="99">
        <f aca="true" t="shared" si="2" ref="L10:L69">I10/G10*100</f>
        <v>102.6296133594695</v>
      </c>
    </row>
    <row r="11" spans="2:12" ht="60">
      <c r="B11" s="100" t="s">
        <v>359</v>
      </c>
      <c r="C11" s="101" t="s">
        <v>357</v>
      </c>
      <c r="D11" s="101" t="s">
        <v>360</v>
      </c>
      <c r="E11" s="102">
        <f>'[2]10 прил(2011г)чистовик'!J652</f>
        <v>1677.149</v>
      </c>
      <c r="F11" s="102">
        <f>'[2]10 прил(2011г)чистовик'!K652</f>
        <v>0</v>
      </c>
      <c r="G11" s="102">
        <v>1441.038</v>
      </c>
      <c r="H11" s="103">
        <v>1678.489</v>
      </c>
      <c r="I11" s="103">
        <v>1677.5955</v>
      </c>
      <c r="J11" s="98">
        <f t="shared" si="0"/>
        <v>99.94676759871527</v>
      </c>
      <c r="K11" s="99">
        <f t="shared" si="1"/>
        <v>0.263201097803804</v>
      </c>
      <c r="L11" s="99">
        <f t="shared" si="2"/>
        <v>116.41577113164261</v>
      </c>
    </row>
    <row r="12" spans="2:12" ht="60">
      <c r="B12" s="100" t="s">
        <v>361</v>
      </c>
      <c r="C12" s="101" t="s">
        <v>357</v>
      </c>
      <c r="D12" s="101" t="s">
        <v>362</v>
      </c>
      <c r="E12" s="102">
        <f>'[2]10 прил(2011г)чистовик'!J653</f>
        <v>17629.555999999997</v>
      </c>
      <c r="F12" s="102">
        <f>'[2]10 прил(2011г)чистовик'!K653</f>
        <v>1264</v>
      </c>
      <c r="G12" s="102">
        <v>17037.3038</v>
      </c>
      <c r="H12" s="103">
        <v>16673.91053</v>
      </c>
      <c r="I12" s="103">
        <v>16598.96649</v>
      </c>
      <c r="J12" s="98">
        <f t="shared" si="0"/>
        <v>99.55053111347118</v>
      </c>
      <c r="K12" s="99">
        <f t="shared" si="1"/>
        <v>2.6042429194502223</v>
      </c>
      <c r="L12" s="99">
        <f t="shared" si="2"/>
        <v>97.42719085633725</v>
      </c>
    </row>
    <row r="13" spans="2:12" ht="12.75" customHeight="1" hidden="1">
      <c r="B13" s="100" t="s">
        <v>363</v>
      </c>
      <c r="C13" s="101" t="s">
        <v>357</v>
      </c>
      <c r="D13" s="101" t="s">
        <v>364</v>
      </c>
      <c r="E13" s="102">
        <f>'[2]10 прил(2011г)чистовик'!J654</f>
        <v>0</v>
      </c>
      <c r="F13" s="102">
        <f>'[2]10 прил(2011г)чистовик'!K654</f>
        <v>0</v>
      </c>
      <c r="G13" s="102">
        <v>3.2</v>
      </c>
      <c r="H13" s="103">
        <f>'[3]10 прил(гл.расп,расх) правка'!J740</f>
        <v>0</v>
      </c>
      <c r="I13" s="103">
        <v>0</v>
      </c>
      <c r="J13" s="98" t="e">
        <f t="shared" si="0"/>
        <v>#DIV/0!</v>
      </c>
      <c r="K13" s="99">
        <f t="shared" si="1"/>
        <v>0</v>
      </c>
      <c r="L13" s="99">
        <f t="shared" si="2"/>
        <v>0</v>
      </c>
    </row>
    <row r="14" spans="2:12" ht="60">
      <c r="B14" s="100" t="s">
        <v>365</v>
      </c>
      <c r="C14" s="101" t="s">
        <v>357</v>
      </c>
      <c r="D14" s="101" t="s">
        <v>366</v>
      </c>
      <c r="E14" s="102">
        <f>'[2]10 прил(2011г)чистовик'!J655</f>
        <v>3205.056</v>
      </c>
      <c r="F14" s="102">
        <f>'[2]10 прил(2011г)чистовик'!K655</f>
        <v>0</v>
      </c>
      <c r="G14" s="102">
        <v>3304.4447</v>
      </c>
      <c r="H14" s="103">
        <v>3389.87504</v>
      </c>
      <c r="I14" s="103">
        <v>3376.39137</v>
      </c>
      <c r="J14" s="98">
        <f t="shared" si="0"/>
        <v>99.6022369603335</v>
      </c>
      <c r="K14" s="99">
        <f t="shared" si="1"/>
        <v>0.5297283613357868</v>
      </c>
      <c r="L14" s="99">
        <f t="shared" si="2"/>
        <v>102.17726960296838</v>
      </c>
    </row>
    <row r="15" spans="2:12" ht="15" customHeight="1">
      <c r="B15" s="100" t="s">
        <v>367</v>
      </c>
      <c r="C15" s="101" t="s">
        <v>357</v>
      </c>
      <c r="D15" s="101" t="s">
        <v>368</v>
      </c>
      <c r="E15" s="102">
        <f>'[2]10 прил(2011г)чистовик'!J656</f>
        <v>134.28893</v>
      </c>
      <c r="F15" s="102">
        <f>'[2]10 прил(2011г)чистовик'!K656</f>
        <v>0</v>
      </c>
      <c r="G15" s="102"/>
      <c r="H15" s="103">
        <v>134.289</v>
      </c>
      <c r="I15" s="103">
        <v>134.289</v>
      </c>
      <c r="J15" s="98">
        <f t="shared" si="0"/>
        <v>100</v>
      </c>
      <c r="K15" s="99">
        <f t="shared" si="1"/>
        <v>0.02106885254697872</v>
      </c>
      <c r="L15" s="99" t="e">
        <f t="shared" si="2"/>
        <v>#DIV/0!</v>
      </c>
    </row>
    <row r="16" spans="2:12" ht="14.25" customHeight="1">
      <c r="B16" s="100" t="s">
        <v>369</v>
      </c>
      <c r="C16" s="101" t="s">
        <v>357</v>
      </c>
      <c r="D16" s="101" t="s">
        <v>370</v>
      </c>
      <c r="E16" s="102"/>
      <c r="F16" s="102"/>
      <c r="G16" s="102">
        <v>1147.994</v>
      </c>
      <c r="H16" s="103">
        <f>' прил 3 (гл.расп,расх) '!J746</f>
        <v>2272.63</v>
      </c>
      <c r="I16" s="103">
        <v>2241.28654</v>
      </c>
      <c r="J16" s="98">
        <f t="shared" si="0"/>
        <v>98.6208287314697</v>
      </c>
      <c r="K16" s="99">
        <f t="shared" si="1"/>
        <v>0.35163964008063303</v>
      </c>
      <c r="L16" s="99">
        <f t="shared" si="2"/>
        <v>195.2350395559559</v>
      </c>
    </row>
    <row r="17" spans="2:12" ht="15">
      <c r="B17" s="95" t="s">
        <v>371</v>
      </c>
      <c r="C17" s="470" t="s">
        <v>372</v>
      </c>
      <c r="D17" s="470"/>
      <c r="E17" s="104"/>
      <c r="F17" s="104"/>
      <c r="G17" s="105">
        <f>G18</f>
        <v>480.3</v>
      </c>
      <c r="H17" s="500">
        <f>H18</f>
        <v>561.1</v>
      </c>
      <c r="I17" s="105">
        <f>I18</f>
        <v>561.1</v>
      </c>
      <c r="J17" s="98">
        <f t="shared" si="0"/>
        <v>100</v>
      </c>
      <c r="K17" s="99">
        <f t="shared" si="1"/>
        <v>0.08803202916180597</v>
      </c>
      <c r="L17" s="99">
        <f t="shared" si="2"/>
        <v>116.8228190714137</v>
      </c>
    </row>
    <row r="18" spans="2:12" ht="15">
      <c r="B18" s="100" t="s">
        <v>373</v>
      </c>
      <c r="C18" s="101" t="s">
        <v>358</v>
      </c>
      <c r="D18" s="101" t="s">
        <v>360</v>
      </c>
      <c r="E18" s="102"/>
      <c r="F18" s="102"/>
      <c r="G18" s="102">
        <v>480.3</v>
      </c>
      <c r="H18" s="103">
        <v>561.1</v>
      </c>
      <c r="I18" s="103">
        <v>561.1</v>
      </c>
      <c r="J18" s="98">
        <f t="shared" si="0"/>
        <v>100</v>
      </c>
      <c r="K18" s="99">
        <f t="shared" si="1"/>
        <v>0.08803202916180597</v>
      </c>
      <c r="L18" s="99">
        <f t="shared" si="2"/>
        <v>116.8228190714137</v>
      </c>
    </row>
    <row r="19" spans="2:12" ht="29.25">
      <c r="B19" s="95" t="s">
        <v>374</v>
      </c>
      <c r="C19" s="470" t="s">
        <v>375</v>
      </c>
      <c r="D19" s="470"/>
      <c r="E19" s="104">
        <f>SUM(E20:E21)</f>
        <v>575</v>
      </c>
      <c r="F19" s="104">
        <f>SUM(F20:F21)</f>
        <v>200</v>
      </c>
      <c r="G19" s="104">
        <f>SUM(G20:G22)</f>
        <v>979.1782000000001</v>
      </c>
      <c r="H19" s="501">
        <f>SUM(H20:H22)</f>
        <v>735</v>
      </c>
      <c r="I19" s="104">
        <f>SUM(I20:I22)</f>
        <v>720</v>
      </c>
      <c r="J19" s="98">
        <f t="shared" si="0"/>
        <v>97.95918367346938</v>
      </c>
      <c r="K19" s="99">
        <f t="shared" si="1"/>
        <v>0.11296214756104132</v>
      </c>
      <c r="L19" s="99">
        <f t="shared" si="2"/>
        <v>73.53104879173168</v>
      </c>
    </row>
    <row r="20" spans="2:12" ht="15">
      <c r="B20" s="100" t="s">
        <v>376</v>
      </c>
      <c r="C20" s="101" t="s">
        <v>360</v>
      </c>
      <c r="D20" s="101" t="s">
        <v>358</v>
      </c>
      <c r="E20" s="102">
        <f>'[2]10 прил(2011г)чистовик'!J665</f>
        <v>500</v>
      </c>
      <c r="F20" s="102">
        <f>'[2]10 прил(2011г)чистовик'!K665</f>
        <v>200</v>
      </c>
      <c r="G20" s="102">
        <v>700</v>
      </c>
      <c r="H20" s="103">
        <v>700</v>
      </c>
      <c r="I20" s="103">
        <v>700</v>
      </c>
      <c r="J20" s="98">
        <f t="shared" si="0"/>
        <v>100</v>
      </c>
      <c r="K20" s="99">
        <f t="shared" si="1"/>
        <v>0.10982431012879017</v>
      </c>
      <c r="L20" s="99">
        <f t="shared" si="2"/>
        <v>100</v>
      </c>
    </row>
    <row r="21" spans="2:12" ht="45">
      <c r="B21" s="100" t="s">
        <v>377</v>
      </c>
      <c r="C21" s="101" t="s">
        <v>360</v>
      </c>
      <c r="D21" s="101" t="s">
        <v>378</v>
      </c>
      <c r="E21" s="102">
        <f>'[2]10 прил(2011г)чистовик'!J666</f>
        <v>75</v>
      </c>
      <c r="F21" s="102">
        <f>'[2]10 прил(2011г)чистовик'!K666</f>
        <v>0</v>
      </c>
      <c r="G21" s="102">
        <v>279.1782</v>
      </c>
      <c r="H21" s="103">
        <v>20</v>
      </c>
      <c r="I21" s="103">
        <v>20</v>
      </c>
      <c r="J21" s="98">
        <f t="shared" si="0"/>
        <v>100</v>
      </c>
      <c r="K21" s="99">
        <f t="shared" si="1"/>
        <v>0.003137837432251148</v>
      </c>
      <c r="L21" s="99">
        <f t="shared" si="2"/>
        <v>7.163883139872669</v>
      </c>
    </row>
    <row r="22" spans="2:12" ht="26.25" customHeight="1">
      <c r="B22" s="100" t="s">
        <v>379</v>
      </c>
      <c r="C22" s="101" t="s">
        <v>360</v>
      </c>
      <c r="D22" s="101" t="s">
        <v>380</v>
      </c>
      <c r="E22" s="102"/>
      <c r="F22" s="102"/>
      <c r="G22" s="102"/>
      <c r="H22" s="103">
        <v>15</v>
      </c>
      <c r="I22" s="103"/>
      <c r="J22" s="98">
        <f t="shared" si="0"/>
        <v>0</v>
      </c>
      <c r="K22" s="99">
        <f t="shared" si="1"/>
        <v>0</v>
      </c>
      <c r="L22" s="99" t="e">
        <f t="shared" si="2"/>
        <v>#DIV/0!</v>
      </c>
    </row>
    <row r="23" spans="2:12" ht="15">
      <c r="B23" s="95" t="s">
        <v>381</v>
      </c>
      <c r="C23" s="470" t="s">
        <v>382</v>
      </c>
      <c r="D23" s="470"/>
      <c r="E23" s="104">
        <f>SUM(E24:E29)</f>
        <v>2694.703</v>
      </c>
      <c r="F23" s="104">
        <f>SUM(F24:F29)</f>
        <v>70</v>
      </c>
      <c r="G23" s="104">
        <f>SUM(G24:G29)</f>
        <v>8962.5661</v>
      </c>
      <c r="H23" s="501">
        <f>SUM(H24:H29)</f>
        <v>18569.313580000002</v>
      </c>
      <c r="I23" s="104">
        <f>SUM(I24:I29)</f>
        <v>18448.293279999998</v>
      </c>
      <c r="J23" s="98">
        <f t="shared" si="0"/>
        <v>99.34827800996183</v>
      </c>
      <c r="K23" s="99">
        <f t="shared" si="1"/>
        <v>2.8943872607565653</v>
      </c>
      <c r="L23" s="99">
        <f t="shared" si="2"/>
        <v>205.83717959971307</v>
      </c>
    </row>
    <row r="24" spans="2:12" ht="15">
      <c r="B24" s="100" t="s">
        <v>383</v>
      </c>
      <c r="C24" s="101" t="s">
        <v>362</v>
      </c>
      <c r="D24" s="101" t="s">
        <v>357</v>
      </c>
      <c r="E24" s="102"/>
      <c r="F24" s="102"/>
      <c r="G24" s="102"/>
      <c r="H24" s="103">
        <v>669.12058</v>
      </c>
      <c r="I24" s="103">
        <v>669.12056</v>
      </c>
      <c r="J24" s="98">
        <f t="shared" si="0"/>
        <v>99.99999701100211</v>
      </c>
      <c r="K24" s="99">
        <f t="shared" si="1"/>
        <v>0.10497957699284251</v>
      </c>
      <c r="L24" s="99" t="e">
        <f t="shared" si="2"/>
        <v>#DIV/0!</v>
      </c>
    </row>
    <row r="25" spans="2:12" ht="14.25" customHeight="1">
      <c r="B25" s="100" t="s">
        <v>384</v>
      </c>
      <c r="C25" s="101" t="s">
        <v>362</v>
      </c>
      <c r="D25" s="101" t="s">
        <v>364</v>
      </c>
      <c r="E25" s="102">
        <f>'[2]10 прил(2011г)чистовик'!J668</f>
        <v>160</v>
      </c>
      <c r="F25" s="102">
        <f>'[2]10 прил(2011г)чистовик'!K668</f>
        <v>70</v>
      </c>
      <c r="G25" s="102">
        <v>160</v>
      </c>
      <c r="H25" s="103">
        <v>3348.631</v>
      </c>
      <c r="I25" s="103">
        <v>3282.111</v>
      </c>
      <c r="J25" s="98">
        <f t="shared" si="0"/>
        <v>98.01351656841258</v>
      </c>
      <c r="K25" s="99">
        <f t="shared" si="1"/>
        <v>0.5149365376301623</v>
      </c>
      <c r="L25" s="99">
        <f t="shared" si="2"/>
        <v>2051.319375</v>
      </c>
    </row>
    <row r="26" spans="2:12" ht="15" hidden="1">
      <c r="B26" s="100" t="s">
        <v>385</v>
      </c>
      <c r="C26" s="101" t="s">
        <v>362</v>
      </c>
      <c r="D26" s="101" t="s">
        <v>386</v>
      </c>
      <c r="E26" s="102">
        <v>0</v>
      </c>
      <c r="F26" s="102"/>
      <c r="G26" s="102"/>
      <c r="H26" s="103"/>
      <c r="I26" s="103"/>
      <c r="J26" s="98" t="e">
        <f t="shared" si="0"/>
        <v>#DIV/0!</v>
      </c>
      <c r="K26" s="99">
        <f t="shared" si="1"/>
        <v>0</v>
      </c>
      <c r="L26" s="99" t="e">
        <f t="shared" si="2"/>
        <v>#DIV/0!</v>
      </c>
    </row>
    <row r="27" spans="2:12" ht="15" hidden="1">
      <c r="B27" s="100" t="s">
        <v>387</v>
      </c>
      <c r="C27" s="101" t="s">
        <v>362</v>
      </c>
      <c r="D27" s="101" t="s">
        <v>378</v>
      </c>
      <c r="E27" s="102">
        <f>'[2]10 прил(2011г)чистовик'!J669</f>
        <v>0</v>
      </c>
      <c r="F27" s="102">
        <f>'[2]10 прил(2011г)чистовик'!K669</f>
        <v>0</v>
      </c>
      <c r="G27" s="102"/>
      <c r="H27" s="103"/>
      <c r="I27" s="103"/>
      <c r="J27" s="98" t="e">
        <f t="shared" si="0"/>
        <v>#DIV/0!</v>
      </c>
      <c r="K27" s="99">
        <f t="shared" si="1"/>
        <v>0</v>
      </c>
      <c r="L27" s="99" t="e">
        <f t="shared" si="2"/>
        <v>#DIV/0!</v>
      </c>
    </row>
    <row r="28" spans="2:12" ht="27" customHeight="1" hidden="1">
      <c r="B28" s="106" t="s">
        <v>388</v>
      </c>
      <c r="C28" s="101" t="s">
        <v>362</v>
      </c>
      <c r="D28" s="101" t="s">
        <v>389</v>
      </c>
      <c r="E28" s="102">
        <f>'[2]10 прил(2011г)чистовик'!J670</f>
        <v>0</v>
      </c>
      <c r="F28" s="102">
        <f>'[2]10 прил(2011г)чистовик'!K670</f>
        <v>0</v>
      </c>
      <c r="G28" s="102"/>
      <c r="H28" s="103"/>
      <c r="I28" s="103"/>
      <c r="J28" s="98" t="e">
        <f t="shared" si="0"/>
        <v>#DIV/0!</v>
      </c>
      <c r="K28" s="99">
        <f t="shared" si="1"/>
        <v>0</v>
      </c>
      <c r="L28" s="99" t="e">
        <f t="shared" si="2"/>
        <v>#DIV/0!</v>
      </c>
    </row>
    <row r="29" spans="2:12" ht="30">
      <c r="B29" s="100" t="s">
        <v>390</v>
      </c>
      <c r="C29" s="101" t="s">
        <v>362</v>
      </c>
      <c r="D29" s="101" t="s">
        <v>391</v>
      </c>
      <c r="E29" s="102">
        <f>'[2]10 прил(2011г)чистовик'!J671</f>
        <v>2534.703</v>
      </c>
      <c r="F29" s="102">
        <f>'[2]10 прил(2011г)чистовик'!K671</f>
        <v>0</v>
      </c>
      <c r="G29" s="102">
        <v>8802.5661</v>
      </c>
      <c r="H29" s="103">
        <v>14551.562</v>
      </c>
      <c r="I29" s="103">
        <v>14497.06172</v>
      </c>
      <c r="J29" s="98">
        <f t="shared" si="0"/>
        <v>99.62546783637384</v>
      </c>
      <c r="K29" s="99">
        <f t="shared" si="1"/>
        <v>2.2744711461335605</v>
      </c>
      <c r="L29" s="99">
        <f t="shared" si="2"/>
        <v>164.69131336599676</v>
      </c>
    </row>
    <row r="30" spans="2:12" ht="15">
      <c r="B30" s="95" t="s">
        <v>392</v>
      </c>
      <c r="C30" s="470" t="s">
        <v>393</v>
      </c>
      <c r="D30" s="470"/>
      <c r="E30" s="104">
        <f>SUM(E31:E34)</f>
        <v>16056.14</v>
      </c>
      <c r="F30" s="104">
        <f>SUM(F31:F34)</f>
        <v>990.6</v>
      </c>
      <c r="G30" s="104">
        <f>SUM(G31:G34)</f>
        <v>51294.0579</v>
      </c>
      <c r="H30" s="501">
        <f>SUM(H31:H34)</f>
        <v>33611.15806</v>
      </c>
      <c r="I30" s="104">
        <f>SUM(I31:I34)</f>
        <v>33592.9666</v>
      </c>
      <c r="J30" s="98">
        <f t="shared" si="0"/>
        <v>99.9458767235347</v>
      </c>
      <c r="K30" s="99">
        <f t="shared" si="1"/>
        <v>5.270463402892129</v>
      </c>
      <c r="L30" s="99">
        <f t="shared" si="2"/>
        <v>65.49095153573334</v>
      </c>
    </row>
    <row r="31" spans="2:12" ht="15">
      <c r="B31" s="100" t="s">
        <v>394</v>
      </c>
      <c r="C31" s="101" t="s">
        <v>364</v>
      </c>
      <c r="D31" s="101" t="s">
        <v>357</v>
      </c>
      <c r="E31" s="102">
        <f>'[2]10 прил(2011г)чистовик'!J673</f>
        <v>1400</v>
      </c>
      <c r="F31" s="102">
        <f>'[2]10 прил(2011г)чистовик'!K673</f>
        <v>80</v>
      </c>
      <c r="G31" s="102">
        <v>19215.91</v>
      </c>
      <c r="H31" s="502">
        <v>1319.79047</v>
      </c>
      <c r="I31" s="103">
        <v>1319.79</v>
      </c>
      <c r="J31" s="98">
        <f t="shared" si="0"/>
        <v>99.99996438828657</v>
      </c>
      <c r="K31" s="99">
        <f t="shared" si="1"/>
        <v>0.2070643232355371</v>
      </c>
      <c r="L31" s="99">
        <f t="shared" si="2"/>
        <v>6.8682149323139</v>
      </c>
    </row>
    <row r="32" spans="2:12" ht="15">
      <c r="B32" s="100" t="s">
        <v>395</v>
      </c>
      <c r="C32" s="101" t="s">
        <v>364</v>
      </c>
      <c r="D32" s="101" t="s">
        <v>358</v>
      </c>
      <c r="E32" s="102">
        <f>'[2]10 прил(2011г)чистовик'!J674</f>
        <v>14356.14</v>
      </c>
      <c r="F32" s="102">
        <f>'[2]10 прил(2011г)чистовик'!K674</f>
        <v>710.6</v>
      </c>
      <c r="G32" s="102">
        <v>31678.3519</v>
      </c>
      <c r="H32" s="502">
        <v>29952.766</v>
      </c>
      <c r="I32" s="103">
        <v>29935.5766</v>
      </c>
      <c r="J32" s="98">
        <f t="shared" si="0"/>
        <v>99.94261164394635</v>
      </c>
      <c r="K32" s="99">
        <f t="shared" si="1"/>
        <v>4.696648640575077</v>
      </c>
      <c r="L32" s="99">
        <f t="shared" si="2"/>
        <v>94.49852913591758</v>
      </c>
    </row>
    <row r="33" spans="2:12" ht="15" customHeight="1">
      <c r="B33" s="100" t="s">
        <v>396</v>
      </c>
      <c r="C33" s="101" t="s">
        <v>364</v>
      </c>
      <c r="D33" s="101" t="s">
        <v>360</v>
      </c>
      <c r="E33" s="102">
        <f>'[2]10 прил(2011г)чистовик'!J675</f>
        <v>300</v>
      </c>
      <c r="F33" s="102">
        <f>'[2]10 прил(2011г)чистовик'!K675</f>
        <v>200</v>
      </c>
      <c r="G33" s="102">
        <v>399.796</v>
      </c>
      <c r="H33" s="502">
        <v>2338.60159</v>
      </c>
      <c r="I33" s="103">
        <v>2337.6</v>
      </c>
      <c r="J33" s="98">
        <f t="shared" si="0"/>
        <v>99.95717141370795</v>
      </c>
      <c r="K33" s="99">
        <f t="shared" si="1"/>
        <v>0.36675043908151417</v>
      </c>
      <c r="L33" s="99">
        <f t="shared" si="2"/>
        <v>584.6981960800008</v>
      </c>
    </row>
    <row r="34" spans="2:12" ht="12.75" customHeight="1" hidden="1">
      <c r="B34" s="100" t="s">
        <v>397</v>
      </c>
      <c r="C34" s="101" t="s">
        <v>364</v>
      </c>
      <c r="D34" s="101" t="s">
        <v>364</v>
      </c>
      <c r="E34" s="102">
        <f>'[2]10 прил(2011г)чистовик'!J676</f>
        <v>0</v>
      </c>
      <c r="F34" s="102">
        <f>'[2]10 прил(2011г)чистовик'!K676</f>
        <v>0</v>
      </c>
      <c r="G34" s="102"/>
      <c r="H34" s="502">
        <f>'[3]10 прил(гл.расп,расх) правка'!J764</f>
        <v>0</v>
      </c>
      <c r="I34" s="103">
        <f>'[3]10 прил(гл.расп,расх) правка'!K764</f>
        <v>0</v>
      </c>
      <c r="J34" s="98" t="e">
        <f t="shared" si="0"/>
        <v>#DIV/0!</v>
      </c>
      <c r="K34" s="99">
        <f t="shared" si="1"/>
        <v>0</v>
      </c>
      <c r="L34" s="99" t="e">
        <f t="shared" si="2"/>
        <v>#DIV/0!</v>
      </c>
    </row>
    <row r="35" spans="2:12" ht="15">
      <c r="B35" s="95" t="s">
        <v>398</v>
      </c>
      <c r="C35" s="470" t="s">
        <v>399</v>
      </c>
      <c r="D35" s="470"/>
      <c r="E35" s="104">
        <f>SUM(E36:E40)</f>
        <v>202387.06693</v>
      </c>
      <c r="F35" s="104">
        <f>SUM(F36:F40)</f>
        <v>4473.21104</v>
      </c>
      <c r="G35" s="104">
        <f>SUM(G36:G40)</f>
        <v>179353.78250000003</v>
      </c>
      <c r="H35" s="501">
        <f>SUM(H36:H40)</f>
        <v>322215.63165000005</v>
      </c>
      <c r="I35" s="104">
        <f>SUM(I36:I40)</f>
        <v>318600.43705999997</v>
      </c>
      <c r="J35" s="98">
        <f t="shared" si="0"/>
        <v>98.87802010986016</v>
      </c>
      <c r="K35" s="99">
        <f t="shared" si="1"/>
        <v>49.98581886692219</v>
      </c>
      <c r="L35" s="99">
        <f t="shared" si="2"/>
        <v>177.63798043121835</v>
      </c>
    </row>
    <row r="36" spans="2:12" ht="15" customHeight="1">
      <c r="B36" s="100" t="s">
        <v>400</v>
      </c>
      <c r="C36" s="101" t="s">
        <v>368</v>
      </c>
      <c r="D36" s="101" t="s">
        <v>357</v>
      </c>
      <c r="E36" s="102">
        <f>'[2]10 прил(2011г)чистовик'!J678</f>
        <v>565</v>
      </c>
      <c r="F36" s="102">
        <f>'[2]10 прил(2011г)чистовик'!K678</f>
        <v>263</v>
      </c>
      <c r="G36" s="102">
        <v>336.852</v>
      </c>
      <c r="H36" s="103">
        <v>404.38</v>
      </c>
      <c r="I36" s="103">
        <v>404.38</v>
      </c>
      <c r="J36" s="98">
        <f t="shared" si="0"/>
        <v>100</v>
      </c>
      <c r="K36" s="99">
        <f t="shared" si="1"/>
        <v>0.06344393504268596</v>
      </c>
      <c r="L36" s="99">
        <f t="shared" si="2"/>
        <v>120.04678612565756</v>
      </c>
    </row>
    <row r="37" spans="2:12" ht="15">
      <c r="B37" s="100" t="s">
        <v>401</v>
      </c>
      <c r="C37" s="101" t="s">
        <v>368</v>
      </c>
      <c r="D37" s="101" t="s">
        <v>358</v>
      </c>
      <c r="E37" s="102">
        <f>'[2]10 прил(2011г)чистовик'!J679</f>
        <v>191668.53093</v>
      </c>
      <c r="F37" s="102">
        <f>'[2]10 прил(2011г)чистовик'!K679</f>
        <v>4208.95606</v>
      </c>
      <c r="G37" s="102">
        <v>169000.6358</v>
      </c>
      <c r="H37" s="103">
        <v>310589.48797</v>
      </c>
      <c r="I37" s="103">
        <v>307481.52046</v>
      </c>
      <c r="J37" s="98">
        <f t="shared" si="0"/>
        <v>98.99933267854185</v>
      </c>
      <c r="K37" s="99">
        <f t="shared" si="1"/>
        <v>48.241351231244266</v>
      </c>
      <c r="L37" s="99">
        <f t="shared" si="2"/>
        <v>181.9410435969496</v>
      </c>
    </row>
    <row r="38" spans="2:12" ht="30">
      <c r="B38" s="100" t="s">
        <v>402</v>
      </c>
      <c r="C38" s="101" t="s">
        <v>368</v>
      </c>
      <c r="D38" s="101" t="s">
        <v>364</v>
      </c>
      <c r="E38" s="102">
        <f>'[2]10 прил(2011г)чистовик'!J680</f>
        <v>740.91</v>
      </c>
      <c r="F38" s="102">
        <f>'[2]10 прил(2011г)чистовик'!K680</f>
        <v>0</v>
      </c>
      <c r="G38" s="102">
        <v>543.915</v>
      </c>
      <c r="H38" s="103">
        <v>468.46</v>
      </c>
      <c r="I38" s="103">
        <v>401.953</v>
      </c>
      <c r="J38" s="98">
        <f t="shared" si="0"/>
        <v>85.80305682448875</v>
      </c>
      <c r="K38" s="99">
        <f t="shared" si="1"/>
        <v>0.06306315847028228</v>
      </c>
      <c r="L38" s="99">
        <f t="shared" si="2"/>
        <v>73.89996598733258</v>
      </c>
    </row>
    <row r="39" spans="2:12" ht="15">
      <c r="B39" s="100" t="s">
        <v>403</v>
      </c>
      <c r="C39" s="101" t="s">
        <v>368</v>
      </c>
      <c r="D39" s="101" t="s">
        <v>368</v>
      </c>
      <c r="E39" s="102">
        <f>'[2]10 прил(2011г)чистовик'!J681</f>
        <v>2380.06</v>
      </c>
      <c r="F39" s="102">
        <f>'[2]10 прил(2011г)чистовик'!K681</f>
        <v>0</v>
      </c>
      <c r="G39" s="102">
        <v>3422.3514</v>
      </c>
      <c r="H39" s="103">
        <v>3491.3017</v>
      </c>
      <c r="I39" s="103">
        <v>3324.7913</v>
      </c>
      <c r="J39" s="98">
        <f t="shared" si="0"/>
        <v>95.23070721731095</v>
      </c>
      <c r="K39" s="99">
        <f t="shared" si="1"/>
        <v>0.5216327297781478</v>
      </c>
      <c r="L39" s="99">
        <f t="shared" si="2"/>
        <v>97.14932546085126</v>
      </c>
    </row>
    <row r="40" spans="2:12" ht="15">
      <c r="B40" s="100" t="s">
        <v>404</v>
      </c>
      <c r="C40" s="101" t="s">
        <v>368</v>
      </c>
      <c r="D40" s="101" t="s">
        <v>378</v>
      </c>
      <c r="E40" s="102">
        <f>'[2]10 прил(2011г)чистовик'!J682</f>
        <v>7032.566</v>
      </c>
      <c r="F40" s="102">
        <f>'[2]10 прил(2011г)чистовик'!K682</f>
        <v>1.25498</v>
      </c>
      <c r="G40" s="102">
        <v>6050.0283</v>
      </c>
      <c r="H40" s="103">
        <v>7262.00198</v>
      </c>
      <c r="I40" s="103">
        <v>6987.7923</v>
      </c>
      <c r="J40" s="98">
        <f t="shared" si="0"/>
        <v>96.22404839939193</v>
      </c>
      <c r="K40" s="99">
        <f t="shared" si="1"/>
        <v>1.0963278123868172</v>
      </c>
      <c r="L40" s="99">
        <f t="shared" si="2"/>
        <v>115.50015890008316</v>
      </c>
    </row>
    <row r="41" spans="2:12" ht="15">
      <c r="B41" s="95" t="s">
        <v>405</v>
      </c>
      <c r="C41" s="470" t="s">
        <v>406</v>
      </c>
      <c r="D41" s="470"/>
      <c r="E41" s="104">
        <f>SUM(E42:E45)</f>
        <v>4058.852</v>
      </c>
      <c r="F41" s="104">
        <f>SUM(F42:F45)</f>
        <v>648.88</v>
      </c>
      <c r="G41" s="104">
        <f>SUM(G42:G45)</f>
        <v>8774.867</v>
      </c>
      <c r="H41" s="104">
        <f>SUM(H42:H45)</f>
        <v>8621.851200000001</v>
      </c>
      <c r="I41" s="104">
        <f>SUM(I42:I45)</f>
        <v>8615.03987</v>
      </c>
      <c r="J41" s="98">
        <f t="shared" si="0"/>
        <v>99.92099921650237</v>
      </c>
      <c r="K41" s="99">
        <f t="shared" si="1"/>
        <v>1.3516297292211032</v>
      </c>
      <c r="L41" s="99">
        <f t="shared" si="2"/>
        <v>98.17858059842959</v>
      </c>
    </row>
    <row r="42" spans="2:12" ht="15">
      <c r="B42" s="100" t="s">
        <v>407</v>
      </c>
      <c r="C42" s="101" t="s">
        <v>386</v>
      </c>
      <c r="D42" s="101" t="s">
        <v>357</v>
      </c>
      <c r="E42" s="102">
        <f>'[2]10 прил(2011г)чистовик'!J684</f>
        <v>4058.852</v>
      </c>
      <c r="F42" s="102">
        <f>'[2]10 прил(2011г)чистовик'!K684</f>
        <v>648.88</v>
      </c>
      <c r="G42" s="102">
        <v>5332.821</v>
      </c>
      <c r="H42" s="103">
        <v>6218.95565</v>
      </c>
      <c r="I42" s="103">
        <v>6218.95512</v>
      </c>
      <c r="J42" s="98">
        <f t="shared" si="0"/>
        <v>99.99999147766876</v>
      </c>
      <c r="K42" s="99">
        <f t="shared" si="1"/>
        <v>0.9757035082512964</v>
      </c>
      <c r="L42" s="99">
        <f t="shared" si="2"/>
        <v>116.61661098319256</v>
      </c>
    </row>
    <row r="43" spans="2:12" ht="15" hidden="1">
      <c r="B43" s="100" t="s">
        <v>408</v>
      </c>
      <c r="C43" s="101" t="s">
        <v>386</v>
      </c>
      <c r="D43" s="101" t="s">
        <v>362</v>
      </c>
      <c r="E43" s="102">
        <f>'[2]10 прил(2011г)чистовик'!J685</f>
        <v>0</v>
      </c>
      <c r="F43" s="102">
        <f>'[2]10 прил(2011г)чистовик'!K685</f>
        <v>0</v>
      </c>
      <c r="G43" s="102"/>
      <c r="H43" s="103">
        <f>'[3]10 прил(гл.расп,расх) правка'!J773</f>
        <v>0</v>
      </c>
      <c r="I43" s="103"/>
      <c r="J43" s="98" t="e">
        <f t="shared" si="0"/>
        <v>#DIV/0!</v>
      </c>
      <c r="K43" s="99">
        <f t="shared" si="1"/>
        <v>0</v>
      </c>
      <c r="L43" s="99" t="e">
        <f t="shared" si="2"/>
        <v>#DIV/0!</v>
      </c>
    </row>
    <row r="44" spans="2:12" ht="24.75" customHeight="1">
      <c r="B44" s="100" t="s">
        <v>409</v>
      </c>
      <c r="C44" s="101" t="s">
        <v>386</v>
      </c>
      <c r="D44" s="101" t="s">
        <v>362</v>
      </c>
      <c r="E44" s="102"/>
      <c r="F44" s="102"/>
      <c r="G44" s="102">
        <v>3442.046</v>
      </c>
      <c r="H44" s="103">
        <v>2402.89555</v>
      </c>
      <c r="I44" s="103">
        <v>2396.08475</v>
      </c>
      <c r="J44" s="98">
        <f t="shared" si="0"/>
        <v>99.7165586327712</v>
      </c>
      <c r="K44" s="99">
        <f t="shared" si="1"/>
        <v>0.37592622096980666</v>
      </c>
      <c r="L44" s="99">
        <f t="shared" si="2"/>
        <v>69.61222336947269</v>
      </c>
    </row>
    <row r="45" spans="2:12" ht="45" hidden="1">
      <c r="B45" s="100" t="s">
        <v>410</v>
      </c>
      <c r="C45" s="101" t="s">
        <v>386</v>
      </c>
      <c r="D45" s="101" t="s">
        <v>366</v>
      </c>
      <c r="E45" s="102">
        <f>'[2]10 прил(2011г)чистовик'!J687</f>
        <v>0</v>
      </c>
      <c r="F45" s="102">
        <f>'[2]10 прил(2011г)чистовик'!K687</f>
        <v>0</v>
      </c>
      <c r="G45" s="102"/>
      <c r="H45" s="103">
        <f>'[3]10 прил(гл.расп,расх) правка'!J775</f>
        <v>0</v>
      </c>
      <c r="I45" s="103">
        <f>'[3]10 прил(гл.расп,расх) правка'!K775</f>
        <v>0</v>
      </c>
      <c r="J45" s="98" t="e">
        <f t="shared" si="0"/>
        <v>#DIV/0!</v>
      </c>
      <c r="K45" s="99">
        <f t="shared" si="1"/>
        <v>0</v>
      </c>
      <c r="L45" s="99" t="e">
        <f t="shared" si="2"/>
        <v>#DIV/0!</v>
      </c>
    </row>
    <row r="46" spans="2:12" ht="15">
      <c r="B46" s="95" t="s">
        <v>411</v>
      </c>
      <c r="C46" s="470" t="s">
        <v>412</v>
      </c>
      <c r="D46" s="470"/>
      <c r="E46" s="104">
        <f>SUM(E47:E50)</f>
        <v>43853.96</v>
      </c>
      <c r="F46" s="104">
        <f>SUM(F47:F50)</f>
        <v>100</v>
      </c>
      <c r="G46" s="104">
        <f>SUM(G47:G50)</f>
        <v>47218.356900000006</v>
      </c>
      <c r="H46" s="104">
        <f>SUM(H47:H50)</f>
        <v>113644.05485000001</v>
      </c>
      <c r="I46" s="104">
        <f>SUM(I47:I50)</f>
        <v>107932.4008</v>
      </c>
      <c r="J46" s="98">
        <f t="shared" si="0"/>
        <v>94.97408460342348</v>
      </c>
      <c r="K46" s="99">
        <f t="shared" si="1"/>
        <v>16.933716369148687</v>
      </c>
      <c r="L46" s="99">
        <f t="shared" si="2"/>
        <v>228.58144138429347</v>
      </c>
    </row>
    <row r="47" spans="2:12" ht="15">
      <c r="B47" s="100" t="s">
        <v>413</v>
      </c>
      <c r="C47" s="101" t="s">
        <v>378</v>
      </c>
      <c r="D47" s="101" t="s">
        <v>357</v>
      </c>
      <c r="E47" s="102">
        <f>'[2]10 прил(2011г)чистовик'!J689</f>
        <v>38155.259999999995</v>
      </c>
      <c r="F47" s="102">
        <f>'[2]10 прил(2011г)чистовик'!K689</f>
        <v>100</v>
      </c>
      <c r="G47" s="102">
        <f>13923.5688+29159.61</f>
        <v>43083.1788</v>
      </c>
      <c r="H47" s="103">
        <v>107088.45785</v>
      </c>
      <c r="I47" s="103">
        <v>101902.89715</v>
      </c>
      <c r="J47" s="98">
        <f t="shared" si="0"/>
        <v>95.15768477377509</v>
      </c>
      <c r="K47" s="99">
        <f t="shared" si="1"/>
        <v>15.987736256605443</v>
      </c>
      <c r="L47" s="99">
        <f t="shared" si="2"/>
        <v>236.5259481503254</v>
      </c>
    </row>
    <row r="48" spans="2:12" ht="15">
      <c r="B48" s="100" t="s">
        <v>414</v>
      </c>
      <c r="C48" s="101" t="s">
        <v>378</v>
      </c>
      <c r="D48" s="101" t="s">
        <v>358</v>
      </c>
      <c r="E48" s="102">
        <f>'[2]10 прил(2011г)чистовик'!J690</f>
        <v>4948.8</v>
      </c>
      <c r="F48" s="102">
        <f>'[2]10 прил(2011г)чистовик'!K690</f>
        <v>0</v>
      </c>
      <c r="G48" s="102">
        <v>2980.8773</v>
      </c>
      <c r="H48" s="103">
        <v>4961.744</v>
      </c>
      <c r="I48" s="103">
        <v>4456.5057</v>
      </c>
      <c r="J48" s="98">
        <f t="shared" si="0"/>
        <v>89.81732431177424</v>
      </c>
      <c r="K48" s="99">
        <f t="shared" si="1"/>
        <v>0.6991895201250302</v>
      </c>
      <c r="L48" s="99">
        <f t="shared" si="2"/>
        <v>149.50315801324663</v>
      </c>
    </row>
    <row r="49" spans="2:12" ht="15">
      <c r="B49" s="100" t="s">
        <v>415</v>
      </c>
      <c r="C49" s="101" t="s">
        <v>378</v>
      </c>
      <c r="D49" s="101" t="s">
        <v>362</v>
      </c>
      <c r="E49" s="102">
        <f>'[2]10 прил(2011г)чистовик'!J691</f>
        <v>749.9</v>
      </c>
      <c r="F49" s="102">
        <f>'[2]10 прил(2011г)чистовик'!K691</f>
        <v>0</v>
      </c>
      <c r="G49" s="102">
        <v>667.1315</v>
      </c>
      <c r="H49" s="103">
        <v>793.853</v>
      </c>
      <c r="I49" s="103">
        <v>793.45611</v>
      </c>
      <c r="J49" s="98">
        <f t="shared" si="0"/>
        <v>99.95000459782857</v>
      </c>
      <c r="K49" s="99">
        <f t="shared" si="1"/>
        <v>0.12448681414031922</v>
      </c>
      <c r="L49" s="99">
        <f t="shared" si="2"/>
        <v>118.93548873048267</v>
      </c>
    </row>
    <row r="50" spans="2:12" ht="15">
      <c r="B50" s="100" t="s">
        <v>416</v>
      </c>
      <c r="C50" s="101" t="s">
        <v>378</v>
      </c>
      <c r="D50" s="101" t="s">
        <v>378</v>
      </c>
      <c r="E50" s="102"/>
      <c r="F50" s="102"/>
      <c r="G50" s="102">
        <v>487.1693</v>
      </c>
      <c r="H50" s="103">
        <v>800</v>
      </c>
      <c r="I50" s="103">
        <v>779.54184</v>
      </c>
      <c r="J50" s="98">
        <f t="shared" si="0"/>
        <v>97.44273</v>
      </c>
      <c r="K50" s="99">
        <f t="shared" si="1"/>
        <v>0.12230377827789676</v>
      </c>
      <c r="L50" s="99">
        <f t="shared" si="2"/>
        <v>160.0145657782623</v>
      </c>
    </row>
    <row r="51" spans="2:12" ht="15">
      <c r="B51" s="95" t="s">
        <v>417</v>
      </c>
      <c r="C51" s="470" t="s">
        <v>418</v>
      </c>
      <c r="D51" s="470"/>
      <c r="E51" s="104">
        <f>SUM(E52:E56)</f>
        <v>66168.00839999999</v>
      </c>
      <c r="F51" s="104">
        <f>SUM(F52:F56)</f>
        <v>938.563</v>
      </c>
      <c r="G51" s="104">
        <f>SUM(G52:G56)</f>
        <v>203047.6329</v>
      </c>
      <c r="H51" s="104">
        <f>SUM(H52:H56)</f>
        <v>87609.95952</v>
      </c>
      <c r="I51" s="104">
        <f>SUM(I52:I56)</f>
        <v>86495.7664</v>
      </c>
      <c r="J51" s="98">
        <f t="shared" si="0"/>
        <v>98.72823463667318</v>
      </c>
      <c r="K51" s="99">
        <f t="shared" si="1"/>
        <v>13.570482677058553</v>
      </c>
      <c r="L51" s="99">
        <f t="shared" si="2"/>
        <v>42.59875634334469</v>
      </c>
    </row>
    <row r="52" spans="2:12" ht="15">
      <c r="B52" s="100" t="s">
        <v>419</v>
      </c>
      <c r="C52" s="101" t="s">
        <v>420</v>
      </c>
      <c r="D52" s="101" t="s">
        <v>357</v>
      </c>
      <c r="E52" s="102">
        <f>'[2]10 прил(2011г)чистовик'!J696</f>
        <v>1593.18</v>
      </c>
      <c r="F52" s="102">
        <f>'[2]10 прил(2011г)чистовик'!K696</f>
        <v>0</v>
      </c>
      <c r="G52" s="102">
        <v>1414.8499</v>
      </c>
      <c r="H52" s="103">
        <v>1494.68</v>
      </c>
      <c r="I52" s="103">
        <v>1416.60196</v>
      </c>
      <c r="J52" s="98">
        <f t="shared" si="0"/>
        <v>94.7762705060615</v>
      </c>
      <c r="K52" s="99">
        <f t="shared" si="1"/>
        <v>0.22225333283441717</v>
      </c>
      <c r="L52" s="99">
        <f t="shared" si="2"/>
        <v>100.12383363069115</v>
      </c>
    </row>
    <row r="53" spans="2:12" ht="15">
      <c r="B53" s="100" t="s">
        <v>421</v>
      </c>
      <c r="C53" s="101" t="s">
        <v>420</v>
      </c>
      <c r="D53" s="101" t="s">
        <v>358</v>
      </c>
      <c r="E53" s="102">
        <f>'[2]10 прил(2011г)чистовик'!J697</f>
        <v>6711.6474</v>
      </c>
      <c r="F53" s="102">
        <f>'[2]10 прил(2011г)чистовик'!K697</f>
        <v>212.857</v>
      </c>
      <c r="G53" s="102">
        <v>8304.6394</v>
      </c>
      <c r="H53" s="103">
        <v>8644.28877</v>
      </c>
      <c r="I53" s="103">
        <v>8497.36262</v>
      </c>
      <c r="J53" s="98">
        <f t="shared" si="0"/>
        <v>98.30030955802972</v>
      </c>
      <c r="K53" s="99">
        <f t="shared" si="1"/>
        <v>1.3331671252223845</v>
      </c>
      <c r="L53" s="99">
        <f t="shared" si="2"/>
        <v>102.32066933574502</v>
      </c>
    </row>
    <row r="54" spans="2:12" ht="15">
      <c r="B54" s="100" t="s">
        <v>422</v>
      </c>
      <c r="C54" s="101" t="s">
        <v>420</v>
      </c>
      <c r="D54" s="101" t="s">
        <v>360</v>
      </c>
      <c r="E54" s="102">
        <f>'[2]10 прил(2011г)чистовик'!J698</f>
        <v>44962.2</v>
      </c>
      <c r="F54" s="102">
        <f>'[2]10 прил(2011г)чистовик'!K698</f>
        <v>725.706</v>
      </c>
      <c r="G54" s="102">
        <v>181261.6567</v>
      </c>
      <c r="H54" s="103">
        <v>53958.09711</v>
      </c>
      <c r="I54" s="103">
        <v>53269.05353</v>
      </c>
      <c r="J54" s="98">
        <f t="shared" si="0"/>
        <v>98.72300244651825</v>
      </c>
      <c r="K54" s="99">
        <f t="shared" si="1"/>
        <v>8.357481507351206</v>
      </c>
      <c r="L54" s="99">
        <f t="shared" si="2"/>
        <v>29.387932616197922</v>
      </c>
    </row>
    <row r="55" spans="2:12" ht="15">
      <c r="B55" s="100" t="s">
        <v>423</v>
      </c>
      <c r="C55" s="101" t="s">
        <v>420</v>
      </c>
      <c r="D55" s="101" t="s">
        <v>362</v>
      </c>
      <c r="E55" s="102">
        <f>'[2]10 прил(2011г)чистовик'!J699</f>
        <v>10903.6</v>
      </c>
      <c r="F55" s="102">
        <f>'[2]10 прил(2011г)чистовик'!K699</f>
        <v>0</v>
      </c>
      <c r="G55" s="102">
        <v>10427.0499</v>
      </c>
      <c r="H55" s="103">
        <v>21549.7</v>
      </c>
      <c r="I55" s="103">
        <v>21354.51885</v>
      </c>
      <c r="J55" s="98">
        <f t="shared" si="0"/>
        <v>99.09427439825149</v>
      </c>
      <c r="K55" s="99">
        <f t="shared" si="1"/>
        <v>3.3503504297621367</v>
      </c>
      <c r="L55" s="99">
        <f t="shared" si="2"/>
        <v>204.79923904459304</v>
      </c>
    </row>
    <row r="56" spans="2:12" ht="15">
      <c r="B56" s="100" t="s">
        <v>424</v>
      </c>
      <c r="C56" s="101" t="s">
        <v>420</v>
      </c>
      <c r="D56" s="101" t="s">
        <v>366</v>
      </c>
      <c r="E56" s="102">
        <f>'[2]10 прил(2011г)чистовик'!J700</f>
        <v>1997.3809999999999</v>
      </c>
      <c r="F56" s="102">
        <f>'[2]10 прил(2011г)чистовик'!K700</f>
        <v>0</v>
      </c>
      <c r="G56" s="102">
        <v>1639.437</v>
      </c>
      <c r="H56" s="103">
        <v>1963.19364</v>
      </c>
      <c r="I56" s="103">
        <v>1958.22944</v>
      </c>
      <c r="J56" s="98">
        <f t="shared" si="0"/>
        <v>99.74713650763456</v>
      </c>
      <c r="K56" s="99">
        <f t="shared" si="1"/>
        <v>0.3072302818884102</v>
      </c>
      <c r="L56" s="99">
        <f t="shared" si="2"/>
        <v>119.4452388228398</v>
      </c>
    </row>
    <row r="57" spans="2:12" ht="15" hidden="1">
      <c r="B57" s="95" t="s">
        <v>425</v>
      </c>
      <c r="C57" s="470" t="s">
        <v>426</v>
      </c>
      <c r="D57" s="471"/>
      <c r="E57" s="104" t="e">
        <f>E58+#REF!+#REF!+#REF!</f>
        <v>#REF!</v>
      </c>
      <c r="F57" s="104" t="e">
        <f>F58+#REF!+#REF!+#REF!</f>
        <v>#REF!</v>
      </c>
      <c r="G57" s="104"/>
      <c r="H57" s="104">
        <f>H58</f>
        <v>0</v>
      </c>
      <c r="I57" s="104">
        <f>I58</f>
        <v>0</v>
      </c>
      <c r="J57" s="98" t="e">
        <f t="shared" si="0"/>
        <v>#DIV/0!</v>
      </c>
      <c r="K57" s="99">
        <f t="shared" si="1"/>
        <v>0</v>
      </c>
      <c r="L57" s="99" t="e">
        <f t="shared" si="2"/>
        <v>#DIV/0!</v>
      </c>
    </row>
    <row r="58" spans="2:12" ht="29.25" customHeight="1" hidden="1">
      <c r="B58" s="100" t="s">
        <v>168</v>
      </c>
      <c r="C58" s="101" t="s">
        <v>389</v>
      </c>
      <c r="D58" s="101" t="s">
        <v>357</v>
      </c>
      <c r="E58" s="102" t="e">
        <f>'[2]10 прил(2011г)чистовик'!J702</f>
        <v>#REF!</v>
      </c>
      <c r="F58" s="102" t="e">
        <f>'[2]10 прил(2011г)чистовик'!K702</f>
        <v>#REF!</v>
      </c>
      <c r="G58" s="102"/>
      <c r="H58" s="103"/>
      <c r="I58" s="103"/>
      <c r="J58" s="98" t="e">
        <f t="shared" si="0"/>
        <v>#DIV/0!</v>
      </c>
      <c r="K58" s="99">
        <f t="shared" si="1"/>
        <v>0</v>
      </c>
      <c r="L58" s="99" t="e">
        <f t="shared" si="2"/>
        <v>#DIV/0!</v>
      </c>
    </row>
    <row r="59" spans="2:12" ht="17.25" customHeight="1">
      <c r="B59" s="95" t="s">
        <v>427</v>
      </c>
      <c r="C59" s="470" t="s">
        <v>426</v>
      </c>
      <c r="D59" s="470"/>
      <c r="E59" s="104"/>
      <c r="F59" s="104"/>
      <c r="G59" s="105">
        <f>G60</f>
        <v>964.8</v>
      </c>
      <c r="H59" s="105">
        <f>H60</f>
        <v>1358.183</v>
      </c>
      <c r="I59" s="105">
        <f>I60</f>
        <v>1358.183</v>
      </c>
      <c r="J59" s="98">
        <f t="shared" si="0"/>
        <v>100</v>
      </c>
      <c r="K59" s="99">
        <f t="shared" si="1"/>
        <v>0.21308787286235803</v>
      </c>
      <c r="L59" s="99">
        <f t="shared" si="2"/>
        <v>140.7735281923715</v>
      </c>
    </row>
    <row r="60" spans="2:12" ht="17.25" customHeight="1">
      <c r="B60" s="100" t="s">
        <v>428</v>
      </c>
      <c r="C60" s="101" t="s">
        <v>389</v>
      </c>
      <c r="D60" s="101" t="s">
        <v>357</v>
      </c>
      <c r="E60" s="102"/>
      <c r="F60" s="102"/>
      <c r="G60" s="102">
        <v>964.8</v>
      </c>
      <c r="H60" s="103">
        <v>1358.183</v>
      </c>
      <c r="I60" s="103">
        <v>1358.183</v>
      </c>
      <c r="J60" s="98">
        <f t="shared" si="0"/>
        <v>100</v>
      </c>
      <c r="K60" s="99">
        <f t="shared" si="1"/>
        <v>0.21308787286235803</v>
      </c>
      <c r="L60" s="99">
        <f t="shared" si="2"/>
        <v>140.7735281923715</v>
      </c>
    </row>
    <row r="61" spans="2:12" ht="17.25" customHeight="1">
      <c r="B61" s="95" t="s">
        <v>429</v>
      </c>
      <c r="C61" s="470" t="s">
        <v>430</v>
      </c>
      <c r="D61" s="470"/>
      <c r="E61" s="104"/>
      <c r="F61" s="104"/>
      <c r="G61" s="105">
        <f>G62</f>
        <v>950</v>
      </c>
      <c r="H61" s="105">
        <f>H62</f>
        <v>966.721</v>
      </c>
      <c r="I61" s="105">
        <f>I62</f>
        <v>966.721</v>
      </c>
      <c r="J61" s="98">
        <f t="shared" si="0"/>
        <v>100</v>
      </c>
      <c r="K61" s="99">
        <f t="shared" si="1"/>
        <v>0.1516706670171631</v>
      </c>
      <c r="L61" s="99">
        <f t="shared" si="2"/>
        <v>101.76010526315788</v>
      </c>
    </row>
    <row r="62" spans="2:12" ht="17.25" customHeight="1">
      <c r="B62" s="100" t="s">
        <v>408</v>
      </c>
      <c r="C62" s="101" t="s">
        <v>391</v>
      </c>
      <c r="D62" s="101" t="s">
        <v>358</v>
      </c>
      <c r="E62" s="102"/>
      <c r="F62" s="102"/>
      <c r="G62" s="102">
        <v>950</v>
      </c>
      <c r="H62" s="103">
        <v>966.721</v>
      </c>
      <c r="I62" s="103">
        <v>966.721</v>
      </c>
      <c r="J62" s="98">
        <f t="shared" si="0"/>
        <v>100</v>
      </c>
      <c r="K62" s="99">
        <f t="shared" si="1"/>
        <v>0.1516706670171631</v>
      </c>
      <c r="L62" s="99">
        <f t="shared" si="2"/>
        <v>101.76010526315788</v>
      </c>
    </row>
    <row r="63" spans="2:12" ht="17.25" customHeight="1">
      <c r="B63" s="95" t="s">
        <v>431</v>
      </c>
      <c r="C63" s="470" t="s">
        <v>432</v>
      </c>
      <c r="D63" s="470"/>
      <c r="E63" s="102"/>
      <c r="F63" s="102"/>
      <c r="G63" s="105">
        <f>G64</f>
        <v>106.9849</v>
      </c>
      <c r="H63" s="105">
        <f>H64</f>
        <v>160.44296</v>
      </c>
      <c r="I63" s="105">
        <f>I64</f>
        <v>160.44296</v>
      </c>
      <c r="J63" s="98">
        <f t="shared" si="0"/>
        <v>100</v>
      </c>
      <c r="K63" s="99">
        <f t="shared" si="1"/>
        <v>0.025172196281458684</v>
      </c>
      <c r="L63" s="99">
        <f t="shared" si="2"/>
        <v>149.9678552767727</v>
      </c>
    </row>
    <row r="64" spans="2:12" ht="28.5" customHeight="1">
      <c r="B64" s="100" t="s">
        <v>433</v>
      </c>
      <c r="C64" s="101" t="s">
        <v>370</v>
      </c>
      <c r="D64" s="101" t="s">
        <v>357</v>
      </c>
      <c r="E64" s="102"/>
      <c r="F64" s="102"/>
      <c r="G64" s="102">
        <v>106.9849</v>
      </c>
      <c r="H64" s="103">
        <v>160.44296</v>
      </c>
      <c r="I64" s="103">
        <v>160.44296</v>
      </c>
      <c r="J64" s="98">
        <f t="shared" si="0"/>
        <v>100</v>
      </c>
      <c r="K64" s="99">
        <f t="shared" si="1"/>
        <v>0.025172196281458684</v>
      </c>
      <c r="L64" s="99">
        <f t="shared" si="2"/>
        <v>149.9678552767727</v>
      </c>
    </row>
    <row r="65" spans="2:12" ht="27.75" customHeight="1">
      <c r="B65" s="95" t="s">
        <v>434</v>
      </c>
      <c r="C65" s="470" t="s">
        <v>435</v>
      </c>
      <c r="D65" s="470"/>
      <c r="E65" s="104"/>
      <c r="F65" s="104"/>
      <c r="G65" s="105">
        <f>G66+G67+G68</f>
        <v>37865.814</v>
      </c>
      <c r="H65" s="105">
        <f>H66+H67+H68</f>
        <v>34900.998</v>
      </c>
      <c r="I65" s="105">
        <f>I66+I67+I68</f>
        <v>34900.928</v>
      </c>
      <c r="J65" s="98">
        <f t="shared" si="0"/>
        <v>99.99979943266952</v>
      </c>
      <c r="K65" s="99">
        <f t="shared" si="1"/>
        <v>5.475671914935109</v>
      </c>
      <c r="L65" s="99">
        <f t="shared" si="2"/>
        <v>92.17001911011342</v>
      </c>
    </row>
    <row r="66" spans="2:12" ht="28.5" customHeight="1">
      <c r="B66" s="100" t="s">
        <v>436</v>
      </c>
      <c r="C66" s="101" t="s">
        <v>380</v>
      </c>
      <c r="D66" s="101" t="s">
        <v>357</v>
      </c>
      <c r="E66" s="102"/>
      <c r="F66" s="102"/>
      <c r="G66" s="102">
        <v>22962.26</v>
      </c>
      <c r="H66" s="103">
        <v>25131.672</v>
      </c>
      <c r="I66" s="103">
        <v>25131.672</v>
      </c>
      <c r="J66" s="98">
        <f t="shared" si="0"/>
        <v>100</v>
      </c>
      <c r="K66" s="99">
        <f t="shared" si="1"/>
        <v>3.9429550568329037</v>
      </c>
      <c r="L66" s="99">
        <f t="shared" si="2"/>
        <v>109.44772857723935</v>
      </c>
    </row>
    <row r="67" spans="2:12" ht="17.25" customHeight="1" hidden="1">
      <c r="B67" s="100" t="s">
        <v>437</v>
      </c>
      <c r="C67" s="101" t="s">
        <v>380</v>
      </c>
      <c r="D67" s="101" t="s">
        <v>358</v>
      </c>
      <c r="E67" s="102"/>
      <c r="F67" s="102"/>
      <c r="G67" s="102">
        <v>5025.94</v>
      </c>
      <c r="H67" s="103">
        <f>'[3]10 прил(гл.расп,расх) правка'!J806</f>
        <v>0</v>
      </c>
      <c r="I67" s="103"/>
      <c r="J67" s="98" t="e">
        <f t="shared" si="0"/>
        <v>#DIV/0!</v>
      </c>
      <c r="K67" s="99">
        <f t="shared" si="1"/>
        <v>0</v>
      </c>
      <c r="L67" s="99">
        <f t="shared" si="2"/>
        <v>0</v>
      </c>
    </row>
    <row r="68" spans="2:12" ht="42.75" customHeight="1">
      <c r="B68" s="100" t="s">
        <v>438</v>
      </c>
      <c r="C68" s="101" t="s">
        <v>380</v>
      </c>
      <c r="D68" s="101" t="s">
        <v>360</v>
      </c>
      <c r="E68" s="102"/>
      <c r="F68" s="102"/>
      <c r="G68" s="102">
        <v>9877.614</v>
      </c>
      <c r="H68" s="103">
        <v>9769.326</v>
      </c>
      <c r="I68" s="103">
        <v>9769.256</v>
      </c>
      <c r="J68" s="98">
        <f t="shared" si="0"/>
        <v>99.99928347155166</v>
      </c>
      <c r="K68" s="99">
        <f t="shared" si="1"/>
        <v>1.532716858102206</v>
      </c>
      <c r="L68" s="99">
        <f t="shared" si="2"/>
        <v>98.90299418462799</v>
      </c>
    </row>
    <row r="69" spans="2:12" ht="15">
      <c r="B69" s="95" t="s">
        <v>439</v>
      </c>
      <c r="C69" s="96"/>
      <c r="D69" s="96"/>
      <c r="E69" s="104" t="e">
        <f>E9+E19+E23+E30+E35+E41+E46+E51+E57</f>
        <v>#REF!</v>
      </c>
      <c r="F69" s="104" t="e">
        <f>F9+F19+F23+F30+F35+F41+F46+F51+F57</f>
        <v>#REF!</v>
      </c>
      <c r="G69" s="104">
        <f>G9+G17+G19+G23+G30+G35+G41+G46+G51+G59+G61+G63+G65</f>
        <v>563907.5213000001</v>
      </c>
      <c r="H69" s="104">
        <f>H9+H17+H19+H23+H30+H35+H41+H46+H51+H59+H61+H63+H65</f>
        <v>648108.1803900001</v>
      </c>
      <c r="I69" s="104">
        <f>I9+I17+I19+I23+I30+I35+I41+I46+I51+I59+I61+I63+I65</f>
        <v>637381.6522699998</v>
      </c>
      <c r="J69" s="98">
        <f t="shared" si="0"/>
        <v>98.34494788917098</v>
      </c>
      <c r="K69" s="99">
        <f t="shared" si="1"/>
        <v>100.00000035614451</v>
      </c>
      <c r="L69" s="99">
        <f t="shared" si="2"/>
        <v>113.02946461870498</v>
      </c>
    </row>
    <row r="70" spans="6:10" ht="15">
      <c r="F70" s="78"/>
      <c r="G70" s="78">
        <v>563907.52</v>
      </c>
      <c r="H70" s="107">
        <v>648104.22239</v>
      </c>
      <c r="I70" s="78">
        <v>637381.65227</v>
      </c>
      <c r="J70" s="108"/>
    </row>
    <row r="71" spans="5:10" ht="15">
      <c r="E71" s="78"/>
      <c r="F71" s="78"/>
      <c r="G71" s="78">
        <f>G69-G70</f>
        <v>0.0013000001199543476</v>
      </c>
      <c r="H71" s="78">
        <f>H69-H70</f>
        <v>3.958000000100583</v>
      </c>
      <c r="I71" s="78">
        <f>I69-I70</f>
        <v>0</v>
      </c>
      <c r="J71" s="109">
        <f>J69-J70</f>
        <v>98.34494788917098</v>
      </c>
    </row>
  </sheetData>
  <sheetProtection/>
  <mergeCells count="18">
    <mergeCell ref="C51:D51"/>
    <mergeCell ref="C57:D57"/>
    <mergeCell ref="C59:D59"/>
    <mergeCell ref="C61:D61"/>
    <mergeCell ref="C63:D63"/>
    <mergeCell ref="C65:D65"/>
    <mergeCell ref="C19:D19"/>
    <mergeCell ref="C23:D23"/>
    <mergeCell ref="C30:D30"/>
    <mergeCell ref="C35:D35"/>
    <mergeCell ref="C41:D41"/>
    <mergeCell ref="C46:D46"/>
    <mergeCell ref="I2:L2"/>
    <mergeCell ref="I3:L3"/>
    <mergeCell ref="B5:J5"/>
    <mergeCell ref="B6:J6"/>
    <mergeCell ref="C9:D9"/>
    <mergeCell ref="C17:D17"/>
  </mergeCells>
  <printOptions/>
  <pageMargins left="0.984251968503937" right="0.3937007874015748" top="0" bottom="0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T1017"/>
  <sheetViews>
    <sheetView view="pageBreakPreview" zoomScaleSheetLayoutView="100" zoomScalePageLayoutView="0" workbookViewId="0" topLeftCell="A718">
      <selection activeCell="R463" sqref="R463"/>
    </sheetView>
  </sheetViews>
  <sheetFormatPr defaultColWidth="9.140625" defaultRowHeight="15"/>
  <cols>
    <col min="1" max="1" width="35.8515625" style="110" customWidth="1"/>
    <col min="2" max="2" width="7.00390625" style="110" customWidth="1"/>
    <col min="3" max="3" width="6.7109375" style="110" customWidth="1"/>
    <col min="4" max="4" width="5.140625" style="110" customWidth="1"/>
    <col min="5" max="5" width="9.7109375" style="110" customWidth="1"/>
    <col min="6" max="6" width="5.57421875" style="110" customWidth="1"/>
    <col min="7" max="7" width="0.13671875" style="110" customWidth="1"/>
    <col min="8" max="8" width="13.8515625" style="110" hidden="1" customWidth="1"/>
    <col min="9" max="9" width="12.57421875" style="110" hidden="1" customWidth="1"/>
    <col min="10" max="10" width="14.421875" style="108" customWidth="1"/>
    <col min="11" max="11" width="14.7109375" style="112" customWidth="1"/>
    <col min="12" max="12" width="14.57421875" style="112" customWidth="1"/>
    <col min="13" max="13" width="13.28125" style="111" hidden="1" customWidth="1"/>
    <col min="14" max="14" width="13.8515625" style="111" hidden="1" customWidth="1"/>
    <col min="15" max="15" width="19.28125" style="110" customWidth="1"/>
    <col min="16" max="16" width="12.8515625" style="110" bestFit="1" customWidth="1"/>
    <col min="17" max="17" width="14.140625" style="110" hidden="1" customWidth="1"/>
    <col min="18" max="18" width="14.00390625" style="110" bestFit="1" customWidth="1"/>
    <col min="19" max="19" width="13.28125" style="110" customWidth="1"/>
    <col min="20" max="20" width="11.00390625" style="110" bestFit="1" customWidth="1"/>
    <col min="21" max="16384" width="9.140625" style="110" customWidth="1"/>
  </cols>
  <sheetData>
    <row r="2" spans="5:10" ht="15">
      <c r="E2" s="486" t="s">
        <v>1005</v>
      </c>
      <c r="F2" s="487"/>
      <c r="G2" s="487"/>
      <c r="H2" s="487"/>
      <c r="I2" s="487"/>
      <c r="J2" s="487"/>
    </row>
    <row r="3" spans="5:14" ht="45.75" customHeight="1">
      <c r="E3" s="488" t="s">
        <v>1006</v>
      </c>
      <c r="F3" s="488"/>
      <c r="G3" s="488"/>
      <c r="H3" s="488"/>
      <c r="I3" s="488"/>
      <c r="J3" s="488"/>
      <c r="K3" s="488"/>
      <c r="L3" s="488"/>
      <c r="M3" s="489"/>
      <c r="N3" s="489"/>
    </row>
    <row r="4" spans="5:16" ht="15">
      <c r="E4" s="452"/>
      <c r="F4" s="452"/>
      <c r="G4" s="452"/>
      <c r="H4" s="452"/>
      <c r="I4" s="452"/>
      <c r="J4" s="451"/>
      <c r="K4" s="451"/>
      <c r="L4" s="451"/>
      <c r="M4" s="87"/>
      <c r="N4" s="87"/>
      <c r="O4" s="321">
        <f>L165+L210+L218+L414+L432+L436+L438+L447+L681</f>
        <v>894.701208593787</v>
      </c>
      <c r="P4" s="166">
        <f>L145+L470</f>
        <v>154.04723786287607</v>
      </c>
    </row>
    <row r="5" spans="1:14" ht="15">
      <c r="A5" s="490" t="s">
        <v>343</v>
      </c>
      <c r="B5" s="491"/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87"/>
      <c r="N5" s="87"/>
    </row>
    <row r="6" spans="1:14" ht="51" customHeight="1">
      <c r="A6" s="468" t="s">
        <v>1011</v>
      </c>
      <c r="B6" s="492"/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110"/>
      <c r="N6" s="110"/>
    </row>
    <row r="7" ht="15.75" thickBot="1"/>
    <row r="8" spans="1:14" ht="12.75" customHeight="1">
      <c r="A8" s="472" t="s">
        <v>1004</v>
      </c>
      <c r="B8" s="472" t="s">
        <v>1003</v>
      </c>
      <c r="C8" s="472"/>
      <c r="D8" s="472"/>
      <c r="E8" s="472"/>
      <c r="F8" s="472"/>
      <c r="G8" s="493" t="s">
        <v>1001</v>
      </c>
      <c r="H8" s="494" t="s">
        <v>1002</v>
      </c>
      <c r="I8" s="472" t="s">
        <v>1001</v>
      </c>
      <c r="J8" s="474" t="s">
        <v>1014</v>
      </c>
      <c r="K8" s="476" t="s">
        <v>1012</v>
      </c>
      <c r="L8" s="478" t="s">
        <v>351</v>
      </c>
      <c r="M8" s="480" t="s">
        <v>1001</v>
      </c>
      <c r="N8" s="483" t="s">
        <v>1000</v>
      </c>
    </row>
    <row r="9" spans="1:14" ht="15">
      <c r="A9" s="472"/>
      <c r="B9" s="472" t="s">
        <v>999</v>
      </c>
      <c r="C9" s="472"/>
      <c r="D9" s="472"/>
      <c r="E9" s="472"/>
      <c r="F9" s="472"/>
      <c r="G9" s="493"/>
      <c r="H9" s="495"/>
      <c r="I9" s="473"/>
      <c r="J9" s="475"/>
      <c r="K9" s="477"/>
      <c r="L9" s="479"/>
      <c r="M9" s="481"/>
      <c r="N9" s="484"/>
    </row>
    <row r="10" spans="1:14" ht="129" customHeight="1" thickBot="1">
      <c r="A10" s="472"/>
      <c r="B10" s="450" t="s">
        <v>998</v>
      </c>
      <c r="C10" s="449" t="s">
        <v>997</v>
      </c>
      <c r="D10" s="449" t="s">
        <v>996</v>
      </c>
      <c r="E10" s="449" t="s">
        <v>995</v>
      </c>
      <c r="F10" s="449" t="s">
        <v>994</v>
      </c>
      <c r="G10" s="493"/>
      <c r="H10" s="495"/>
      <c r="I10" s="473"/>
      <c r="J10" s="475"/>
      <c r="K10" s="477"/>
      <c r="L10" s="479"/>
      <c r="M10" s="482"/>
      <c r="N10" s="485"/>
    </row>
    <row r="11" spans="1:14" ht="15.75" thickBot="1">
      <c r="A11" s="92" t="s">
        <v>993</v>
      </c>
      <c r="B11" s="92">
        <v>1</v>
      </c>
      <c r="C11" s="92">
        <v>2</v>
      </c>
      <c r="D11" s="92">
        <v>3</v>
      </c>
      <c r="E11" s="92">
        <v>4</v>
      </c>
      <c r="F11" s="92">
        <v>5</v>
      </c>
      <c r="G11" s="92"/>
      <c r="H11" s="448"/>
      <c r="I11" s="447"/>
      <c r="J11" s="446">
        <v>6</v>
      </c>
      <c r="K11" s="445">
        <v>7</v>
      </c>
      <c r="L11" s="444">
        <v>8</v>
      </c>
      <c r="M11" s="443">
        <v>7</v>
      </c>
      <c r="N11" s="442">
        <v>8</v>
      </c>
    </row>
    <row r="12" spans="1:18" ht="15.75" thickBot="1">
      <c r="A12" s="441" t="s">
        <v>992</v>
      </c>
      <c r="B12" s="440" t="s">
        <v>956</v>
      </c>
      <c r="C12" s="218"/>
      <c r="D12" s="218"/>
      <c r="E12" s="218"/>
      <c r="F12" s="218"/>
      <c r="G12" s="439">
        <f>G13+G20</f>
        <v>749.74424</v>
      </c>
      <c r="H12" s="439">
        <f>H13+H20</f>
        <v>38033.2</v>
      </c>
      <c r="I12" s="439">
        <f>I13+I20</f>
        <v>0</v>
      </c>
      <c r="J12" s="164">
        <f>J13+J20</f>
        <v>27566.91885</v>
      </c>
      <c r="K12" s="268">
        <f>K13+K20</f>
        <v>21855.2648</v>
      </c>
      <c r="L12" s="172">
        <f aca="true" t="shared" si="0" ref="L12:L75">K12/J12*100</f>
        <v>79.2807673535122</v>
      </c>
      <c r="M12" s="438">
        <f>M13+M20</f>
        <v>-317.84000000000003</v>
      </c>
      <c r="N12" s="437" t="e">
        <f>N13+N20</f>
        <v>#DIV/0!</v>
      </c>
      <c r="O12" s="166">
        <f aca="true" t="shared" si="1" ref="O12:O75">J12+K12-L12</f>
        <v>49342.902882646486</v>
      </c>
      <c r="P12" s="110">
        <v>8935.25</v>
      </c>
      <c r="R12" s="166">
        <f>O12-P12</f>
        <v>40407.652882646486</v>
      </c>
    </row>
    <row r="13" spans="1:15" ht="15" hidden="1">
      <c r="A13" s="241" t="s">
        <v>953</v>
      </c>
      <c r="B13" s="436" t="s">
        <v>956</v>
      </c>
      <c r="C13" s="436" t="s">
        <v>368</v>
      </c>
      <c r="D13" s="218"/>
      <c r="E13" s="218"/>
      <c r="F13" s="218"/>
      <c r="G13" s="323">
        <f>G14</f>
        <v>0</v>
      </c>
      <c r="H13" s="323">
        <f>H14</f>
        <v>131</v>
      </c>
      <c r="I13" s="323">
        <f>I14</f>
        <v>0</v>
      </c>
      <c r="J13" s="248">
        <f>J14</f>
        <v>0</v>
      </c>
      <c r="K13" s="240">
        <f>K14</f>
        <v>0</v>
      </c>
      <c r="L13" s="214" t="e">
        <f t="shared" si="0"/>
        <v>#DIV/0!</v>
      </c>
      <c r="M13" s="364">
        <f>M14</f>
        <v>0</v>
      </c>
      <c r="N13" s="363" t="e">
        <f>N14</f>
        <v>#DIV/0!</v>
      </c>
      <c r="O13" s="166" t="e">
        <f t="shared" si="1"/>
        <v>#DIV/0!</v>
      </c>
    </row>
    <row r="14" spans="1:15" ht="43.5" hidden="1">
      <c r="A14" s="293" t="s">
        <v>991</v>
      </c>
      <c r="B14" s="143" t="s">
        <v>956</v>
      </c>
      <c r="C14" s="143" t="s">
        <v>368</v>
      </c>
      <c r="D14" s="143" t="s">
        <v>364</v>
      </c>
      <c r="E14" s="218"/>
      <c r="F14" s="218"/>
      <c r="G14" s="217">
        <f>G15+G18</f>
        <v>0</v>
      </c>
      <c r="H14" s="217">
        <f>H15+H18</f>
        <v>131</v>
      </c>
      <c r="I14" s="217">
        <f>I15+I18</f>
        <v>0</v>
      </c>
      <c r="J14" s="215">
        <f>J15+J18</f>
        <v>0</v>
      </c>
      <c r="K14" s="215">
        <f>K15+K18</f>
        <v>0</v>
      </c>
      <c r="L14" s="214" t="e">
        <f t="shared" si="0"/>
        <v>#DIV/0!</v>
      </c>
      <c r="M14" s="276">
        <f>M15+M18</f>
        <v>0</v>
      </c>
      <c r="N14" s="235" t="e">
        <f>N15+N18</f>
        <v>#DIV/0!</v>
      </c>
      <c r="O14" s="166" t="e">
        <f t="shared" si="1"/>
        <v>#DIV/0!</v>
      </c>
    </row>
    <row r="15" spans="1:15" ht="30" hidden="1">
      <c r="A15" s="106" t="s">
        <v>595</v>
      </c>
      <c r="B15" s="218" t="s">
        <v>956</v>
      </c>
      <c r="C15" s="218" t="s">
        <v>368</v>
      </c>
      <c r="D15" s="218" t="s">
        <v>364</v>
      </c>
      <c r="E15" s="218" t="s">
        <v>594</v>
      </c>
      <c r="F15" s="218"/>
      <c r="G15" s="217">
        <f aca="true" t="shared" si="2" ref="G15:K16">G16</f>
        <v>-125</v>
      </c>
      <c r="H15" s="217">
        <f t="shared" si="2"/>
        <v>131</v>
      </c>
      <c r="I15" s="217">
        <f t="shared" si="2"/>
        <v>0</v>
      </c>
      <c r="J15" s="215">
        <f t="shared" si="2"/>
        <v>0</v>
      </c>
      <c r="K15" s="215">
        <f t="shared" si="2"/>
        <v>0</v>
      </c>
      <c r="L15" s="214" t="e">
        <f t="shared" si="0"/>
        <v>#DIV/0!</v>
      </c>
      <c r="M15" s="276">
        <f>M16</f>
        <v>0</v>
      </c>
      <c r="N15" s="235" t="e">
        <f>N16</f>
        <v>#DIV/0!</v>
      </c>
      <c r="O15" s="166" t="e">
        <f t="shared" si="1"/>
        <v>#DIV/0!</v>
      </c>
    </row>
    <row r="16" spans="1:15" ht="30" hidden="1">
      <c r="A16" s="106" t="s">
        <v>592</v>
      </c>
      <c r="B16" s="218" t="s">
        <v>956</v>
      </c>
      <c r="C16" s="218" t="s">
        <v>368</v>
      </c>
      <c r="D16" s="218" t="s">
        <v>364</v>
      </c>
      <c r="E16" s="218" t="s">
        <v>593</v>
      </c>
      <c r="F16" s="218"/>
      <c r="G16" s="217">
        <f t="shared" si="2"/>
        <v>-125</v>
      </c>
      <c r="H16" s="217">
        <f t="shared" si="2"/>
        <v>131</v>
      </c>
      <c r="I16" s="217">
        <f t="shared" si="2"/>
        <v>0</v>
      </c>
      <c r="J16" s="215">
        <f t="shared" si="2"/>
        <v>0</v>
      </c>
      <c r="K16" s="215">
        <f t="shared" si="2"/>
        <v>0</v>
      </c>
      <c r="L16" s="214" t="e">
        <f t="shared" si="0"/>
        <v>#DIV/0!</v>
      </c>
      <c r="M16" s="276">
        <f>M17</f>
        <v>0</v>
      </c>
      <c r="N16" s="235" t="e">
        <f>N17</f>
        <v>#DIV/0!</v>
      </c>
      <c r="O16" s="166" t="e">
        <f t="shared" si="1"/>
        <v>#DIV/0!</v>
      </c>
    </row>
    <row r="17" spans="1:15" ht="30" hidden="1">
      <c r="A17" s="106" t="s">
        <v>701</v>
      </c>
      <c r="B17" s="218" t="s">
        <v>956</v>
      </c>
      <c r="C17" s="218" t="s">
        <v>368</v>
      </c>
      <c r="D17" s="218" t="s">
        <v>364</v>
      </c>
      <c r="E17" s="218" t="s">
        <v>593</v>
      </c>
      <c r="F17" s="218" t="s">
        <v>488</v>
      </c>
      <c r="G17" s="217">
        <v>-125</v>
      </c>
      <c r="H17" s="217">
        <v>131</v>
      </c>
      <c r="I17" s="217"/>
      <c r="J17" s="215">
        <v>0</v>
      </c>
      <c r="K17" s="215"/>
      <c r="L17" s="214" t="e">
        <f t="shared" si="0"/>
        <v>#DIV/0!</v>
      </c>
      <c r="M17" s="276"/>
      <c r="N17" s="235" t="e">
        <f>L17+M17</f>
        <v>#DIV/0!</v>
      </c>
      <c r="O17" s="166" t="e">
        <f t="shared" si="1"/>
        <v>#DIV/0!</v>
      </c>
    </row>
    <row r="18" spans="1:15" ht="30" hidden="1">
      <c r="A18" s="106" t="s">
        <v>592</v>
      </c>
      <c r="B18" s="218" t="s">
        <v>956</v>
      </c>
      <c r="C18" s="218" t="s">
        <v>368</v>
      </c>
      <c r="D18" s="218" t="s">
        <v>364</v>
      </c>
      <c r="E18" s="218" t="s">
        <v>591</v>
      </c>
      <c r="F18" s="218"/>
      <c r="G18" s="217">
        <f>G19</f>
        <v>125</v>
      </c>
      <c r="H18" s="217">
        <f>H19</f>
        <v>0</v>
      </c>
      <c r="I18" s="217">
        <f>I19</f>
        <v>0</v>
      </c>
      <c r="J18" s="215">
        <f>J19</f>
        <v>0</v>
      </c>
      <c r="K18" s="215">
        <f>K19</f>
        <v>0</v>
      </c>
      <c r="L18" s="214" t="e">
        <f t="shared" si="0"/>
        <v>#DIV/0!</v>
      </c>
      <c r="M18" s="276">
        <f>M19</f>
        <v>0</v>
      </c>
      <c r="N18" s="235" t="e">
        <f>N19</f>
        <v>#DIV/0!</v>
      </c>
      <c r="O18" s="166" t="e">
        <f t="shared" si="1"/>
        <v>#DIV/0!</v>
      </c>
    </row>
    <row r="19" spans="1:15" ht="30" hidden="1">
      <c r="A19" s="106" t="s">
        <v>491</v>
      </c>
      <c r="B19" s="218" t="s">
        <v>956</v>
      </c>
      <c r="C19" s="218" t="s">
        <v>368</v>
      </c>
      <c r="D19" s="218" t="s">
        <v>364</v>
      </c>
      <c r="E19" s="218" t="s">
        <v>591</v>
      </c>
      <c r="F19" s="218" t="s">
        <v>488</v>
      </c>
      <c r="G19" s="217">
        <v>125</v>
      </c>
      <c r="H19" s="217"/>
      <c r="I19" s="217"/>
      <c r="J19" s="215"/>
      <c r="K19" s="215"/>
      <c r="L19" s="214" t="e">
        <f t="shared" si="0"/>
        <v>#DIV/0!</v>
      </c>
      <c r="M19" s="276"/>
      <c r="N19" s="235" t="e">
        <f>L19+M19</f>
        <v>#DIV/0!</v>
      </c>
      <c r="O19" s="166" t="e">
        <f t="shared" si="1"/>
        <v>#DIV/0!</v>
      </c>
    </row>
    <row r="20" spans="1:15" ht="15">
      <c r="A20" s="223" t="s">
        <v>839</v>
      </c>
      <c r="B20" s="222" t="s">
        <v>956</v>
      </c>
      <c r="C20" s="222" t="s">
        <v>378</v>
      </c>
      <c r="D20" s="218"/>
      <c r="E20" s="218"/>
      <c r="F20" s="218"/>
      <c r="G20" s="217">
        <f>G21+G40+G83+G60</f>
        <v>749.74424</v>
      </c>
      <c r="H20" s="217">
        <f>H21+H40+H83+H60</f>
        <v>37902.2</v>
      </c>
      <c r="I20" s="217">
        <f>I21+I40+I83+I60</f>
        <v>0</v>
      </c>
      <c r="J20" s="215">
        <f>J21+J40+J83+J60+J65</f>
        <v>27566.91885</v>
      </c>
      <c r="K20" s="215">
        <f>K21+K40+K83+K60+K65</f>
        <v>21855.2648</v>
      </c>
      <c r="L20" s="214">
        <f t="shared" si="0"/>
        <v>79.2807673535122</v>
      </c>
      <c r="M20" s="276">
        <f>M21+M40+M83+M60</f>
        <v>-317.84000000000003</v>
      </c>
      <c r="N20" s="235" t="e">
        <f>N21+N40+N83+N60</f>
        <v>#DIV/0!</v>
      </c>
      <c r="O20" s="166">
        <f t="shared" si="1"/>
        <v>49342.902882646486</v>
      </c>
    </row>
    <row r="21" spans="1:15" ht="29.25" customHeight="1">
      <c r="A21" s="293" t="s">
        <v>413</v>
      </c>
      <c r="B21" s="143" t="s">
        <v>956</v>
      </c>
      <c r="C21" s="143" t="s">
        <v>378</v>
      </c>
      <c r="D21" s="143" t="s">
        <v>357</v>
      </c>
      <c r="E21" s="218"/>
      <c r="F21" s="218"/>
      <c r="G21" s="323">
        <f>G27+G31+G22</f>
        <v>-5232</v>
      </c>
      <c r="H21" s="323">
        <f>H27+H31+H22</f>
        <v>30796.129999999997</v>
      </c>
      <c r="I21" s="323">
        <f>I27+I31+I22</f>
        <v>0</v>
      </c>
      <c r="J21" s="240">
        <f>J27+J31+J22+J38+J25</f>
        <v>21011.32185</v>
      </c>
      <c r="K21" s="240">
        <f>K27+K31+K22+K38+K25</f>
        <v>15825.761149999998</v>
      </c>
      <c r="L21" s="214">
        <f t="shared" si="0"/>
        <v>75.32015959291013</v>
      </c>
      <c r="M21" s="320">
        <f>M27+M31+M22+M38</f>
        <v>-1006.6600000000001</v>
      </c>
      <c r="N21" s="322" t="e">
        <f>N27+N31+N22+N38</f>
        <v>#DIV/0!</v>
      </c>
      <c r="O21" s="166">
        <f t="shared" si="1"/>
        <v>36761.762840407086</v>
      </c>
    </row>
    <row r="22" spans="1:15" ht="29.25" customHeight="1" hidden="1">
      <c r="A22" s="357" t="s">
        <v>779</v>
      </c>
      <c r="B22" s="218" t="s">
        <v>956</v>
      </c>
      <c r="C22" s="218" t="s">
        <v>378</v>
      </c>
      <c r="D22" s="218" t="s">
        <v>357</v>
      </c>
      <c r="E22" s="218" t="s">
        <v>778</v>
      </c>
      <c r="F22" s="218"/>
      <c r="G22" s="241">
        <f aca="true" t="shared" si="3" ref="G22:K23">G23</f>
        <v>320</v>
      </c>
      <c r="H22" s="241">
        <f t="shared" si="3"/>
        <v>0</v>
      </c>
      <c r="I22" s="241">
        <f t="shared" si="3"/>
        <v>0</v>
      </c>
      <c r="J22" s="240">
        <f t="shared" si="3"/>
        <v>0</v>
      </c>
      <c r="K22" s="240">
        <f t="shared" si="3"/>
        <v>0</v>
      </c>
      <c r="L22" s="214" t="e">
        <f t="shared" si="0"/>
        <v>#DIV/0!</v>
      </c>
      <c r="M22" s="287">
        <f>M23</f>
        <v>0</v>
      </c>
      <c r="N22" s="286" t="e">
        <f>N23</f>
        <v>#DIV/0!</v>
      </c>
      <c r="O22" s="166" t="e">
        <f t="shared" si="1"/>
        <v>#DIV/0!</v>
      </c>
    </row>
    <row r="23" spans="1:15" ht="21.75" customHeight="1" hidden="1">
      <c r="A23" s="357" t="s">
        <v>990</v>
      </c>
      <c r="B23" s="218" t="s">
        <v>956</v>
      </c>
      <c r="C23" s="218" t="s">
        <v>378</v>
      </c>
      <c r="D23" s="218" t="s">
        <v>357</v>
      </c>
      <c r="E23" s="218" t="s">
        <v>989</v>
      </c>
      <c r="F23" s="218"/>
      <c r="G23" s="241">
        <f t="shared" si="3"/>
        <v>320</v>
      </c>
      <c r="H23" s="241">
        <f t="shared" si="3"/>
        <v>0</v>
      </c>
      <c r="I23" s="241">
        <f t="shared" si="3"/>
        <v>0</v>
      </c>
      <c r="J23" s="240">
        <f t="shared" si="3"/>
        <v>0</v>
      </c>
      <c r="K23" s="240">
        <f t="shared" si="3"/>
        <v>0</v>
      </c>
      <c r="L23" s="214" t="e">
        <f t="shared" si="0"/>
        <v>#DIV/0!</v>
      </c>
      <c r="M23" s="287">
        <f>M24</f>
        <v>0</v>
      </c>
      <c r="N23" s="286" t="e">
        <f>N24</f>
        <v>#DIV/0!</v>
      </c>
      <c r="O23" s="166" t="e">
        <f t="shared" si="1"/>
        <v>#DIV/0!</v>
      </c>
    </row>
    <row r="24" spans="1:15" ht="23.25" customHeight="1" hidden="1">
      <c r="A24" s="106" t="s">
        <v>500</v>
      </c>
      <c r="B24" s="218" t="s">
        <v>956</v>
      </c>
      <c r="C24" s="218" t="s">
        <v>378</v>
      </c>
      <c r="D24" s="218" t="s">
        <v>357</v>
      </c>
      <c r="E24" s="218" t="s">
        <v>989</v>
      </c>
      <c r="F24" s="218" t="s">
        <v>498</v>
      </c>
      <c r="G24" s="241">
        <v>320</v>
      </c>
      <c r="H24" s="217"/>
      <c r="I24" s="241"/>
      <c r="J24" s="215">
        <f>H24+I24</f>
        <v>0</v>
      </c>
      <c r="K24" s="240"/>
      <c r="L24" s="214" t="e">
        <f t="shared" si="0"/>
        <v>#DIV/0!</v>
      </c>
      <c r="M24" s="287"/>
      <c r="N24" s="235" t="e">
        <f>L24+M24</f>
        <v>#DIV/0!</v>
      </c>
      <c r="O24" s="166" t="e">
        <f t="shared" si="1"/>
        <v>#DIV/0!</v>
      </c>
    </row>
    <row r="25" spans="1:15" ht="77.25" customHeight="1">
      <c r="A25" s="106" t="s">
        <v>988</v>
      </c>
      <c r="B25" s="218" t="s">
        <v>956</v>
      </c>
      <c r="C25" s="218" t="s">
        <v>378</v>
      </c>
      <c r="D25" s="218" t="s">
        <v>357</v>
      </c>
      <c r="E25" s="218" t="s">
        <v>987</v>
      </c>
      <c r="F25" s="218"/>
      <c r="G25" s="241"/>
      <c r="H25" s="217"/>
      <c r="I25" s="241"/>
      <c r="J25" s="215">
        <f>J26</f>
        <v>3816.78585</v>
      </c>
      <c r="K25" s="215">
        <f>K26</f>
        <v>3803.50636</v>
      </c>
      <c r="L25" s="214">
        <f t="shared" si="0"/>
        <v>99.65207662882108</v>
      </c>
      <c r="M25" s="287"/>
      <c r="N25" s="235"/>
      <c r="O25" s="166">
        <f t="shared" si="1"/>
        <v>7520.640133371178</v>
      </c>
    </row>
    <row r="26" spans="1:15" ht="30">
      <c r="A26" s="106" t="s">
        <v>500</v>
      </c>
      <c r="B26" s="218" t="s">
        <v>956</v>
      </c>
      <c r="C26" s="218" t="s">
        <v>378</v>
      </c>
      <c r="D26" s="218" t="s">
        <v>357</v>
      </c>
      <c r="E26" s="218" t="s">
        <v>987</v>
      </c>
      <c r="F26" s="218" t="s">
        <v>498</v>
      </c>
      <c r="G26" s="241"/>
      <c r="H26" s="217"/>
      <c r="I26" s="241"/>
      <c r="J26" s="215">
        <v>3816.78585</v>
      </c>
      <c r="K26" s="215">
        <v>3803.50636</v>
      </c>
      <c r="L26" s="214">
        <f t="shared" si="0"/>
        <v>99.65207662882108</v>
      </c>
      <c r="M26" s="287"/>
      <c r="N26" s="235"/>
      <c r="O26" s="166">
        <f t="shared" si="1"/>
        <v>7520.640133371178</v>
      </c>
    </row>
    <row r="27" spans="1:15" ht="30">
      <c r="A27" s="106" t="s">
        <v>986</v>
      </c>
      <c r="B27" s="218" t="s">
        <v>956</v>
      </c>
      <c r="C27" s="218" t="s">
        <v>378</v>
      </c>
      <c r="D27" s="218" t="s">
        <v>357</v>
      </c>
      <c r="E27" s="218" t="s">
        <v>985</v>
      </c>
      <c r="F27" s="218"/>
      <c r="G27" s="216">
        <f>G28</f>
        <v>-1834</v>
      </c>
      <c r="H27" s="216">
        <f>H28</f>
        <v>26303.19</v>
      </c>
      <c r="I27" s="216">
        <f>I28</f>
        <v>0</v>
      </c>
      <c r="J27" s="215">
        <f>J28</f>
        <v>17194.536</v>
      </c>
      <c r="K27" s="215">
        <f>K28</f>
        <v>12022.254789999999</v>
      </c>
      <c r="L27" s="214">
        <f t="shared" si="0"/>
        <v>69.91904166532903</v>
      </c>
      <c r="M27" s="228">
        <f>M28</f>
        <v>-1747.96</v>
      </c>
      <c r="N27" s="227">
        <f>N28</f>
        <v>-1595.5567342606191</v>
      </c>
      <c r="O27" s="166">
        <f t="shared" si="1"/>
        <v>29146.87174833467</v>
      </c>
    </row>
    <row r="28" spans="1:15" ht="30">
      <c r="A28" s="106" t="s">
        <v>501</v>
      </c>
      <c r="B28" s="218" t="s">
        <v>956</v>
      </c>
      <c r="C28" s="218" t="s">
        <v>378</v>
      </c>
      <c r="D28" s="218" t="s">
        <v>357</v>
      </c>
      <c r="E28" s="218" t="s">
        <v>969</v>
      </c>
      <c r="F28" s="218"/>
      <c r="G28" s="216">
        <f>G29+G30</f>
        <v>-1834</v>
      </c>
      <c r="H28" s="216">
        <f>H29+H30</f>
        <v>26303.19</v>
      </c>
      <c r="I28" s="216">
        <f>I29+I30</f>
        <v>0</v>
      </c>
      <c r="J28" s="215">
        <f>J29+J30+J34+J36</f>
        <v>17194.536</v>
      </c>
      <c r="K28" s="215">
        <f>K29+K30+K34+K36</f>
        <v>12022.254789999999</v>
      </c>
      <c r="L28" s="214">
        <f t="shared" si="0"/>
        <v>69.91904166532903</v>
      </c>
      <c r="M28" s="228">
        <f>M29+M30</f>
        <v>-1747.96</v>
      </c>
      <c r="N28" s="227">
        <f>N29+N30</f>
        <v>-1595.5567342606191</v>
      </c>
      <c r="O28" s="166">
        <f t="shared" si="1"/>
        <v>29146.87174833467</v>
      </c>
    </row>
    <row r="29" spans="1:16" ht="30">
      <c r="A29" s="106" t="s">
        <v>500</v>
      </c>
      <c r="B29" s="218" t="s">
        <v>956</v>
      </c>
      <c r="C29" s="218" t="s">
        <v>378</v>
      </c>
      <c r="D29" s="218" t="s">
        <v>357</v>
      </c>
      <c r="E29" s="218" t="s">
        <v>969</v>
      </c>
      <c r="F29" s="218" t="s">
        <v>498</v>
      </c>
      <c r="G29" s="216">
        <f>-2164-3718+200-200+220+3718</f>
        <v>-1944</v>
      </c>
      <c r="H29" s="217">
        <v>25958.19</v>
      </c>
      <c r="I29" s="216"/>
      <c r="J29" s="215">
        <v>11319.536</v>
      </c>
      <c r="K29" s="215">
        <v>6325.69495</v>
      </c>
      <c r="L29" s="214">
        <f t="shared" si="0"/>
        <v>55.882988048273354</v>
      </c>
      <c r="M29" s="228">
        <f>-155.84+35.88-1595-33</f>
        <v>-1747.96</v>
      </c>
      <c r="N29" s="235">
        <f>L29+M29</f>
        <v>-1692.0770119517267</v>
      </c>
      <c r="O29" s="166">
        <f t="shared" si="1"/>
        <v>17589.347961951727</v>
      </c>
      <c r="P29" s="190">
        <f>L29-O29</f>
        <v>-17533.464973903454</v>
      </c>
    </row>
    <row r="30" spans="1:19" ht="60">
      <c r="A30" s="106" t="s">
        <v>944</v>
      </c>
      <c r="B30" s="218" t="s">
        <v>956</v>
      </c>
      <c r="C30" s="218" t="s">
        <v>378</v>
      </c>
      <c r="D30" s="218" t="s">
        <v>357</v>
      </c>
      <c r="E30" s="218" t="s">
        <v>984</v>
      </c>
      <c r="F30" s="218" t="s">
        <v>498</v>
      </c>
      <c r="G30" s="217">
        <v>110</v>
      </c>
      <c r="H30" s="217">
        <v>345</v>
      </c>
      <c r="I30" s="217"/>
      <c r="J30" s="215">
        <v>5128</v>
      </c>
      <c r="K30" s="215">
        <v>4949.55984</v>
      </c>
      <c r="L30" s="214">
        <f t="shared" si="0"/>
        <v>96.52027769110765</v>
      </c>
      <c r="M30" s="276"/>
      <c r="N30" s="235">
        <f>L30+M30</f>
        <v>96.52027769110765</v>
      </c>
      <c r="O30" s="166">
        <f t="shared" si="1"/>
        <v>9981.039562308892</v>
      </c>
      <c r="P30" s="166">
        <f>L30-O30</f>
        <v>-9884.519284617783</v>
      </c>
      <c r="S30" s="166">
        <f>L30+L117+L710+L158</f>
        <v>395.6583606811018</v>
      </c>
    </row>
    <row r="31" spans="1:15" ht="24.75" customHeight="1" hidden="1">
      <c r="A31" s="106" t="s">
        <v>981</v>
      </c>
      <c r="B31" s="218" t="s">
        <v>956</v>
      </c>
      <c r="C31" s="218" t="s">
        <v>378</v>
      </c>
      <c r="D31" s="218" t="s">
        <v>357</v>
      </c>
      <c r="E31" s="218" t="s">
        <v>980</v>
      </c>
      <c r="F31" s="218"/>
      <c r="G31" s="217">
        <f aca="true" t="shared" si="4" ref="G31:K32">G32</f>
        <v>-3718</v>
      </c>
      <c r="H31" s="217">
        <f t="shared" si="4"/>
        <v>4492.94</v>
      </c>
      <c r="I31" s="217">
        <f t="shared" si="4"/>
        <v>0</v>
      </c>
      <c r="J31" s="215">
        <f t="shared" si="4"/>
        <v>0</v>
      </c>
      <c r="K31" s="215">
        <f t="shared" si="4"/>
        <v>0</v>
      </c>
      <c r="L31" s="214" t="e">
        <f t="shared" si="0"/>
        <v>#DIV/0!</v>
      </c>
      <c r="M31" s="276">
        <f>M32</f>
        <v>0</v>
      </c>
      <c r="N31" s="235" t="e">
        <f>N32</f>
        <v>#DIV/0!</v>
      </c>
      <c r="O31" s="166" t="e">
        <f t="shared" si="1"/>
        <v>#DIV/0!</v>
      </c>
    </row>
    <row r="32" spans="1:15" ht="21" customHeight="1" hidden="1">
      <c r="A32" s="106" t="s">
        <v>501</v>
      </c>
      <c r="B32" s="218" t="s">
        <v>956</v>
      </c>
      <c r="C32" s="218" t="s">
        <v>378</v>
      </c>
      <c r="D32" s="218" t="s">
        <v>357</v>
      </c>
      <c r="E32" s="218" t="s">
        <v>979</v>
      </c>
      <c r="F32" s="218"/>
      <c r="G32" s="217">
        <f t="shared" si="4"/>
        <v>-3718</v>
      </c>
      <c r="H32" s="217">
        <f t="shared" si="4"/>
        <v>4492.94</v>
      </c>
      <c r="I32" s="217">
        <f t="shared" si="4"/>
        <v>0</v>
      </c>
      <c r="J32" s="215">
        <f t="shared" si="4"/>
        <v>0</v>
      </c>
      <c r="K32" s="215">
        <f t="shared" si="4"/>
        <v>0</v>
      </c>
      <c r="L32" s="214" t="e">
        <f t="shared" si="0"/>
        <v>#DIV/0!</v>
      </c>
      <c r="M32" s="276">
        <f>M33</f>
        <v>0</v>
      </c>
      <c r="N32" s="235" t="e">
        <f>N33</f>
        <v>#DIV/0!</v>
      </c>
      <c r="O32" s="166" t="e">
        <f t="shared" si="1"/>
        <v>#DIV/0!</v>
      </c>
    </row>
    <row r="33" spans="1:15" ht="29.25" customHeight="1" hidden="1">
      <c r="A33" s="106" t="s">
        <v>514</v>
      </c>
      <c r="B33" s="218" t="s">
        <v>956</v>
      </c>
      <c r="C33" s="218" t="s">
        <v>378</v>
      </c>
      <c r="D33" s="218" t="s">
        <v>357</v>
      </c>
      <c r="E33" s="218" t="s">
        <v>979</v>
      </c>
      <c r="F33" s="218" t="s">
        <v>498</v>
      </c>
      <c r="G33" s="217">
        <v>-3718</v>
      </c>
      <c r="H33" s="217">
        <v>4492.94</v>
      </c>
      <c r="I33" s="217"/>
      <c r="J33" s="215"/>
      <c r="K33" s="215"/>
      <c r="L33" s="214" t="e">
        <f t="shared" si="0"/>
        <v>#DIV/0!</v>
      </c>
      <c r="M33" s="276"/>
      <c r="N33" s="235" t="e">
        <f>L33+M33</f>
        <v>#DIV/0!</v>
      </c>
      <c r="O33" s="166" t="e">
        <f t="shared" si="1"/>
        <v>#DIV/0!</v>
      </c>
    </row>
    <row r="34" spans="1:19" ht="41.25" customHeight="1">
      <c r="A34" s="106" t="s">
        <v>933</v>
      </c>
      <c r="B34" s="218" t="s">
        <v>956</v>
      </c>
      <c r="C34" s="218" t="s">
        <v>378</v>
      </c>
      <c r="D34" s="218" t="s">
        <v>357</v>
      </c>
      <c r="E34" s="218" t="s">
        <v>983</v>
      </c>
      <c r="F34" s="218"/>
      <c r="G34" s="128"/>
      <c r="H34" s="217"/>
      <c r="I34" s="128"/>
      <c r="J34" s="215">
        <f>J35</f>
        <v>747</v>
      </c>
      <c r="K34" s="215">
        <f>K35</f>
        <v>747</v>
      </c>
      <c r="L34" s="214">
        <f t="shared" si="0"/>
        <v>100</v>
      </c>
      <c r="M34" s="276"/>
      <c r="N34" s="235"/>
      <c r="O34" s="166">
        <f t="shared" si="1"/>
        <v>1394</v>
      </c>
      <c r="S34" s="166">
        <f>K35+K52+K120</f>
        <v>8790.80095</v>
      </c>
    </row>
    <row r="35" spans="1:19" ht="29.25" customHeight="1">
      <c r="A35" s="106" t="s">
        <v>514</v>
      </c>
      <c r="B35" s="218" t="s">
        <v>956</v>
      </c>
      <c r="C35" s="218" t="s">
        <v>378</v>
      </c>
      <c r="D35" s="218" t="s">
        <v>357</v>
      </c>
      <c r="E35" s="218" t="s">
        <v>983</v>
      </c>
      <c r="F35" s="218" t="s">
        <v>498</v>
      </c>
      <c r="G35" s="128"/>
      <c r="H35" s="217"/>
      <c r="I35" s="128"/>
      <c r="J35" s="215">
        <v>747</v>
      </c>
      <c r="K35" s="215">
        <v>747</v>
      </c>
      <c r="L35" s="214">
        <f t="shared" si="0"/>
        <v>100</v>
      </c>
      <c r="M35" s="276"/>
      <c r="N35" s="235"/>
      <c r="O35" s="166">
        <f t="shared" si="1"/>
        <v>1394</v>
      </c>
      <c r="S35" s="166">
        <f>L122</f>
        <v>100</v>
      </c>
    </row>
    <row r="36" spans="1:15" ht="18.75" customHeight="1" hidden="1">
      <c r="A36" s="106" t="s">
        <v>516</v>
      </c>
      <c r="B36" s="218" t="s">
        <v>956</v>
      </c>
      <c r="C36" s="218" t="s">
        <v>378</v>
      </c>
      <c r="D36" s="218" t="s">
        <v>357</v>
      </c>
      <c r="E36" s="218" t="s">
        <v>982</v>
      </c>
      <c r="F36" s="218"/>
      <c r="G36" s="128"/>
      <c r="H36" s="217"/>
      <c r="I36" s="128"/>
      <c r="J36" s="215">
        <f>J37</f>
        <v>0</v>
      </c>
      <c r="K36" s="215">
        <f>K37</f>
        <v>0</v>
      </c>
      <c r="L36" s="214" t="e">
        <f t="shared" si="0"/>
        <v>#DIV/0!</v>
      </c>
      <c r="M36" s="276"/>
      <c r="N36" s="235"/>
      <c r="O36" s="166" t="e">
        <f t="shared" si="1"/>
        <v>#DIV/0!</v>
      </c>
    </row>
    <row r="37" spans="1:15" ht="15" customHeight="1" hidden="1">
      <c r="A37" s="106" t="s">
        <v>514</v>
      </c>
      <c r="B37" s="218" t="s">
        <v>956</v>
      </c>
      <c r="C37" s="218" t="s">
        <v>378</v>
      </c>
      <c r="D37" s="218" t="s">
        <v>357</v>
      </c>
      <c r="E37" s="218" t="s">
        <v>982</v>
      </c>
      <c r="F37" s="218" t="s">
        <v>498</v>
      </c>
      <c r="G37" s="128"/>
      <c r="H37" s="217"/>
      <c r="I37" s="128"/>
      <c r="J37" s="215"/>
      <c r="K37" s="215"/>
      <c r="L37" s="214" t="e">
        <f t="shared" si="0"/>
        <v>#DIV/0!</v>
      </c>
      <c r="M37" s="276"/>
      <c r="N37" s="235"/>
      <c r="O37" s="166" t="e">
        <f t="shared" si="1"/>
        <v>#DIV/0!</v>
      </c>
    </row>
    <row r="38" spans="1:15" ht="60.75" customHeight="1" hidden="1">
      <c r="A38" s="372" t="s">
        <v>838</v>
      </c>
      <c r="B38" s="279" t="s">
        <v>956</v>
      </c>
      <c r="C38" s="279" t="s">
        <v>378</v>
      </c>
      <c r="D38" s="279" t="s">
        <v>357</v>
      </c>
      <c r="E38" s="279" t="s">
        <v>836</v>
      </c>
      <c r="F38" s="279"/>
      <c r="G38" s="277"/>
      <c r="H38" s="278"/>
      <c r="I38" s="277"/>
      <c r="J38" s="275">
        <f>J39</f>
        <v>0</v>
      </c>
      <c r="K38" s="275">
        <f>K39</f>
        <v>0</v>
      </c>
      <c r="L38" s="214" t="e">
        <f t="shared" si="0"/>
        <v>#DIV/0!</v>
      </c>
      <c r="M38" s="276">
        <f>M39</f>
        <v>741.3</v>
      </c>
      <c r="N38" s="235" t="e">
        <f>N39</f>
        <v>#DIV/0!</v>
      </c>
      <c r="O38" s="166" t="e">
        <f t="shared" si="1"/>
        <v>#DIV/0!</v>
      </c>
    </row>
    <row r="39" spans="1:15" ht="15.75" customHeight="1" hidden="1">
      <c r="A39" s="372" t="s">
        <v>837</v>
      </c>
      <c r="B39" s="279" t="s">
        <v>956</v>
      </c>
      <c r="C39" s="279" t="s">
        <v>378</v>
      </c>
      <c r="D39" s="279" t="s">
        <v>357</v>
      </c>
      <c r="E39" s="279" t="s">
        <v>836</v>
      </c>
      <c r="F39" s="279" t="s">
        <v>835</v>
      </c>
      <c r="G39" s="277"/>
      <c r="H39" s="278"/>
      <c r="I39" s="277"/>
      <c r="J39" s="275"/>
      <c r="K39" s="275"/>
      <c r="L39" s="214" t="e">
        <f t="shared" si="0"/>
        <v>#DIV/0!</v>
      </c>
      <c r="M39" s="234">
        <v>741.3</v>
      </c>
      <c r="N39" s="231" t="e">
        <f>L39+M39</f>
        <v>#DIV/0!</v>
      </c>
      <c r="O39" s="166" t="e">
        <f t="shared" si="1"/>
        <v>#DIV/0!</v>
      </c>
    </row>
    <row r="40" spans="1:15" ht="15">
      <c r="A40" s="293" t="s">
        <v>414</v>
      </c>
      <c r="B40" s="143" t="s">
        <v>956</v>
      </c>
      <c r="C40" s="143" t="s">
        <v>378</v>
      </c>
      <c r="D40" s="143" t="s">
        <v>358</v>
      </c>
      <c r="E40" s="218"/>
      <c r="F40" s="218"/>
      <c r="G40" s="167">
        <f>G48+G57+G42</f>
        <v>3129.74424</v>
      </c>
      <c r="H40" s="167">
        <f>H48+H57+H42</f>
        <v>6056.41</v>
      </c>
      <c r="I40" s="167">
        <f>I48+I57+I42</f>
        <v>0</v>
      </c>
      <c r="J40" s="141">
        <f>J48+J57+J42+J55</f>
        <v>4961.744000000001</v>
      </c>
      <c r="K40" s="141">
        <f>K48+K57+K42+K55</f>
        <v>4456.505700000001</v>
      </c>
      <c r="L40" s="172">
        <f t="shared" si="0"/>
        <v>89.81732431177424</v>
      </c>
      <c r="M40" s="435">
        <f>M48+M57+M42+M55</f>
        <v>657.7</v>
      </c>
      <c r="N40" s="434" t="e">
        <f>N48+N57+N42+N55</f>
        <v>#DIV/0!</v>
      </c>
      <c r="O40" s="166">
        <f t="shared" si="1"/>
        <v>9328.432375688226</v>
      </c>
    </row>
    <row r="41" spans="1:15" ht="30">
      <c r="A41" s="106" t="s">
        <v>981</v>
      </c>
      <c r="B41" s="218" t="s">
        <v>956</v>
      </c>
      <c r="C41" s="218" t="s">
        <v>378</v>
      </c>
      <c r="D41" s="218" t="s">
        <v>358</v>
      </c>
      <c r="E41" s="218" t="s">
        <v>980</v>
      </c>
      <c r="F41" s="218"/>
      <c r="G41" s="167">
        <f>G42</f>
        <v>3718</v>
      </c>
      <c r="H41" s="167">
        <f>H42</f>
        <v>0</v>
      </c>
      <c r="I41" s="167">
        <f>I42</f>
        <v>0</v>
      </c>
      <c r="J41" s="215">
        <f>J42</f>
        <v>353.055</v>
      </c>
      <c r="K41" s="215">
        <f>K42</f>
        <v>346.24672</v>
      </c>
      <c r="L41" s="214">
        <f t="shared" si="0"/>
        <v>98.07160923935363</v>
      </c>
      <c r="M41" s="298">
        <f>M42</f>
        <v>163</v>
      </c>
      <c r="N41" s="300">
        <f>N42</f>
        <v>261.0716092393536</v>
      </c>
      <c r="O41" s="166">
        <f t="shared" si="1"/>
        <v>601.2301107606463</v>
      </c>
    </row>
    <row r="42" spans="1:15" ht="30">
      <c r="A42" s="106" t="s">
        <v>501</v>
      </c>
      <c r="B42" s="218" t="s">
        <v>956</v>
      </c>
      <c r="C42" s="218" t="s">
        <v>378</v>
      </c>
      <c r="D42" s="218" t="s">
        <v>358</v>
      </c>
      <c r="E42" s="218" t="s">
        <v>979</v>
      </c>
      <c r="F42" s="218"/>
      <c r="G42" s="128">
        <f>G43</f>
        <v>3718</v>
      </c>
      <c r="H42" s="168">
        <f>H43</f>
        <v>0</v>
      </c>
      <c r="I42" s="128">
        <f>I43</f>
        <v>0</v>
      </c>
      <c r="J42" s="215">
        <f>J43+J44+J46</f>
        <v>353.055</v>
      </c>
      <c r="K42" s="215">
        <f>K43+K44+K46</f>
        <v>346.24672</v>
      </c>
      <c r="L42" s="214">
        <f t="shared" si="0"/>
        <v>98.07160923935363</v>
      </c>
      <c r="M42" s="228">
        <f>M43</f>
        <v>163</v>
      </c>
      <c r="N42" s="235">
        <f>N43</f>
        <v>261.0716092393536</v>
      </c>
      <c r="O42" s="166">
        <f t="shared" si="1"/>
        <v>601.2301107606463</v>
      </c>
    </row>
    <row r="43" spans="1:16" ht="30">
      <c r="A43" s="106" t="s">
        <v>514</v>
      </c>
      <c r="B43" s="218" t="s">
        <v>956</v>
      </c>
      <c r="C43" s="218" t="s">
        <v>378</v>
      </c>
      <c r="D43" s="218" t="s">
        <v>358</v>
      </c>
      <c r="E43" s="218" t="s">
        <v>979</v>
      </c>
      <c r="F43" s="218" t="s">
        <v>498</v>
      </c>
      <c r="G43" s="128">
        <v>3718</v>
      </c>
      <c r="H43" s="217"/>
      <c r="I43" s="128"/>
      <c r="J43" s="215">
        <v>353.055</v>
      </c>
      <c r="K43" s="215">
        <v>346.24672</v>
      </c>
      <c r="L43" s="214">
        <f t="shared" si="0"/>
        <v>98.07160923935363</v>
      </c>
      <c r="M43" s="228">
        <f>16+147</f>
        <v>163</v>
      </c>
      <c r="N43" s="235">
        <f>L43+M43</f>
        <v>261.0716092393536</v>
      </c>
      <c r="O43" s="166">
        <f t="shared" si="1"/>
        <v>601.2301107606463</v>
      </c>
      <c r="P43" s="190">
        <f>L43-O43</f>
        <v>-503.1585015212927</v>
      </c>
    </row>
    <row r="44" spans="1:15" ht="45" hidden="1">
      <c r="A44" s="106" t="s">
        <v>933</v>
      </c>
      <c r="B44" s="218" t="s">
        <v>956</v>
      </c>
      <c r="C44" s="218" t="s">
        <v>378</v>
      </c>
      <c r="D44" s="218" t="s">
        <v>358</v>
      </c>
      <c r="E44" s="218" t="s">
        <v>978</v>
      </c>
      <c r="F44" s="218"/>
      <c r="G44" s="128"/>
      <c r="H44" s="217"/>
      <c r="I44" s="128"/>
      <c r="J44" s="215">
        <f>J45</f>
        <v>0</v>
      </c>
      <c r="K44" s="215">
        <f>K45</f>
        <v>0</v>
      </c>
      <c r="L44" s="214" t="e">
        <f t="shared" si="0"/>
        <v>#DIV/0!</v>
      </c>
      <c r="M44" s="228"/>
      <c r="N44" s="235"/>
      <c r="O44" s="166" t="e">
        <f t="shared" si="1"/>
        <v>#DIV/0!</v>
      </c>
    </row>
    <row r="45" spans="1:15" ht="30" hidden="1">
      <c r="A45" s="106" t="s">
        <v>514</v>
      </c>
      <c r="B45" s="218" t="s">
        <v>956</v>
      </c>
      <c r="C45" s="218" t="s">
        <v>378</v>
      </c>
      <c r="D45" s="218" t="s">
        <v>358</v>
      </c>
      <c r="E45" s="218" t="s">
        <v>978</v>
      </c>
      <c r="F45" s="218" t="s">
        <v>498</v>
      </c>
      <c r="G45" s="128"/>
      <c r="H45" s="217"/>
      <c r="I45" s="128"/>
      <c r="J45" s="215"/>
      <c r="K45" s="215"/>
      <c r="L45" s="214" t="e">
        <f t="shared" si="0"/>
        <v>#DIV/0!</v>
      </c>
      <c r="M45" s="228"/>
      <c r="N45" s="235"/>
      <c r="O45" s="166" t="e">
        <f t="shared" si="1"/>
        <v>#DIV/0!</v>
      </c>
    </row>
    <row r="46" spans="1:15" ht="45" hidden="1">
      <c r="A46" s="106" t="s">
        <v>516</v>
      </c>
      <c r="B46" s="218" t="s">
        <v>956</v>
      </c>
      <c r="C46" s="218" t="s">
        <v>378</v>
      </c>
      <c r="D46" s="218" t="s">
        <v>358</v>
      </c>
      <c r="E46" s="218" t="s">
        <v>977</v>
      </c>
      <c r="F46" s="218"/>
      <c r="G46" s="128"/>
      <c r="H46" s="217"/>
      <c r="I46" s="128"/>
      <c r="J46" s="215">
        <f>J47</f>
        <v>0</v>
      </c>
      <c r="K46" s="215">
        <f>K47</f>
        <v>0</v>
      </c>
      <c r="L46" s="214" t="e">
        <f t="shared" si="0"/>
        <v>#DIV/0!</v>
      </c>
      <c r="M46" s="228"/>
      <c r="N46" s="235"/>
      <c r="O46" s="166" t="e">
        <f t="shared" si="1"/>
        <v>#DIV/0!</v>
      </c>
    </row>
    <row r="47" spans="1:15" ht="32.25" customHeight="1" hidden="1">
      <c r="A47" s="106" t="s">
        <v>514</v>
      </c>
      <c r="B47" s="218" t="s">
        <v>956</v>
      </c>
      <c r="C47" s="218" t="s">
        <v>378</v>
      </c>
      <c r="D47" s="218" t="s">
        <v>358</v>
      </c>
      <c r="E47" s="218" t="s">
        <v>977</v>
      </c>
      <c r="F47" s="218" t="s">
        <v>498</v>
      </c>
      <c r="G47" s="128"/>
      <c r="H47" s="217"/>
      <c r="I47" s="128"/>
      <c r="J47" s="215"/>
      <c r="K47" s="215"/>
      <c r="L47" s="214" t="e">
        <f t="shared" si="0"/>
        <v>#DIV/0!</v>
      </c>
      <c r="M47" s="228"/>
      <c r="N47" s="235"/>
      <c r="O47" s="166" t="e">
        <f t="shared" si="1"/>
        <v>#DIV/0!</v>
      </c>
    </row>
    <row r="48" spans="1:15" ht="15">
      <c r="A48" s="106" t="s">
        <v>976</v>
      </c>
      <c r="B48" s="218" t="s">
        <v>956</v>
      </c>
      <c r="C48" s="218" t="s">
        <v>378</v>
      </c>
      <c r="D48" s="218" t="s">
        <v>358</v>
      </c>
      <c r="E48" s="218" t="s">
        <v>975</v>
      </c>
      <c r="F48" s="218"/>
      <c r="G48" s="299">
        <f aca="true" t="shared" si="5" ref="G48:I49">G49</f>
        <v>0</v>
      </c>
      <c r="H48" s="299">
        <f t="shared" si="5"/>
        <v>4784.91</v>
      </c>
      <c r="I48" s="299">
        <f t="shared" si="5"/>
        <v>0</v>
      </c>
      <c r="J48" s="215">
        <f>J49+J51+J53</f>
        <v>2459.889</v>
      </c>
      <c r="K48" s="215">
        <f>K49+K51+K53</f>
        <v>2459.889</v>
      </c>
      <c r="L48" s="214">
        <f t="shared" si="0"/>
        <v>100</v>
      </c>
      <c r="M48" s="298">
        <f>M49</f>
        <v>1270</v>
      </c>
      <c r="N48" s="300">
        <f>N49</f>
        <v>1370</v>
      </c>
      <c r="O48" s="166">
        <f t="shared" si="1"/>
        <v>4819.778</v>
      </c>
    </row>
    <row r="49" spans="1:15" ht="30">
      <c r="A49" s="106" t="s">
        <v>501</v>
      </c>
      <c r="B49" s="218" t="s">
        <v>956</v>
      </c>
      <c r="C49" s="218" t="s">
        <v>378</v>
      </c>
      <c r="D49" s="218" t="s">
        <v>358</v>
      </c>
      <c r="E49" s="218" t="s">
        <v>974</v>
      </c>
      <c r="F49" s="218"/>
      <c r="G49" s="216">
        <f t="shared" si="5"/>
        <v>0</v>
      </c>
      <c r="H49" s="216">
        <f t="shared" si="5"/>
        <v>4784.91</v>
      </c>
      <c r="I49" s="216">
        <f t="shared" si="5"/>
        <v>0</v>
      </c>
      <c r="J49" s="215">
        <f>J50</f>
        <v>860.889</v>
      </c>
      <c r="K49" s="215">
        <f>K50</f>
        <v>860.889</v>
      </c>
      <c r="L49" s="214">
        <f t="shared" si="0"/>
        <v>100</v>
      </c>
      <c r="M49" s="228">
        <f>M50</f>
        <v>1270</v>
      </c>
      <c r="N49" s="227">
        <f>N50</f>
        <v>1370</v>
      </c>
      <c r="O49" s="166">
        <f t="shared" si="1"/>
        <v>1621.778</v>
      </c>
    </row>
    <row r="50" spans="1:16" ht="30">
      <c r="A50" s="106" t="s">
        <v>514</v>
      </c>
      <c r="B50" s="218" t="s">
        <v>956</v>
      </c>
      <c r="C50" s="218" t="s">
        <v>378</v>
      </c>
      <c r="D50" s="218" t="s">
        <v>358</v>
      </c>
      <c r="E50" s="218" t="s">
        <v>974</v>
      </c>
      <c r="F50" s="218" t="s">
        <v>498</v>
      </c>
      <c r="G50" s="216"/>
      <c r="H50" s="217">
        <v>4784.91</v>
      </c>
      <c r="I50" s="216"/>
      <c r="J50" s="215">
        <v>860.889</v>
      </c>
      <c r="K50" s="215">
        <v>860.889</v>
      </c>
      <c r="L50" s="214">
        <f t="shared" si="0"/>
        <v>100</v>
      </c>
      <c r="M50" s="228">
        <f>127+1143</f>
        <v>1270</v>
      </c>
      <c r="N50" s="235">
        <f>L50+M50</f>
        <v>1370</v>
      </c>
      <c r="O50" s="166">
        <f t="shared" si="1"/>
        <v>1621.778</v>
      </c>
      <c r="P50" s="190">
        <f>L50-O50</f>
        <v>-1521.778</v>
      </c>
    </row>
    <row r="51" spans="1:15" ht="45">
      <c r="A51" s="106" t="s">
        <v>933</v>
      </c>
      <c r="B51" s="218" t="s">
        <v>956</v>
      </c>
      <c r="C51" s="218" t="s">
        <v>378</v>
      </c>
      <c r="D51" s="218" t="s">
        <v>358</v>
      </c>
      <c r="E51" s="218" t="s">
        <v>973</v>
      </c>
      <c r="F51" s="218"/>
      <c r="G51" s="216"/>
      <c r="H51" s="217"/>
      <c r="I51" s="216"/>
      <c r="J51" s="215">
        <f>J52</f>
        <v>1599</v>
      </c>
      <c r="K51" s="215">
        <f>K52</f>
        <v>1599</v>
      </c>
      <c r="L51" s="214">
        <f t="shared" si="0"/>
        <v>100</v>
      </c>
      <c r="M51" s="228"/>
      <c r="N51" s="235"/>
      <c r="O51" s="166">
        <f t="shared" si="1"/>
        <v>3098</v>
      </c>
    </row>
    <row r="52" spans="1:15" ht="30">
      <c r="A52" s="106" t="s">
        <v>514</v>
      </c>
      <c r="B52" s="218" t="s">
        <v>956</v>
      </c>
      <c r="C52" s="218" t="s">
        <v>378</v>
      </c>
      <c r="D52" s="218" t="s">
        <v>358</v>
      </c>
      <c r="E52" s="218" t="s">
        <v>973</v>
      </c>
      <c r="F52" s="218" t="s">
        <v>498</v>
      </c>
      <c r="G52" s="216"/>
      <c r="H52" s="217"/>
      <c r="I52" s="216"/>
      <c r="J52" s="215">
        <v>1599</v>
      </c>
      <c r="K52" s="215">
        <v>1599</v>
      </c>
      <c r="L52" s="214">
        <f t="shared" si="0"/>
        <v>100</v>
      </c>
      <c r="M52" s="228"/>
      <c r="N52" s="235"/>
      <c r="O52" s="166">
        <f t="shared" si="1"/>
        <v>3098</v>
      </c>
    </row>
    <row r="53" spans="1:15" ht="45" hidden="1">
      <c r="A53" s="106" t="s">
        <v>516</v>
      </c>
      <c r="B53" s="218" t="s">
        <v>956</v>
      </c>
      <c r="C53" s="218" t="s">
        <v>378</v>
      </c>
      <c r="D53" s="218" t="s">
        <v>358</v>
      </c>
      <c r="E53" s="218" t="s">
        <v>972</v>
      </c>
      <c r="F53" s="218"/>
      <c r="G53" s="216"/>
      <c r="H53" s="217"/>
      <c r="I53" s="216"/>
      <c r="J53" s="215">
        <f>J54</f>
        <v>0</v>
      </c>
      <c r="K53" s="215">
        <f>K54</f>
        <v>0</v>
      </c>
      <c r="L53" s="214" t="e">
        <f t="shared" si="0"/>
        <v>#DIV/0!</v>
      </c>
      <c r="M53" s="228"/>
      <c r="N53" s="235"/>
      <c r="O53" s="166" t="e">
        <f t="shared" si="1"/>
        <v>#DIV/0!</v>
      </c>
    </row>
    <row r="54" spans="1:15" ht="30" hidden="1">
      <c r="A54" s="106" t="s">
        <v>514</v>
      </c>
      <c r="B54" s="218" t="s">
        <v>956</v>
      </c>
      <c r="C54" s="218" t="s">
        <v>378</v>
      </c>
      <c r="D54" s="218" t="s">
        <v>358</v>
      </c>
      <c r="E54" s="218" t="s">
        <v>972</v>
      </c>
      <c r="F54" s="218" t="s">
        <v>498</v>
      </c>
      <c r="G54" s="216"/>
      <c r="H54" s="217"/>
      <c r="I54" s="216"/>
      <c r="J54" s="215"/>
      <c r="K54" s="215"/>
      <c r="L54" s="214" t="e">
        <f t="shared" si="0"/>
        <v>#DIV/0!</v>
      </c>
      <c r="M54" s="228"/>
      <c r="N54" s="235"/>
      <c r="O54" s="166" t="e">
        <f t="shared" si="1"/>
        <v>#DIV/0!</v>
      </c>
    </row>
    <row r="55" spans="1:15" ht="12.75" customHeight="1" hidden="1">
      <c r="A55" s="106" t="s">
        <v>971</v>
      </c>
      <c r="B55" s="218" t="s">
        <v>956</v>
      </c>
      <c r="C55" s="218" t="s">
        <v>378</v>
      </c>
      <c r="D55" s="218" t="s">
        <v>358</v>
      </c>
      <c r="E55" s="218" t="s">
        <v>970</v>
      </c>
      <c r="F55" s="218"/>
      <c r="G55" s="216"/>
      <c r="H55" s="217"/>
      <c r="I55" s="216"/>
      <c r="J55" s="215">
        <f>J56</f>
        <v>0</v>
      </c>
      <c r="K55" s="215">
        <f>K56</f>
        <v>0</v>
      </c>
      <c r="L55" s="214" t="e">
        <f t="shared" si="0"/>
        <v>#DIV/0!</v>
      </c>
      <c r="M55" s="276">
        <f>M56</f>
        <v>-741.3</v>
      </c>
      <c r="N55" s="235" t="e">
        <f>N56</f>
        <v>#DIV/0!</v>
      </c>
      <c r="O55" s="166" t="e">
        <f t="shared" si="1"/>
        <v>#DIV/0!</v>
      </c>
    </row>
    <row r="56" spans="1:15" ht="12.75" customHeight="1" hidden="1">
      <c r="A56" s="106" t="s">
        <v>514</v>
      </c>
      <c r="B56" s="218" t="s">
        <v>956</v>
      </c>
      <c r="C56" s="218" t="s">
        <v>378</v>
      </c>
      <c r="D56" s="218" t="s">
        <v>358</v>
      </c>
      <c r="E56" s="218" t="s">
        <v>970</v>
      </c>
      <c r="F56" s="218" t="s">
        <v>498</v>
      </c>
      <c r="G56" s="216"/>
      <c r="H56" s="217"/>
      <c r="I56" s="216"/>
      <c r="J56" s="215"/>
      <c r="K56" s="215"/>
      <c r="L56" s="214" t="e">
        <f t="shared" si="0"/>
        <v>#DIV/0!</v>
      </c>
      <c r="M56" s="228">
        <v>-741.3</v>
      </c>
      <c r="N56" s="235" t="e">
        <f>L56+M56</f>
        <v>#DIV/0!</v>
      </c>
      <c r="O56" s="166" t="e">
        <f t="shared" si="1"/>
        <v>#DIV/0!</v>
      </c>
    </row>
    <row r="57" spans="1:15" ht="30">
      <c r="A57" s="106" t="s">
        <v>890</v>
      </c>
      <c r="B57" s="218" t="s">
        <v>956</v>
      </c>
      <c r="C57" s="218" t="s">
        <v>378</v>
      </c>
      <c r="D57" s="218" t="s">
        <v>358</v>
      </c>
      <c r="E57" s="218" t="s">
        <v>889</v>
      </c>
      <c r="F57" s="218"/>
      <c r="G57" s="299">
        <f aca="true" t="shared" si="6" ref="G57:K58">G58</f>
        <v>-588.25576</v>
      </c>
      <c r="H57" s="299">
        <f t="shared" si="6"/>
        <v>1271.5</v>
      </c>
      <c r="I57" s="299">
        <f t="shared" si="6"/>
        <v>0</v>
      </c>
      <c r="J57" s="215">
        <f t="shared" si="6"/>
        <v>2148.8</v>
      </c>
      <c r="K57" s="215">
        <f t="shared" si="6"/>
        <v>1650.36998</v>
      </c>
      <c r="L57" s="214">
        <f t="shared" si="0"/>
        <v>76.8042619136262</v>
      </c>
      <c r="M57" s="298">
        <f>M58</f>
        <v>-34</v>
      </c>
      <c r="N57" s="300">
        <f>N58</f>
        <v>42.804261913626206</v>
      </c>
      <c r="O57" s="166">
        <f t="shared" si="1"/>
        <v>3722.365718086374</v>
      </c>
    </row>
    <row r="58" spans="1:15" ht="75">
      <c r="A58" s="106" t="s">
        <v>968</v>
      </c>
      <c r="B58" s="218" t="s">
        <v>956</v>
      </c>
      <c r="C58" s="218" t="s">
        <v>378</v>
      </c>
      <c r="D58" s="218" t="s">
        <v>358</v>
      </c>
      <c r="E58" s="218" t="s">
        <v>967</v>
      </c>
      <c r="F58" s="218"/>
      <c r="G58" s="299">
        <f t="shared" si="6"/>
        <v>-588.25576</v>
      </c>
      <c r="H58" s="299">
        <f t="shared" si="6"/>
        <v>1271.5</v>
      </c>
      <c r="I58" s="299">
        <f t="shared" si="6"/>
        <v>0</v>
      </c>
      <c r="J58" s="215">
        <f t="shared" si="6"/>
        <v>2148.8</v>
      </c>
      <c r="K58" s="215">
        <f t="shared" si="6"/>
        <v>1650.36998</v>
      </c>
      <c r="L58" s="214">
        <f t="shared" si="0"/>
        <v>76.8042619136262</v>
      </c>
      <c r="M58" s="298">
        <f>M59</f>
        <v>-34</v>
      </c>
      <c r="N58" s="300">
        <f>N59</f>
        <v>42.804261913626206</v>
      </c>
      <c r="O58" s="166">
        <f t="shared" si="1"/>
        <v>3722.365718086374</v>
      </c>
    </row>
    <row r="59" spans="1:16" ht="30">
      <c r="A59" s="106" t="s">
        <v>514</v>
      </c>
      <c r="B59" s="218" t="s">
        <v>956</v>
      </c>
      <c r="C59" s="218" t="s">
        <v>378</v>
      </c>
      <c r="D59" s="218" t="s">
        <v>358</v>
      </c>
      <c r="E59" s="218" t="s">
        <v>967</v>
      </c>
      <c r="F59" s="218" t="s">
        <v>498</v>
      </c>
      <c r="G59" s="299">
        <f>99.74424-688</f>
        <v>-588.25576</v>
      </c>
      <c r="H59" s="217">
        <v>1271.5</v>
      </c>
      <c r="I59" s="299"/>
      <c r="J59" s="215">
        <v>2148.8</v>
      </c>
      <c r="K59" s="215">
        <v>1650.36998</v>
      </c>
      <c r="L59" s="214">
        <f t="shared" si="0"/>
        <v>76.8042619136262</v>
      </c>
      <c r="M59" s="298">
        <v>-34</v>
      </c>
      <c r="N59" s="303">
        <f>L59+M59</f>
        <v>42.804261913626206</v>
      </c>
      <c r="O59" s="166">
        <f t="shared" si="1"/>
        <v>3722.365718086374</v>
      </c>
      <c r="P59" s="166">
        <f>K59</f>
        <v>1650.36998</v>
      </c>
    </row>
    <row r="60" spans="1:15" ht="15">
      <c r="A60" s="293" t="s">
        <v>415</v>
      </c>
      <c r="B60" s="143" t="s">
        <v>956</v>
      </c>
      <c r="C60" s="143" t="s">
        <v>378</v>
      </c>
      <c r="D60" s="143" t="s">
        <v>362</v>
      </c>
      <c r="E60" s="143"/>
      <c r="F60" s="143"/>
      <c r="G60" s="128">
        <f>G61+G63</f>
        <v>2852</v>
      </c>
      <c r="H60" s="128">
        <f>H61+H63</f>
        <v>0</v>
      </c>
      <c r="I60" s="128">
        <f>I61+I63</f>
        <v>0</v>
      </c>
      <c r="J60" s="141">
        <f>J61+J63</f>
        <v>793.853</v>
      </c>
      <c r="K60" s="141">
        <f>K61+K63</f>
        <v>793.45611</v>
      </c>
      <c r="L60" s="172">
        <f t="shared" si="0"/>
        <v>99.95000459782857</v>
      </c>
      <c r="M60" s="228">
        <f>M61+M63</f>
        <v>-1.8800000000000026</v>
      </c>
      <c r="N60" s="227">
        <f>N61+N63</f>
        <v>198.06599401279087</v>
      </c>
      <c r="O60" s="166">
        <f t="shared" si="1"/>
        <v>1487.3591054021713</v>
      </c>
    </row>
    <row r="61" spans="1:15" ht="30">
      <c r="A61" s="106" t="s">
        <v>501</v>
      </c>
      <c r="B61" s="218" t="s">
        <v>956</v>
      </c>
      <c r="C61" s="218" t="s">
        <v>378</v>
      </c>
      <c r="D61" s="218" t="s">
        <v>362</v>
      </c>
      <c r="E61" s="218" t="s">
        <v>969</v>
      </c>
      <c r="F61" s="218"/>
      <c r="G61" s="216">
        <f>G62</f>
        <v>2164</v>
      </c>
      <c r="H61" s="216">
        <f>H62</f>
        <v>0</v>
      </c>
      <c r="I61" s="216">
        <f>I62</f>
        <v>0</v>
      </c>
      <c r="J61" s="215">
        <f>J62</f>
        <v>58.953</v>
      </c>
      <c r="K61" s="215">
        <f>K62</f>
        <v>58.953</v>
      </c>
      <c r="L61" s="214">
        <f t="shared" si="0"/>
        <v>100</v>
      </c>
      <c r="M61" s="228">
        <f>M62</f>
        <v>-35.88</v>
      </c>
      <c r="N61" s="235">
        <f>N62</f>
        <v>64.12</v>
      </c>
      <c r="O61" s="166">
        <f t="shared" si="1"/>
        <v>17.906000000000006</v>
      </c>
    </row>
    <row r="62" spans="1:16" ht="30">
      <c r="A62" s="106" t="s">
        <v>500</v>
      </c>
      <c r="B62" s="218" t="s">
        <v>956</v>
      </c>
      <c r="C62" s="218" t="s">
        <v>378</v>
      </c>
      <c r="D62" s="218" t="s">
        <v>362</v>
      </c>
      <c r="E62" s="218" t="s">
        <v>969</v>
      </c>
      <c r="F62" s="218" t="s">
        <v>498</v>
      </c>
      <c r="G62" s="216">
        <v>2164</v>
      </c>
      <c r="H62" s="217"/>
      <c r="I62" s="216"/>
      <c r="J62" s="215">
        <v>58.953</v>
      </c>
      <c r="K62" s="215">
        <v>58.953</v>
      </c>
      <c r="L62" s="214">
        <f t="shared" si="0"/>
        <v>100</v>
      </c>
      <c r="M62" s="228">
        <v>-35.88</v>
      </c>
      <c r="N62" s="235">
        <f>L62+M62</f>
        <v>64.12</v>
      </c>
      <c r="O62" s="166">
        <f t="shared" si="1"/>
        <v>17.906000000000006</v>
      </c>
      <c r="P62" s="190">
        <f>L62-O62</f>
        <v>82.094</v>
      </c>
    </row>
    <row r="63" spans="1:15" ht="75">
      <c r="A63" s="106" t="s">
        <v>968</v>
      </c>
      <c r="B63" s="218" t="s">
        <v>956</v>
      </c>
      <c r="C63" s="218" t="s">
        <v>378</v>
      </c>
      <c r="D63" s="218" t="s">
        <v>362</v>
      </c>
      <c r="E63" s="218" t="s">
        <v>967</v>
      </c>
      <c r="F63" s="218"/>
      <c r="G63" s="216">
        <f>G64</f>
        <v>688</v>
      </c>
      <c r="H63" s="217">
        <f>H64</f>
        <v>0</v>
      </c>
      <c r="I63" s="216">
        <f>I64</f>
        <v>0</v>
      </c>
      <c r="J63" s="215">
        <f>J64</f>
        <v>734.9</v>
      </c>
      <c r="K63" s="215">
        <f>K64</f>
        <v>734.50311</v>
      </c>
      <c r="L63" s="214">
        <f t="shared" si="0"/>
        <v>99.94599401279086</v>
      </c>
      <c r="M63" s="228">
        <f>M64</f>
        <v>34</v>
      </c>
      <c r="N63" s="235">
        <f>N64</f>
        <v>133.94599401279086</v>
      </c>
      <c r="O63" s="166">
        <f t="shared" si="1"/>
        <v>1369.4571159872091</v>
      </c>
    </row>
    <row r="64" spans="1:19" ht="30">
      <c r="A64" s="106" t="s">
        <v>514</v>
      </c>
      <c r="B64" s="218" t="s">
        <v>956</v>
      </c>
      <c r="C64" s="218" t="s">
        <v>378</v>
      </c>
      <c r="D64" s="218" t="s">
        <v>362</v>
      </c>
      <c r="E64" s="218" t="s">
        <v>967</v>
      </c>
      <c r="F64" s="218" t="s">
        <v>498</v>
      </c>
      <c r="G64" s="216">
        <v>688</v>
      </c>
      <c r="H64" s="217"/>
      <c r="I64" s="216"/>
      <c r="J64" s="215">
        <v>734.9</v>
      </c>
      <c r="K64" s="215">
        <v>734.50311</v>
      </c>
      <c r="L64" s="214">
        <f t="shared" si="0"/>
        <v>99.94599401279086</v>
      </c>
      <c r="M64" s="228">
        <v>34</v>
      </c>
      <c r="N64" s="235">
        <f>L64+M64</f>
        <v>133.94599401279086</v>
      </c>
      <c r="O64" s="166">
        <f t="shared" si="1"/>
        <v>1369.4571159872091</v>
      </c>
      <c r="P64" s="166">
        <f>K64</f>
        <v>734.50311</v>
      </c>
      <c r="R64" s="110">
        <f>O64+O59</f>
        <v>5091.822834073583</v>
      </c>
      <c r="S64" s="166">
        <f>L64+L59</f>
        <v>176.75025592641708</v>
      </c>
    </row>
    <row r="65" spans="1:15" ht="29.25">
      <c r="A65" s="293" t="s">
        <v>416</v>
      </c>
      <c r="B65" s="143" t="s">
        <v>956</v>
      </c>
      <c r="C65" s="143" t="s">
        <v>378</v>
      </c>
      <c r="D65" s="143" t="s">
        <v>378</v>
      </c>
      <c r="E65" s="143"/>
      <c r="F65" s="143"/>
      <c r="G65" s="128">
        <f aca="true" t="shared" si="7" ref="G65:I67">G66</f>
        <v>0</v>
      </c>
      <c r="H65" s="128">
        <f t="shared" si="7"/>
        <v>1049.66</v>
      </c>
      <c r="I65" s="128">
        <f t="shared" si="7"/>
        <v>0</v>
      </c>
      <c r="J65" s="141">
        <f>J66+J71+J75+J77+J73+J79+J81</f>
        <v>800</v>
      </c>
      <c r="K65" s="141">
        <f>K66+K71+K75+K77+K73+K79+K81</f>
        <v>779.54184</v>
      </c>
      <c r="L65" s="172">
        <f t="shared" si="0"/>
        <v>97.44273</v>
      </c>
      <c r="M65" s="228"/>
      <c r="N65" s="315"/>
      <c r="O65" s="166">
        <f t="shared" si="1"/>
        <v>1482.0991099999999</v>
      </c>
    </row>
    <row r="66" spans="1:15" ht="45" hidden="1">
      <c r="A66" s="106" t="s">
        <v>962</v>
      </c>
      <c r="B66" s="218" t="s">
        <v>956</v>
      </c>
      <c r="C66" s="218" t="s">
        <v>378</v>
      </c>
      <c r="D66" s="218" t="s">
        <v>378</v>
      </c>
      <c r="E66" s="218" t="s">
        <v>502</v>
      </c>
      <c r="F66" s="218"/>
      <c r="G66" s="216">
        <f t="shared" si="7"/>
        <v>0</v>
      </c>
      <c r="H66" s="216">
        <f t="shared" si="7"/>
        <v>1049.66</v>
      </c>
      <c r="I66" s="216">
        <f t="shared" si="7"/>
        <v>0</v>
      </c>
      <c r="J66" s="215">
        <f>J67</f>
        <v>0</v>
      </c>
      <c r="K66" s="215">
        <f>K67</f>
        <v>0</v>
      </c>
      <c r="L66" s="214" t="e">
        <f t="shared" si="0"/>
        <v>#DIV/0!</v>
      </c>
      <c r="M66" s="228"/>
      <c r="N66" s="315"/>
      <c r="O66" s="166" t="e">
        <f t="shared" si="1"/>
        <v>#DIV/0!</v>
      </c>
    </row>
    <row r="67" spans="1:15" ht="30" hidden="1">
      <c r="A67" s="106" t="s">
        <v>501</v>
      </c>
      <c r="B67" s="218" t="s">
        <v>956</v>
      </c>
      <c r="C67" s="218" t="s">
        <v>378</v>
      </c>
      <c r="D67" s="218" t="s">
        <v>378</v>
      </c>
      <c r="E67" s="218" t="s">
        <v>499</v>
      </c>
      <c r="F67" s="218"/>
      <c r="G67" s="216">
        <f t="shared" si="7"/>
        <v>0</v>
      </c>
      <c r="H67" s="216">
        <f t="shared" si="7"/>
        <v>1049.66</v>
      </c>
      <c r="I67" s="216">
        <f t="shared" si="7"/>
        <v>0</v>
      </c>
      <c r="J67" s="215">
        <f>J68</f>
        <v>0</v>
      </c>
      <c r="K67" s="215">
        <f>K68</f>
        <v>0</v>
      </c>
      <c r="L67" s="214" t="e">
        <f t="shared" si="0"/>
        <v>#DIV/0!</v>
      </c>
      <c r="M67" s="228"/>
      <c r="N67" s="315"/>
      <c r="O67" s="166" t="e">
        <f t="shared" si="1"/>
        <v>#DIV/0!</v>
      </c>
    </row>
    <row r="68" spans="1:15" ht="30" hidden="1">
      <c r="A68" s="106" t="s">
        <v>514</v>
      </c>
      <c r="B68" s="218" t="s">
        <v>956</v>
      </c>
      <c r="C68" s="218" t="s">
        <v>378</v>
      </c>
      <c r="D68" s="218" t="s">
        <v>378</v>
      </c>
      <c r="E68" s="218" t="s">
        <v>499</v>
      </c>
      <c r="F68" s="218" t="s">
        <v>498</v>
      </c>
      <c r="G68" s="309"/>
      <c r="H68" s="214">
        <v>1049.66</v>
      </c>
      <c r="I68" s="309"/>
      <c r="J68" s="215"/>
      <c r="K68" s="215"/>
      <c r="L68" s="214" t="e">
        <f t="shared" si="0"/>
        <v>#DIV/0!</v>
      </c>
      <c r="M68" s="228"/>
      <c r="N68" s="315"/>
      <c r="O68" s="166" t="e">
        <f t="shared" si="1"/>
        <v>#DIV/0!</v>
      </c>
    </row>
    <row r="69" spans="1:15" ht="60" hidden="1">
      <c r="A69" s="334" t="s">
        <v>961</v>
      </c>
      <c r="B69" s="425" t="s">
        <v>956</v>
      </c>
      <c r="C69" s="423" t="s">
        <v>378</v>
      </c>
      <c r="D69" s="423" t="s">
        <v>378</v>
      </c>
      <c r="E69" s="424">
        <v>7952014</v>
      </c>
      <c r="F69" s="423"/>
      <c r="G69" s="423"/>
      <c r="H69" s="214"/>
      <c r="I69" s="309"/>
      <c r="J69" s="215">
        <f>J70</f>
        <v>0</v>
      </c>
      <c r="K69" s="215">
        <f>K70</f>
        <v>0</v>
      </c>
      <c r="L69" s="214" t="e">
        <f t="shared" si="0"/>
        <v>#DIV/0!</v>
      </c>
      <c r="M69" s="228"/>
      <c r="N69" s="315"/>
      <c r="O69" s="166" t="e">
        <f t="shared" si="1"/>
        <v>#DIV/0!</v>
      </c>
    </row>
    <row r="70" spans="1:15" ht="30" hidden="1">
      <c r="A70" s="106" t="s">
        <v>491</v>
      </c>
      <c r="B70" s="423" t="s">
        <v>956</v>
      </c>
      <c r="C70" s="423" t="s">
        <v>378</v>
      </c>
      <c r="D70" s="423" t="s">
        <v>378</v>
      </c>
      <c r="E70" s="424">
        <v>7952014</v>
      </c>
      <c r="F70" s="423" t="s">
        <v>488</v>
      </c>
      <c r="G70" s="309"/>
      <c r="H70" s="214"/>
      <c r="I70" s="309"/>
      <c r="J70" s="215"/>
      <c r="K70" s="215"/>
      <c r="L70" s="214" t="e">
        <f t="shared" si="0"/>
        <v>#DIV/0!</v>
      </c>
      <c r="M70" s="228"/>
      <c r="N70" s="315"/>
      <c r="O70" s="166" t="e">
        <f t="shared" si="1"/>
        <v>#DIV/0!</v>
      </c>
    </row>
    <row r="71" spans="1:15" ht="60">
      <c r="A71" s="334" t="s">
        <v>960</v>
      </c>
      <c r="B71" s="425" t="s">
        <v>956</v>
      </c>
      <c r="C71" s="423" t="s">
        <v>378</v>
      </c>
      <c r="D71" s="423" t="s">
        <v>378</v>
      </c>
      <c r="E71" s="424">
        <v>7952013</v>
      </c>
      <c r="F71" s="423"/>
      <c r="G71" s="309"/>
      <c r="H71" s="214"/>
      <c r="I71" s="309"/>
      <c r="J71" s="215">
        <f>J72</f>
        <v>227.2</v>
      </c>
      <c r="K71" s="215">
        <f>K72</f>
        <v>227.2</v>
      </c>
      <c r="L71" s="214">
        <f t="shared" si="0"/>
        <v>100</v>
      </c>
      <c r="M71" s="228"/>
      <c r="N71" s="315"/>
      <c r="O71" s="166">
        <f t="shared" si="1"/>
        <v>354.4</v>
      </c>
    </row>
    <row r="72" spans="1:19" ht="30">
      <c r="A72" s="106" t="s">
        <v>491</v>
      </c>
      <c r="B72" s="423" t="s">
        <v>956</v>
      </c>
      <c r="C72" s="423" t="s">
        <v>378</v>
      </c>
      <c r="D72" s="423" t="s">
        <v>378</v>
      </c>
      <c r="E72" s="424">
        <v>7952013</v>
      </c>
      <c r="F72" s="423" t="s">
        <v>488</v>
      </c>
      <c r="G72" s="309"/>
      <c r="H72" s="214"/>
      <c r="I72" s="309"/>
      <c r="J72" s="215">
        <v>227.2</v>
      </c>
      <c r="K72" s="215">
        <v>227.2</v>
      </c>
      <c r="L72" s="214">
        <f t="shared" si="0"/>
        <v>100</v>
      </c>
      <c r="M72" s="228"/>
      <c r="N72" s="315"/>
      <c r="O72" s="166">
        <f t="shared" si="1"/>
        <v>354.4</v>
      </c>
      <c r="P72" s="166">
        <f>L72-O72</f>
        <v>-254.39999999999998</v>
      </c>
      <c r="S72" s="166">
        <f>K72+K74+K76+K80+K82+K78</f>
        <v>779.5418400000001</v>
      </c>
    </row>
    <row r="73" spans="1:16" ht="60">
      <c r="A73" s="334" t="s">
        <v>966</v>
      </c>
      <c r="B73" s="425" t="s">
        <v>956</v>
      </c>
      <c r="C73" s="423" t="s">
        <v>378</v>
      </c>
      <c r="D73" s="423" t="s">
        <v>378</v>
      </c>
      <c r="E73" s="424">
        <v>7952014</v>
      </c>
      <c r="F73" s="423"/>
      <c r="G73" s="428"/>
      <c r="H73" s="369"/>
      <c r="I73" s="368"/>
      <c r="J73" s="215">
        <f>J74</f>
        <v>150</v>
      </c>
      <c r="K73" s="215">
        <f>K74</f>
        <v>150</v>
      </c>
      <c r="L73" s="214">
        <f t="shared" si="0"/>
        <v>100</v>
      </c>
      <c r="M73" s="228"/>
      <c r="N73" s="315"/>
      <c r="O73" s="166">
        <f t="shared" si="1"/>
        <v>200</v>
      </c>
      <c r="P73" s="166"/>
    </row>
    <row r="74" spans="1:16" ht="30">
      <c r="A74" s="106" t="s">
        <v>491</v>
      </c>
      <c r="B74" s="423" t="s">
        <v>956</v>
      </c>
      <c r="C74" s="423" t="s">
        <v>378</v>
      </c>
      <c r="D74" s="423" t="s">
        <v>378</v>
      </c>
      <c r="E74" s="424">
        <v>7952014</v>
      </c>
      <c r="F74" s="423" t="s">
        <v>488</v>
      </c>
      <c r="G74" s="368"/>
      <c r="H74" s="369"/>
      <c r="I74" s="368"/>
      <c r="J74" s="215">
        <v>150</v>
      </c>
      <c r="K74" s="215">
        <v>150</v>
      </c>
      <c r="L74" s="214">
        <f t="shared" si="0"/>
        <v>100</v>
      </c>
      <c r="M74" s="228"/>
      <c r="N74" s="315"/>
      <c r="O74" s="166">
        <f t="shared" si="1"/>
        <v>200</v>
      </c>
      <c r="P74" s="166"/>
    </row>
    <row r="75" spans="1:15" ht="60">
      <c r="A75" s="334" t="s">
        <v>959</v>
      </c>
      <c r="B75" s="425" t="s">
        <v>956</v>
      </c>
      <c r="C75" s="423" t="s">
        <v>378</v>
      </c>
      <c r="D75" s="423" t="s">
        <v>378</v>
      </c>
      <c r="E75" s="424">
        <v>7952015</v>
      </c>
      <c r="F75" s="423"/>
      <c r="G75" s="309"/>
      <c r="H75" s="214"/>
      <c r="I75" s="309"/>
      <c r="J75" s="215">
        <f>J76</f>
        <v>50</v>
      </c>
      <c r="K75" s="215">
        <f>K76</f>
        <v>45.9974</v>
      </c>
      <c r="L75" s="214">
        <f t="shared" si="0"/>
        <v>91.9948</v>
      </c>
      <c r="M75" s="228"/>
      <c r="N75" s="315"/>
      <c r="O75" s="166">
        <f t="shared" si="1"/>
        <v>4.002600000000001</v>
      </c>
    </row>
    <row r="76" spans="1:15" ht="30">
      <c r="A76" s="106" t="s">
        <v>491</v>
      </c>
      <c r="B76" s="423" t="s">
        <v>956</v>
      </c>
      <c r="C76" s="423" t="s">
        <v>378</v>
      </c>
      <c r="D76" s="423" t="s">
        <v>378</v>
      </c>
      <c r="E76" s="424">
        <v>7952015</v>
      </c>
      <c r="F76" s="423" t="s">
        <v>488</v>
      </c>
      <c r="G76" s="309"/>
      <c r="H76" s="214"/>
      <c r="I76" s="309"/>
      <c r="J76" s="215">
        <v>50</v>
      </c>
      <c r="K76" s="215">
        <v>45.9974</v>
      </c>
      <c r="L76" s="214">
        <f aca="true" t="shared" si="8" ref="L76:L139">K76/J76*100</f>
        <v>91.9948</v>
      </c>
      <c r="M76" s="228"/>
      <c r="N76" s="315"/>
      <c r="O76" s="166">
        <f aca="true" t="shared" si="9" ref="O76:O139">J76+K76-L76</f>
        <v>4.002600000000001</v>
      </c>
    </row>
    <row r="77" spans="1:15" ht="90">
      <c r="A77" s="334" t="s">
        <v>958</v>
      </c>
      <c r="B77" s="425" t="s">
        <v>956</v>
      </c>
      <c r="C77" s="423" t="s">
        <v>378</v>
      </c>
      <c r="D77" s="423" t="s">
        <v>378</v>
      </c>
      <c r="E77" s="424">
        <v>7952016</v>
      </c>
      <c r="F77" s="423"/>
      <c r="G77" s="309"/>
      <c r="H77" s="214"/>
      <c r="I77" s="309"/>
      <c r="J77" s="215">
        <f>J78</f>
        <v>50</v>
      </c>
      <c r="K77" s="215">
        <f>K78</f>
        <v>33.65794</v>
      </c>
      <c r="L77" s="214">
        <f t="shared" si="8"/>
        <v>67.31588</v>
      </c>
      <c r="M77" s="228"/>
      <c r="N77" s="315"/>
      <c r="O77" s="166">
        <f t="shared" si="9"/>
        <v>16.34205999999999</v>
      </c>
    </row>
    <row r="78" spans="1:15" ht="30">
      <c r="A78" s="106" t="s">
        <v>491</v>
      </c>
      <c r="B78" s="423" t="s">
        <v>956</v>
      </c>
      <c r="C78" s="423" t="s">
        <v>378</v>
      </c>
      <c r="D78" s="423" t="s">
        <v>378</v>
      </c>
      <c r="E78" s="424">
        <v>7952016</v>
      </c>
      <c r="F78" s="423" t="s">
        <v>488</v>
      </c>
      <c r="G78" s="309"/>
      <c r="H78" s="214"/>
      <c r="I78" s="309"/>
      <c r="J78" s="215">
        <v>50</v>
      </c>
      <c r="K78" s="215">
        <v>33.65794</v>
      </c>
      <c r="L78" s="214">
        <f t="shared" si="8"/>
        <v>67.31588</v>
      </c>
      <c r="M78" s="228"/>
      <c r="N78" s="315"/>
      <c r="O78" s="166">
        <f t="shared" si="9"/>
        <v>16.34205999999999</v>
      </c>
    </row>
    <row r="79" spans="1:15" ht="90">
      <c r="A79" s="334" t="s">
        <v>965</v>
      </c>
      <c r="B79" s="425" t="s">
        <v>956</v>
      </c>
      <c r="C79" s="423" t="s">
        <v>378</v>
      </c>
      <c r="D79" s="423" t="s">
        <v>378</v>
      </c>
      <c r="E79" s="424">
        <v>7952017</v>
      </c>
      <c r="F79" s="423"/>
      <c r="G79" s="309"/>
      <c r="H79" s="214"/>
      <c r="I79" s="309"/>
      <c r="J79" s="215">
        <f>J80</f>
        <v>234</v>
      </c>
      <c r="K79" s="215">
        <f>K80</f>
        <v>233.8865</v>
      </c>
      <c r="L79" s="214">
        <f t="shared" si="8"/>
        <v>99.95149572649574</v>
      </c>
      <c r="M79" s="228"/>
      <c r="N79" s="315"/>
      <c r="O79" s="166">
        <f t="shared" si="9"/>
        <v>367.93500427350426</v>
      </c>
    </row>
    <row r="80" spans="1:15" ht="30">
      <c r="A80" s="106" t="s">
        <v>491</v>
      </c>
      <c r="B80" s="423" t="s">
        <v>956</v>
      </c>
      <c r="C80" s="423" t="s">
        <v>378</v>
      </c>
      <c r="D80" s="423" t="s">
        <v>378</v>
      </c>
      <c r="E80" s="424">
        <v>7952017</v>
      </c>
      <c r="F80" s="423" t="s">
        <v>488</v>
      </c>
      <c r="G80" s="309"/>
      <c r="H80" s="214"/>
      <c r="I80" s="309"/>
      <c r="J80" s="215">
        <v>234</v>
      </c>
      <c r="K80" s="215">
        <v>233.8865</v>
      </c>
      <c r="L80" s="214">
        <f t="shared" si="8"/>
        <v>99.95149572649574</v>
      </c>
      <c r="M80" s="228"/>
      <c r="N80" s="315"/>
      <c r="O80" s="166">
        <f t="shared" si="9"/>
        <v>367.93500427350426</v>
      </c>
    </row>
    <row r="81" spans="1:15" ht="45">
      <c r="A81" s="334" t="s">
        <v>964</v>
      </c>
      <c r="B81" s="425" t="s">
        <v>956</v>
      </c>
      <c r="C81" s="423" t="s">
        <v>378</v>
      </c>
      <c r="D81" s="423" t="s">
        <v>378</v>
      </c>
      <c r="E81" s="424">
        <v>7952019</v>
      </c>
      <c r="F81" s="423"/>
      <c r="G81" s="309"/>
      <c r="H81" s="214"/>
      <c r="I81" s="309"/>
      <c r="J81" s="215">
        <f>J82</f>
        <v>88.8</v>
      </c>
      <c r="K81" s="215">
        <f>K82</f>
        <v>88.8</v>
      </c>
      <c r="L81" s="214">
        <f t="shared" si="8"/>
        <v>100</v>
      </c>
      <c r="M81" s="228"/>
      <c r="N81" s="315"/>
      <c r="O81" s="166">
        <f t="shared" si="9"/>
        <v>77.6</v>
      </c>
    </row>
    <row r="82" spans="1:15" ht="30">
      <c r="A82" s="106" t="s">
        <v>491</v>
      </c>
      <c r="B82" s="423" t="s">
        <v>956</v>
      </c>
      <c r="C82" s="423" t="s">
        <v>378</v>
      </c>
      <c r="D82" s="423" t="s">
        <v>378</v>
      </c>
      <c r="E82" s="424">
        <v>7952019</v>
      </c>
      <c r="F82" s="423" t="s">
        <v>488</v>
      </c>
      <c r="G82" s="309"/>
      <c r="H82" s="214"/>
      <c r="I82" s="309"/>
      <c r="J82" s="215">
        <v>88.8</v>
      </c>
      <c r="K82" s="215">
        <v>88.8</v>
      </c>
      <c r="L82" s="214">
        <f t="shared" si="8"/>
        <v>100</v>
      </c>
      <c r="M82" s="228"/>
      <c r="N82" s="315"/>
      <c r="O82" s="166">
        <f t="shared" si="9"/>
        <v>77.6</v>
      </c>
    </row>
    <row r="83" spans="1:19" ht="43.5" hidden="1">
      <c r="A83" s="293" t="s">
        <v>963</v>
      </c>
      <c r="B83" s="143" t="s">
        <v>956</v>
      </c>
      <c r="C83" s="143" t="s">
        <v>378</v>
      </c>
      <c r="D83" s="143" t="s">
        <v>420</v>
      </c>
      <c r="E83" s="143"/>
      <c r="F83" s="143"/>
      <c r="G83" s="128">
        <f aca="true" t="shared" si="10" ref="G83:I85">G84</f>
        <v>0</v>
      </c>
      <c r="H83" s="128">
        <f t="shared" si="10"/>
        <v>1049.66</v>
      </c>
      <c r="I83" s="128">
        <f t="shared" si="10"/>
        <v>0</v>
      </c>
      <c r="J83" s="141">
        <f>J84+J87+J89+J91+J93+J95</f>
        <v>0</v>
      </c>
      <c r="K83" s="141">
        <f>K84+K87+K89+K91+K93+K95</f>
        <v>0</v>
      </c>
      <c r="L83" s="214" t="e">
        <f t="shared" si="8"/>
        <v>#DIV/0!</v>
      </c>
      <c r="M83" s="295">
        <f>M84+M87</f>
        <v>33</v>
      </c>
      <c r="N83" s="433" t="e">
        <f>N84+N87</f>
        <v>#DIV/0!</v>
      </c>
      <c r="O83" s="166" t="e">
        <f t="shared" si="9"/>
        <v>#DIV/0!</v>
      </c>
      <c r="P83" s="431"/>
      <c r="Q83" s="432"/>
      <c r="R83" s="431"/>
      <c r="S83" s="417"/>
    </row>
    <row r="84" spans="1:19" ht="45" hidden="1">
      <c r="A84" s="106" t="s">
        <v>962</v>
      </c>
      <c r="B84" s="218" t="s">
        <v>956</v>
      </c>
      <c r="C84" s="218" t="s">
        <v>378</v>
      </c>
      <c r="D84" s="218" t="s">
        <v>420</v>
      </c>
      <c r="E84" s="218" t="s">
        <v>502</v>
      </c>
      <c r="F84" s="218"/>
      <c r="G84" s="216">
        <f t="shared" si="10"/>
        <v>0</v>
      </c>
      <c r="H84" s="216">
        <f t="shared" si="10"/>
        <v>1049.66</v>
      </c>
      <c r="I84" s="216">
        <f t="shared" si="10"/>
        <v>0</v>
      </c>
      <c r="J84" s="215">
        <f>J85</f>
        <v>0</v>
      </c>
      <c r="K84" s="215">
        <f>K85</f>
        <v>0</v>
      </c>
      <c r="L84" s="214" t="e">
        <f t="shared" si="8"/>
        <v>#DIV/0!</v>
      </c>
      <c r="M84" s="228">
        <f>M85</f>
        <v>0</v>
      </c>
      <c r="N84" s="430" t="e">
        <f>N85</f>
        <v>#DIV/0!</v>
      </c>
      <c r="O84" s="166" t="e">
        <f t="shared" si="9"/>
        <v>#DIV/0!</v>
      </c>
      <c r="P84" s="420"/>
      <c r="Q84" s="419"/>
      <c r="R84" s="420"/>
      <c r="S84" s="417"/>
    </row>
    <row r="85" spans="1:19" ht="30" hidden="1">
      <c r="A85" s="106" t="s">
        <v>501</v>
      </c>
      <c r="B85" s="218" t="s">
        <v>956</v>
      </c>
      <c r="C85" s="218" t="s">
        <v>378</v>
      </c>
      <c r="D85" s="218" t="s">
        <v>420</v>
      </c>
      <c r="E85" s="218" t="s">
        <v>499</v>
      </c>
      <c r="F85" s="218"/>
      <c r="G85" s="216">
        <f t="shared" si="10"/>
        <v>0</v>
      </c>
      <c r="H85" s="216">
        <f t="shared" si="10"/>
        <v>1049.66</v>
      </c>
      <c r="I85" s="216">
        <f t="shared" si="10"/>
        <v>0</v>
      </c>
      <c r="J85" s="215">
        <f>J86</f>
        <v>0</v>
      </c>
      <c r="K85" s="215">
        <f>K86</f>
        <v>0</v>
      </c>
      <c r="L85" s="214" t="e">
        <f t="shared" si="8"/>
        <v>#DIV/0!</v>
      </c>
      <c r="M85" s="228">
        <f>M86</f>
        <v>0</v>
      </c>
      <c r="N85" s="430" t="e">
        <f>N86</f>
        <v>#DIV/0!</v>
      </c>
      <c r="O85" s="166" t="e">
        <f t="shared" si="9"/>
        <v>#DIV/0!</v>
      </c>
      <c r="P85" s="420"/>
      <c r="Q85" s="419"/>
      <c r="R85" s="420"/>
      <c r="S85" s="417"/>
    </row>
    <row r="86" spans="1:19" ht="30" hidden="1">
      <c r="A86" s="106" t="s">
        <v>514</v>
      </c>
      <c r="B86" s="218" t="s">
        <v>956</v>
      </c>
      <c r="C86" s="218" t="s">
        <v>378</v>
      </c>
      <c r="D86" s="218" t="s">
        <v>420</v>
      </c>
      <c r="E86" s="218" t="s">
        <v>499</v>
      </c>
      <c r="F86" s="218" t="s">
        <v>498</v>
      </c>
      <c r="G86" s="309"/>
      <c r="H86" s="214">
        <v>1049.66</v>
      </c>
      <c r="I86" s="309"/>
      <c r="J86" s="215"/>
      <c r="K86" s="215"/>
      <c r="L86" s="214" t="e">
        <f t="shared" si="8"/>
        <v>#DIV/0!</v>
      </c>
      <c r="M86" s="234"/>
      <c r="N86" s="429" t="e">
        <f>L86+M86</f>
        <v>#DIV/0!</v>
      </c>
      <c r="O86" s="166" t="e">
        <f t="shared" si="9"/>
        <v>#DIV/0!</v>
      </c>
      <c r="P86" s="420"/>
      <c r="Q86" s="419"/>
      <c r="R86" s="418"/>
      <c r="S86" s="417"/>
    </row>
    <row r="87" spans="1:19" ht="60" hidden="1">
      <c r="A87" s="334" t="s">
        <v>961</v>
      </c>
      <c r="B87" s="425" t="s">
        <v>956</v>
      </c>
      <c r="C87" s="423" t="s">
        <v>378</v>
      </c>
      <c r="D87" s="423" t="s">
        <v>420</v>
      </c>
      <c r="E87" s="424">
        <v>7952014</v>
      </c>
      <c r="F87" s="423"/>
      <c r="G87" s="428"/>
      <c r="H87" s="369"/>
      <c r="I87" s="368"/>
      <c r="J87" s="215">
        <f>J88</f>
        <v>0</v>
      </c>
      <c r="K87" s="215">
        <f>K88</f>
        <v>0</v>
      </c>
      <c r="L87" s="214" t="e">
        <f t="shared" si="8"/>
        <v>#DIV/0!</v>
      </c>
      <c r="M87" s="276">
        <f>M88</f>
        <v>33</v>
      </c>
      <c r="N87" s="427" t="e">
        <f>N88</f>
        <v>#DIV/0!</v>
      </c>
      <c r="O87" s="166" t="e">
        <f t="shared" si="9"/>
        <v>#DIV/0!</v>
      </c>
      <c r="P87" s="420"/>
      <c r="Q87" s="419"/>
      <c r="R87" s="418"/>
      <c r="S87" s="417"/>
    </row>
    <row r="88" spans="1:19" ht="30" customHeight="1" hidden="1" thickBot="1">
      <c r="A88" s="106" t="s">
        <v>491</v>
      </c>
      <c r="B88" s="423" t="s">
        <v>956</v>
      </c>
      <c r="C88" s="423" t="s">
        <v>378</v>
      </c>
      <c r="D88" s="423" t="s">
        <v>420</v>
      </c>
      <c r="E88" s="424">
        <v>7952014</v>
      </c>
      <c r="F88" s="423" t="s">
        <v>488</v>
      </c>
      <c r="G88" s="368"/>
      <c r="H88" s="369"/>
      <c r="I88" s="368"/>
      <c r="J88" s="215"/>
      <c r="K88" s="215"/>
      <c r="L88" s="214" t="e">
        <f t="shared" si="8"/>
        <v>#DIV/0!</v>
      </c>
      <c r="M88" s="225">
        <v>33</v>
      </c>
      <c r="N88" s="426" t="e">
        <f>L88+M88</f>
        <v>#DIV/0!</v>
      </c>
      <c r="O88" s="166" t="e">
        <f t="shared" si="9"/>
        <v>#DIV/0!</v>
      </c>
      <c r="P88" s="420"/>
      <c r="Q88" s="419"/>
      <c r="R88" s="418"/>
      <c r="S88" s="417"/>
    </row>
    <row r="89" spans="1:19" ht="57.75" customHeight="1" hidden="1" thickBot="1">
      <c r="A89" s="334" t="s">
        <v>960</v>
      </c>
      <c r="B89" s="425" t="s">
        <v>956</v>
      </c>
      <c r="C89" s="423" t="s">
        <v>378</v>
      </c>
      <c r="D89" s="423" t="s">
        <v>420</v>
      </c>
      <c r="E89" s="424">
        <v>7952013</v>
      </c>
      <c r="F89" s="423"/>
      <c r="G89" s="368"/>
      <c r="H89" s="369"/>
      <c r="I89" s="368"/>
      <c r="J89" s="215">
        <f>J90</f>
        <v>0</v>
      </c>
      <c r="K89" s="215">
        <f>K90</f>
        <v>0</v>
      </c>
      <c r="L89" s="214" t="e">
        <f t="shared" si="8"/>
        <v>#DIV/0!</v>
      </c>
      <c r="M89" s="422"/>
      <c r="N89" s="421"/>
      <c r="O89" s="166" t="e">
        <f t="shared" si="9"/>
        <v>#DIV/0!</v>
      </c>
      <c r="P89" s="420"/>
      <c r="Q89" s="419"/>
      <c r="R89" s="418"/>
      <c r="S89" s="417"/>
    </row>
    <row r="90" spans="1:19" ht="30" customHeight="1" hidden="1" thickBot="1">
      <c r="A90" s="106" t="s">
        <v>491</v>
      </c>
      <c r="B90" s="423" t="s">
        <v>956</v>
      </c>
      <c r="C90" s="423" t="s">
        <v>378</v>
      </c>
      <c r="D90" s="423" t="s">
        <v>420</v>
      </c>
      <c r="E90" s="424">
        <v>7952013</v>
      </c>
      <c r="F90" s="423" t="s">
        <v>488</v>
      </c>
      <c r="G90" s="368"/>
      <c r="H90" s="369"/>
      <c r="I90" s="368"/>
      <c r="J90" s="215"/>
      <c r="K90" s="215"/>
      <c r="L90" s="214" t="e">
        <f t="shared" si="8"/>
        <v>#DIV/0!</v>
      </c>
      <c r="M90" s="422"/>
      <c r="N90" s="421"/>
      <c r="O90" s="166" t="e">
        <f t="shared" si="9"/>
        <v>#DIV/0!</v>
      </c>
      <c r="P90" s="420"/>
      <c r="Q90" s="419"/>
      <c r="R90" s="418"/>
      <c r="S90" s="417"/>
    </row>
    <row r="91" spans="1:19" ht="57" customHeight="1" hidden="1" thickBot="1">
      <c r="A91" s="334" t="s">
        <v>959</v>
      </c>
      <c r="B91" s="425" t="s">
        <v>956</v>
      </c>
      <c r="C91" s="423" t="s">
        <v>378</v>
      </c>
      <c r="D91" s="423" t="s">
        <v>420</v>
      </c>
      <c r="E91" s="424">
        <v>7952015</v>
      </c>
      <c r="F91" s="423"/>
      <c r="G91" s="368"/>
      <c r="H91" s="369"/>
      <c r="I91" s="368"/>
      <c r="J91" s="215">
        <f>J92</f>
        <v>0</v>
      </c>
      <c r="K91" s="215">
        <f>K92</f>
        <v>0</v>
      </c>
      <c r="L91" s="214" t="e">
        <f t="shared" si="8"/>
        <v>#DIV/0!</v>
      </c>
      <c r="M91" s="422"/>
      <c r="N91" s="421"/>
      <c r="O91" s="166" t="e">
        <f t="shared" si="9"/>
        <v>#DIV/0!</v>
      </c>
      <c r="P91" s="420"/>
      <c r="Q91" s="419"/>
      <c r="R91" s="418"/>
      <c r="S91" s="417"/>
    </row>
    <row r="92" spans="1:19" ht="30" customHeight="1" hidden="1" thickBot="1">
      <c r="A92" s="106" t="s">
        <v>491</v>
      </c>
      <c r="B92" s="423" t="s">
        <v>956</v>
      </c>
      <c r="C92" s="423" t="s">
        <v>378</v>
      </c>
      <c r="D92" s="423" t="s">
        <v>420</v>
      </c>
      <c r="E92" s="424">
        <v>7952015</v>
      </c>
      <c r="F92" s="423" t="s">
        <v>488</v>
      </c>
      <c r="G92" s="368"/>
      <c r="H92" s="369"/>
      <c r="I92" s="368"/>
      <c r="J92" s="215"/>
      <c r="K92" s="215"/>
      <c r="L92" s="214" t="e">
        <f t="shared" si="8"/>
        <v>#DIV/0!</v>
      </c>
      <c r="M92" s="422"/>
      <c r="N92" s="421"/>
      <c r="O92" s="166" t="e">
        <f t="shared" si="9"/>
        <v>#DIV/0!</v>
      </c>
      <c r="P92" s="420"/>
      <c r="Q92" s="419"/>
      <c r="R92" s="418"/>
      <c r="S92" s="417"/>
    </row>
    <row r="93" spans="1:19" ht="90" customHeight="1" hidden="1" thickBot="1">
      <c r="A93" s="334" t="s">
        <v>958</v>
      </c>
      <c r="B93" s="425" t="s">
        <v>956</v>
      </c>
      <c r="C93" s="423" t="s">
        <v>378</v>
      </c>
      <c r="D93" s="423" t="s">
        <v>420</v>
      </c>
      <c r="E93" s="424">
        <v>7952016</v>
      </c>
      <c r="F93" s="423"/>
      <c r="G93" s="368"/>
      <c r="H93" s="369"/>
      <c r="I93" s="368"/>
      <c r="J93" s="215">
        <f>J94</f>
        <v>0</v>
      </c>
      <c r="K93" s="215">
        <f>K94</f>
        <v>0</v>
      </c>
      <c r="L93" s="214" t="e">
        <f t="shared" si="8"/>
        <v>#DIV/0!</v>
      </c>
      <c r="M93" s="422"/>
      <c r="N93" s="421"/>
      <c r="O93" s="166" t="e">
        <f t="shared" si="9"/>
        <v>#DIV/0!</v>
      </c>
      <c r="P93" s="420"/>
      <c r="Q93" s="419"/>
      <c r="R93" s="418"/>
      <c r="S93" s="417"/>
    </row>
    <row r="94" spans="1:19" ht="30" customHeight="1" hidden="1" thickBot="1">
      <c r="A94" s="405" t="s">
        <v>491</v>
      </c>
      <c r="B94" s="423" t="s">
        <v>956</v>
      </c>
      <c r="C94" s="423" t="s">
        <v>378</v>
      </c>
      <c r="D94" s="423" t="s">
        <v>420</v>
      </c>
      <c r="E94" s="424">
        <v>7952016</v>
      </c>
      <c r="F94" s="423" t="s">
        <v>488</v>
      </c>
      <c r="G94" s="368"/>
      <c r="H94" s="369"/>
      <c r="I94" s="368"/>
      <c r="J94" s="215"/>
      <c r="K94" s="215"/>
      <c r="L94" s="214" t="e">
        <f t="shared" si="8"/>
        <v>#DIV/0!</v>
      </c>
      <c r="M94" s="422"/>
      <c r="N94" s="421"/>
      <c r="O94" s="166" t="e">
        <f t="shared" si="9"/>
        <v>#DIV/0!</v>
      </c>
      <c r="P94" s="420"/>
      <c r="Q94" s="419"/>
      <c r="R94" s="418"/>
      <c r="S94" s="417"/>
    </row>
    <row r="95" spans="1:19" ht="48.75" customHeight="1" hidden="1" thickBot="1">
      <c r="A95" s="334" t="s">
        <v>957</v>
      </c>
      <c r="B95" s="425" t="s">
        <v>956</v>
      </c>
      <c r="C95" s="423" t="s">
        <v>378</v>
      </c>
      <c r="D95" s="423" t="s">
        <v>420</v>
      </c>
      <c r="E95" s="424">
        <v>7952017</v>
      </c>
      <c r="F95" s="423"/>
      <c r="G95" s="368"/>
      <c r="H95" s="369"/>
      <c r="I95" s="368"/>
      <c r="J95" s="215">
        <f>J96</f>
        <v>0</v>
      </c>
      <c r="K95" s="215">
        <f>K96</f>
        <v>0</v>
      </c>
      <c r="L95" s="214" t="e">
        <f t="shared" si="8"/>
        <v>#DIV/0!</v>
      </c>
      <c r="M95" s="422"/>
      <c r="N95" s="421"/>
      <c r="O95" s="166" t="e">
        <f t="shared" si="9"/>
        <v>#DIV/0!</v>
      </c>
      <c r="P95" s="420"/>
      <c r="Q95" s="419"/>
      <c r="R95" s="418"/>
      <c r="S95" s="417"/>
    </row>
    <row r="96" spans="1:19" ht="33" customHeight="1" hidden="1" thickBot="1">
      <c r="A96" s="106" t="s">
        <v>491</v>
      </c>
      <c r="B96" s="423" t="s">
        <v>956</v>
      </c>
      <c r="C96" s="423" t="s">
        <v>378</v>
      </c>
      <c r="D96" s="423" t="s">
        <v>420</v>
      </c>
      <c r="E96" s="424">
        <v>7952017</v>
      </c>
      <c r="F96" s="423" t="s">
        <v>488</v>
      </c>
      <c r="G96" s="368"/>
      <c r="H96" s="369"/>
      <c r="I96" s="368"/>
      <c r="J96" s="215"/>
      <c r="K96" s="215">
        <f>30-30</f>
        <v>0</v>
      </c>
      <c r="L96" s="214" t="e">
        <f t="shared" si="8"/>
        <v>#DIV/0!</v>
      </c>
      <c r="M96" s="422"/>
      <c r="N96" s="421"/>
      <c r="O96" s="166" t="e">
        <f t="shared" si="9"/>
        <v>#DIV/0!</v>
      </c>
      <c r="P96" s="420"/>
      <c r="Q96" s="419"/>
      <c r="R96" s="418"/>
      <c r="S96" s="417"/>
    </row>
    <row r="97" spans="1:18" ht="30" thickBot="1">
      <c r="A97" s="354" t="s">
        <v>955</v>
      </c>
      <c r="B97" s="160" t="s">
        <v>875</v>
      </c>
      <c r="C97" s="160"/>
      <c r="D97" s="160"/>
      <c r="E97" s="160"/>
      <c r="F97" s="160"/>
      <c r="G97" s="164" t="e">
        <f>G98+G105+G175</f>
        <v>#REF!</v>
      </c>
      <c r="H97" s="164">
        <f>H98+H105+H175</f>
        <v>159066.28999999998</v>
      </c>
      <c r="I97" s="164">
        <f>I98+I105+I175</f>
        <v>0</v>
      </c>
      <c r="J97" s="268">
        <f>J98+J105+J175</f>
        <v>226993.28644999996</v>
      </c>
      <c r="K97" s="268">
        <f>K98+K105+K175</f>
        <v>223257.27520999996</v>
      </c>
      <c r="L97" s="172">
        <f t="shared" si="8"/>
        <v>98.35413139373928</v>
      </c>
      <c r="M97" s="267">
        <f>M98+M105+M175</f>
        <v>1106.3000000000002</v>
      </c>
      <c r="N97" s="266" t="e">
        <f>N98+N105+N175</f>
        <v>#DIV/0!</v>
      </c>
      <c r="O97" s="166">
        <f t="shared" si="9"/>
        <v>450152.2075286062</v>
      </c>
      <c r="P97" s="190"/>
      <c r="R97" s="190"/>
    </row>
    <row r="98" spans="1:15" ht="15" hidden="1">
      <c r="A98" s="223" t="s">
        <v>354</v>
      </c>
      <c r="B98" s="222" t="s">
        <v>875</v>
      </c>
      <c r="C98" s="222" t="s">
        <v>357</v>
      </c>
      <c r="D98" s="143"/>
      <c r="E98" s="143"/>
      <c r="F98" s="143"/>
      <c r="G98" s="248">
        <f>G99</f>
        <v>-853.633</v>
      </c>
      <c r="H98" s="248">
        <f>H99</f>
        <v>1002.7</v>
      </c>
      <c r="I98" s="248">
        <f>I99</f>
        <v>0</v>
      </c>
      <c r="J98" s="240">
        <f>J99</f>
        <v>0</v>
      </c>
      <c r="K98" s="240">
        <f>K99</f>
        <v>0</v>
      </c>
      <c r="L98" s="214" t="e">
        <f t="shared" si="8"/>
        <v>#DIV/0!</v>
      </c>
      <c r="M98" s="346">
        <f>M99</f>
        <v>0</v>
      </c>
      <c r="N98" s="345" t="e">
        <f>N99</f>
        <v>#DIV/0!</v>
      </c>
      <c r="O98" s="166" t="e">
        <f t="shared" si="9"/>
        <v>#DIV/0!</v>
      </c>
    </row>
    <row r="99" spans="1:15" ht="75" hidden="1">
      <c r="A99" s="106" t="s">
        <v>954</v>
      </c>
      <c r="B99" s="218" t="s">
        <v>875</v>
      </c>
      <c r="C99" s="218" t="s">
        <v>357</v>
      </c>
      <c r="D99" s="218" t="s">
        <v>362</v>
      </c>
      <c r="E99" s="218"/>
      <c r="F99" s="218"/>
      <c r="G99" s="299">
        <f>G102+G100</f>
        <v>-853.633</v>
      </c>
      <c r="H99" s="299">
        <f>H102+H100</f>
        <v>1002.7</v>
      </c>
      <c r="I99" s="299">
        <f>I102+I100</f>
        <v>0</v>
      </c>
      <c r="J99" s="215">
        <f>J102+J100</f>
        <v>0</v>
      </c>
      <c r="K99" s="215">
        <f>K102+K100</f>
        <v>0</v>
      </c>
      <c r="L99" s="214" t="e">
        <f t="shared" si="8"/>
        <v>#DIV/0!</v>
      </c>
      <c r="M99" s="298">
        <f>M102+M100</f>
        <v>0</v>
      </c>
      <c r="N99" s="300" t="e">
        <f>N102+N100</f>
        <v>#DIV/0!</v>
      </c>
      <c r="O99" s="166" t="e">
        <f t="shared" si="9"/>
        <v>#DIV/0!</v>
      </c>
    </row>
    <row r="100" spans="1:15" ht="51" customHeight="1" hidden="1">
      <c r="A100" s="313" t="s">
        <v>709</v>
      </c>
      <c r="B100" s="218" t="s">
        <v>875</v>
      </c>
      <c r="C100" s="218" t="s">
        <v>357</v>
      </c>
      <c r="D100" s="218" t="s">
        <v>362</v>
      </c>
      <c r="E100" s="218" t="s">
        <v>708</v>
      </c>
      <c r="F100" s="218"/>
      <c r="G100" s="299">
        <f>G101</f>
        <v>120.46699999999998</v>
      </c>
      <c r="H100" s="299">
        <f>H101</f>
        <v>0</v>
      </c>
      <c r="I100" s="299">
        <f>I101</f>
        <v>0</v>
      </c>
      <c r="J100" s="215">
        <f>J101</f>
        <v>0</v>
      </c>
      <c r="K100" s="215">
        <f>K101</f>
        <v>0</v>
      </c>
      <c r="L100" s="214" t="e">
        <f t="shared" si="8"/>
        <v>#DIV/0!</v>
      </c>
      <c r="M100" s="298">
        <f>M101</f>
        <v>0</v>
      </c>
      <c r="N100" s="300" t="e">
        <f>N101</f>
        <v>#DIV/0!</v>
      </c>
      <c r="O100" s="166" t="e">
        <f t="shared" si="9"/>
        <v>#DIV/0!</v>
      </c>
    </row>
    <row r="101" spans="1:15" ht="25.5" customHeight="1" hidden="1">
      <c r="A101" s="106" t="s">
        <v>491</v>
      </c>
      <c r="B101" s="218" t="s">
        <v>875</v>
      </c>
      <c r="C101" s="218" t="s">
        <v>357</v>
      </c>
      <c r="D101" s="218" t="s">
        <v>362</v>
      </c>
      <c r="E101" s="218" t="s">
        <v>708</v>
      </c>
      <c r="F101" s="218" t="s">
        <v>488</v>
      </c>
      <c r="G101" s="215">
        <f>455-334.533</f>
        <v>120.46699999999998</v>
      </c>
      <c r="H101" s="299"/>
      <c r="I101" s="215"/>
      <c r="J101" s="215">
        <f>H101+I101</f>
        <v>0</v>
      </c>
      <c r="K101" s="215"/>
      <c r="L101" s="214" t="e">
        <f t="shared" si="8"/>
        <v>#DIV/0!</v>
      </c>
      <c r="M101" s="298"/>
      <c r="N101" s="235" t="e">
        <f>L101+M101</f>
        <v>#DIV/0!</v>
      </c>
      <c r="O101" s="166" t="e">
        <f t="shared" si="9"/>
        <v>#DIV/0!</v>
      </c>
    </row>
    <row r="102" spans="1:15" ht="75" hidden="1">
      <c r="A102" s="106" t="s">
        <v>911</v>
      </c>
      <c r="B102" s="218" t="s">
        <v>875</v>
      </c>
      <c r="C102" s="218" t="s">
        <v>357</v>
      </c>
      <c r="D102" s="218" t="s">
        <v>362</v>
      </c>
      <c r="E102" s="218" t="s">
        <v>534</v>
      </c>
      <c r="F102" s="218"/>
      <c r="G102" s="216">
        <f aca="true" t="shared" si="11" ref="G102:K103">G103</f>
        <v>-974.1</v>
      </c>
      <c r="H102" s="216">
        <f t="shared" si="11"/>
        <v>1002.7</v>
      </c>
      <c r="I102" s="216">
        <f t="shared" si="11"/>
        <v>0</v>
      </c>
      <c r="J102" s="215">
        <f t="shared" si="11"/>
        <v>0</v>
      </c>
      <c r="K102" s="215">
        <f t="shared" si="11"/>
        <v>0</v>
      </c>
      <c r="L102" s="214" t="e">
        <f t="shared" si="8"/>
        <v>#DIV/0!</v>
      </c>
      <c r="M102" s="228">
        <f>M103</f>
        <v>0</v>
      </c>
      <c r="N102" s="227" t="e">
        <f>N103</f>
        <v>#DIV/0!</v>
      </c>
      <c r="O102" s="166" t="e">
        <f t="shared" si="9"/>
        <v>#DIV/0!</v>
      </c>
    </row>
    <row r="103" spans="1:15" ht="15" hidden="1">
      <c r="A103" s="106" t="s">
        <v>533</v>
      </c>
      <c r="B103" s="218" t="s">
        <v>875</v>
      </c>
      <c r="C103" s="218" t="s">
        <v>357</v>
      </c>
      <c r="D103" s="218" t="s">
        <v>362</v>
      </c>
      <c r="E103" s="218" t="s">
        <v>532</v>
      </c>
      <c r="F103" s="218"/>
      <c r="G103" s="216">
        <f t="shared" si="11"/>
        <v>-974.1</v>
      </c>
      <c r="H103" s="216">
        <f t="shared" si="11"/>
        <v>1002.7</v>
      </c>
      <c r="I103" s="216">
        <f t="shared" si="11"/>
        <v>0</v>
      </c>
      <c r="J103" s="215">
        <f t="shared" si="11"/>
        <v>0</v>
      </c>
      <c r="K103" s="215">
        <f t="shared" si="11"/>
        <v>0</v>
      </c>
      <c r="L103" s="214" t="e">
        <f t="shared" si="8"/>
        <v>#DIV/0!</v>
      </c>
      <c r="M103" s="228">
        <f>M104</f>
        <v>0</v>
      </c>
      <c r="N103" s="227" t="e">
        <f>N104</f>
        <v>#DIV/0!</v>
      </c>
      <c r="O103" s="166" t="e">
        <f t="shared" si="9"/>
        <v>#DIV/0!</v>
      </c>
    </row>
    <row r="104" spans="1:15" ht="30" hidden="1">
      <c r="A104" s="106" t="s">
        <v>491</v>
      </c>
      <c r="B104" s="218" t="s">
        <v>875</v>
      </c>
      <c r="C104" s="218" t="s">
        <v>357</v>
      </c>
      <c r="D104" s="218" t="s">
        <v>362</v>
      </c>
      <c r="E104" s="218" t="s">
        <v>532</v>
      </c>
      <c r="F104" s="218" t="s">
        <v>488</v>
      </c>
      <c r="G104" s="216">
        <f>-519.1-455</f>
        <v>-974.1</v>
      </c>
      <c r="H104" s="217">
        <v>1002.7</v>
      </c>
      <c r="I104" s="216"/>
      <c r="J104" s="215"/>
      <c r="K104" s="215"/>
      <c r="L104" s="214" t="e">
        <f t="shared" si="8"/>
        <v>#DIV/0!</v>
      </c>
      <c r="M104" s="228"/>
      <c r="N104" s="235" t="e">
        <f>L104+M104</f>
        <v>#DIV/0!</v>
      </c>
      <c r="O104" s="166" t="e">
        <f t="shared" si="9"/>
        <v>#DIV/0!</v>
      </c>
    </row>
    <row r="105" spans="1:15" ht="15">
      <c r="A105" s="223" t="s">
        <v>953</v>
      </c>
      <c r="B105" s="222" t="s">
        <v>875</v>
      </c>
      <c r="C105" s="222" t="s">
        <v>368</v>
      </c>
      <c r="D105" s="222"/>
      <c r="E105" s="222"/>
      <c r="F105" s="222"/>
      <c r="G105" s="241" t="e">
        <f>G106+G111+G146+G154+G161</f>
        <v>#REF!</v>
      </c>
      <c r="H105" s="248">
        <f>H106+H111+H146+H154+H161</f>
        <v>146913.88999999996</v>
      </c>
      <c r="I105" s="248">
        <f>I106+I111+I146+I154+I161</f>
        <v>0</v>
      </c>
      <c r="J105" s="240">
        <f>J106+J111+J146+J154+J161</f>
        <v>205443.58644999997</v>
      </c>
      <c r="K105" s="240">
        <f>K106+K111+K146+K154+K161</f>
        <v>201902.75635999997</v>
      </c>
      <c r="L105" s="172">
        <f t="shared" si="8"/>
        <v>98.27649519209413</v>
      </c>
      <c r="M105" s="247">
        <f>M106+M111+M146+M154+M161</f>
        <v>1106.3000000000002</v>
      </c>
      <c r="N105" s="246" t="e">
        <f>N106+N111+N146+N154+N161</f>
        <v>#DIV/0!</v>
      </c>
      <c r="O105" s="166">
        <f t="shared" si="9"/>
        <v>407248.06631480786</v>
      </c>
    </row>
    <row r="106" spans="1:15" ht="15" hidden="1">
      <c r="A106" s="293" t="s">
        <v>400</v>
      </c>
      <c r="B106" s="143" t="s">
        <v>875</v>
      </c>
      <c r="C106" s="143" t="s">
        <v>368</v>
      </c>
      <c r="D106" s="143" t="s">
        <v>357</v>
      </c>
      <c r="E106" s="143"/>
      <c r="F106" s="143"/>
      <c r="G106" s="128">
        <f aca="true" t="shared" si="12" ref="G106:K107">G107</f>
        <v>-926.36</v>
      </c>
      <c r="H106" s="128">
        <f t="shared" si="12"/>
        <v>3734</v>
      </c>
      <c r="I106" s="128">
        <f t="shared" si="12"/>
        <v>0</v>
      </c>
      <c r="J106" s="141">
        <f t="shared" si="12"/>
        <v>0</v>
      </c>
      <c r="K106" s="141">
        <f t="shared" si="12"/>
        <v>0</v>
      </c>
      <c r="L106" s="172" t="e">
        <f t="shared" si="8"/>
        <v>#DIV/0!</v>
      </c>
      <c r="M106" s="230">
        <f>M107</f>
        <v>805.6</v>
      </c>
      <c r="N106" s="229" t="e">
        <f>N107</f>
        <v>#DIV/0!</v>
      </c>
      <c r="O106" s="166" t="e">
        <f t="shared" si="9"/>
        <v>#DIV/0!</v>
      </c>
    </row>
    <row r="107" spans="1:15" ht="15" hidden="1">
      <c r="A107" s="106" t="s">
        <v>952</v>
      </c>
      <c r="B107" s="218" t="s">
        <v>875</v>
      </c>
      <c r="C107" s="218" t="s">
        <v>368</v>
      </c>
      <c r="D107" s="218" t="s">
        <v>357</v>
      </c>
      <c r="E107" s="218" t="s">
        <v>951</v>
      </c>
      <c r="F107" s="218"/>
      <c r="G107" s="216">
        <f t="shared" si="12"/>
        <v>-926.36</v>
      </c>
      <c r="H107" s="216">
        <f t="shared" si="12"/>
        <v>3734</v>
      </c>
      <c r="I107" s="216">
        <f t="shared" si="12"/>
        <v>0</v>
      </c>
      <c r="J107" s="215">
        <f t="shared" si="12"/>
        <v>0</v>
      </c>
      <c r="K107" s="215">
        <f t="shared" si="12"/>
        <v>0</v>
      </c>
      <c r="L107" s="172" t="e">
        <f t="shared" si="8"/>
        <v>#DIV/0!</v>
      </c>
      <c r="M107" s="228">
        <f>M108</f>
        <v>805.6</v>
      </c>
      <c r="N107" s="227" t="e">
        <f>N108</f>
        <v>#DIV/0!</v>
      </c>
      <c r="O107" s="166" t="e">
        <f t="shared" si="9"/>
        <v>#DIV/0!</v>
      </c>
    </row>
    <row r="108" spans="1:15" ht="30" hidden="1">
      <c r="A108" s="106" t="s">
        <v>501</v>
      </c>
      <c r="B108" s="218" t="s">
        <v>875</v>
      </c>
      <c r="C108" s="218" t="s">
        <v>368</v>
      </c>
      <c r="D108" s="218" t="s">
        <v>357</v>
      </c>
      <c r="E108" s="218" t="s">
        <v>950</v>
      </c>
      <c r="F108" s="218"/>
      <c r="G108" s="216">
        <f>G109+G110</f>
        <v>-926.36</v>
      </c>
      <c r="H108" s="216">
        <f>H109+H110</f>
        <v>3734</v>
      </c>
      <c r="I108" s="216">
        <f>I109+I110</f>
        <v>0</v>
      </c>
      <c r="J108" s="215">
        <f>J109+J110</f>
        <v>0</v>
      </c>
      <c r="K108" s="215">
        <f>K109+K110</f>
        <v>0</v>
      </c>
      <c r="L108" s="172" t="e">
        <f t="shared" si="8"/>
        <v>#DIV/0!</v>
      </c>
      <c r="M108" s="228">
        <f>M109+M110</f>
        <v>805.6</v>
      </c>
      <c r="N108" s="227" t="e">
        <f>N109+N110</f>
        <v>#DIV/0!</v>
      </c>
      <c r="O108" s="166" t="e">
        <f t="shared" si="9"/>
        <v>#DIV/0!</v>
      </c>
    </row>
    <row r="109" spans="1:16" ht="30" hidden="1">
      <c r="A109" s="106" t="s">
        <v>607</v>
      </c>
      <c r="B109" s="218" t="s">
        <v>875</v>
      </c>
      <c r="C109" s="218" t="s">
        <v>368</v>
      </c>
      <c r="D109" s="218" t="s">
        <v>357</v>
      </c>
      <c r="E109" s="218" t="s">
        <v>950</v>
      </c>
      <c r="F109" s="218" t="s">
        <v>498</v>
      </c>
      <c r="G109" s="216">
        <f>-36.76+103.4</f>
        <v>66.64000000000001</v>
      </c>
      <c r="H109" s="217">
        <v>2606</v>
      </c>
      <c r="I109" s="216"/>
      <c r="J109" s="215"/>
      <c r="K109" s="215"/>
      <c r="L109" s="172" t="e">
        <f t="shared" si="8"/>
        <v>#DIV/0!</v>
      </c>
      <c r="M109" s="228">
        <f>-44.4+915</f>
        <v>870.6</v>
      </c>
      <c r="N109" s="235" t="e">
        <f>L109+M109</f>
        <v>#DIV/0!</v>
      </c>
      <c r="O109" s="166" t="e">
        <f t="shared" si="9"/>
        <v>#DIV/0!</v>
      </c>
      <c r="P109" s="233"/>
    </row>
    <row r="110" spans="1:15" ht="60" hidden="1">
      <c r="A110" s="106" t="s">
        <v>944</v>
      </c>
      <c r="B110" s="218" t="s">
        <v>875</v>
      </c>
      <c r="C110" s="218" t="s">
        <v>368</v>
      </c>
      <c r="D110" s="218" t="s">
        <v>357</v>
      </c>
      <c r="E110" s="218" t="s">
        <v>949</v>
      </c>
      <c r="F110" s="218" t="s">
        <v>498</v>
      </c>
      <c r="G110" s="216">
        <f>-112.8-880.2</f>
        <v>-993</v>
      </c>
      <c r="H110" s="217">
        <v>1128</v>
      </c>
      <c r="I110" s="216"/>
      <c r="J110" s="215"/>
      <c r="K110" s="215"/>
      <c r="L110" s="172" t="e">
        <f t="shared" si="8"/>
        <v>#DIV/0!</v>
      </c>
      <c r="M110" s="228">
        <v>-65</v>
      </c>
      <c r="N110" s="235" t="e">
        <f>L110+M110</f>
        <v>#DIV/0!</v>
      </c>
      <c r="O110" s="166" t="e">
        <f t="shared" si="9"/>
        <v>#DIV/0!</v>
      </c>
    </row>
    <row r="111" spans="1:15" ht="15">
      <c r="A111" s="293" t="s">
        <v>401</v>
      </c>
      <c r="B111" s="143" t="s">
        <v>875</v>
      </c>
      <c r="C111" s="143" t="s">
        <v>368</v>
      </c>
      <c r="D111" s="143" t="s">
        <v>358</v>
      </c>
      <c r="E111" s="143"/>
      <c r="F111" s="143"/>
      <c r="G111" s="167">
        <f>G114+G125+G137+G142+G144+G112</f>
        <v>5433.36</v>
      </c>
      <c r="H111" s="167">
        <f>H114+H125+H137+H142+H144+H112</f>
        <v>135780.43999999997</v>
      </c>
      <c r="I111" s="167">
        <f>I114+I125+I137+I142+I144+I112</f>
        <v>0</v>
      </c>
      <c r="J111" s="141">
        <f>J114+J125+J137+J144+J112+J130+J134</f>
        <v>195606.84196999998</v>
      </c>
      <c r="K111" s="141">
        <f>K114+K125+K137+K144+K112+K130+K134</f>
        <v>192498.87445999996</v>
      </c>
      <c r="L111" s="172">
        <f t="shared" si="8"/>
        <v>98.41111513344882</v>
      </c>
      <c r="M111" s="314">
        <f>M114+M125+M137+M142+M144+M112</f>
        <v>1721.3940000000002</v>
      </c>
      <c r="N111" s="343">
        <f>N114+N125+N137+N142+N144+N112</f>
        <v>2565.2531132443014</v>
      </c>
      <c r="O111" s="166">
        <f t="shared" si="9"/>
        <v>388007.3053148665</v>
      </c>
    </row>
    <row r="112" spans="1:15" ht="29.25" customHeight="1">
      <c r="A112" s="106" t="s">
        <v>948</v>
      </c>
      <c r="B112" s="218" t="s">
        <v>875</v>
      </c>
      <c r="C112" s="218" t="s">
        <v>368</v>
      </c>
      <c r="D112" s="218" t="s">
        <v>358</v>
      </c>
      <c r="E112" s="218" t="s">
        <v>947</v>
      </c>
      <c r="F112" s="218"/>
      <c r="G112" s="216">
        <f>G113</f>
        <v>4600</v>
      </c>
      <c r="H112" s="216">
        <f>H113</f>
        <v>0</v>
      </c>
      <c r="I112" s="216">
        <f>I113</f>
        <v>0</v>
      </c>
      <c r="J112" s="215">
        <f>J113</f>
        <v>4000</v>
      </c>
      <c r="K112" s="215">
        <f>K113</f>
        <v>4000</v>
      </c>
      <c r="L112" s="214">
        <f t="shared" si="8"/>
        <v>100</v>
      </c>
      <c r="M112" s="228">
        <f>M113</f>
        <v>0</v>
      </c>
      <c r="N112" s="227">
        <f>N113</f>
        <v>100</v>
      </c>
      <c r="O112" s="166">
        <f t="shared" si="9"/>
        <v>7900</v>
      </c>
    </row>
    <row r="113" spans="1:15" ht="30" customHeight="1">
      <c r="A113" s="106" t="s">
        <v>607</v>
      </c>
      <c r="B113" s="218" t="s">
        <v>875</v>
      </c>
      <c r="C113" s="218" t="s">
        <v>368</v>
      </c>
      <c r="D113" s="218" t="s">
        <v>358</v>
      </c>
      <c r="E113" s="218" t="s">
        <v>947</v>
      </c>
      <c r="F113" s="218" t="s">
        <v>498</v>
      </c>
      <c r="G113" s="216">
        <v>4600</v>
      </c>
      <c r="H113" s="217"/>
      <c r="I113" s="216"/>
      <c r="J113" s="215">
        <v>4000</v>
      </c>
      <c r="K113" s="215">
        <v>4000</v>
      </c>
      <c r="L113" s="214">
        <f t="shared" si="8"/>
        <v>100</v>
      </c>
      <c r="M113" s="228"/>
      <c r="N113" s="235">
        <f>L113+M113</f>
        <v>100</v>
      </c>
      <c r="O113" s="166">
        <f t="shared" si="9"/>
        <v>7900</v>
      </c>
    </row>
    <row r="114" spans="1:15" ht="45">
      <c r="A114" s="106" t="s">
        <v>946</v>
      </c>
      <c r="B114" s="218" t="s">
        <v>875</v>
      </c>
      <c r="C114" s="218" t="s">
        <v>368</v>
      </c>
      <c r="D114" s="218" t="s">
        <v>358</v>
      </c>
      <c r="E114" s="218" t="s">
        <v>945</v>
      </c>
      <c r="F114" s="218"/>
      <c r="G114" s="299">
        <f>G115</f>
        <v>867.76</v>
      </c>
      <c r="H114" s="299">
        <f>H115</f>
        <v>122607.1</v>
      </c>
      <c r="I114" s="299">
        <f>I115</f>
        <v>0</v>
      </c>
      <c r="J114" s="215">
        <f>J115</f>
        <v>163373.72596999997</v>
      </c>
      <c r="K114" s="215">
        <f>K115</f>
        <v>160920.20841999998</v>
      </c>
      <c r="L114" s="214">
        <f t="shared" si="8"/>
        <v>98.49821779148837</v>
      </c>
      <c r="M114" s="298">
        <f>M115</f>
        <v>1706.3940000000002</v>
      </c>
      <c r="N114" s="300">
        <f>N115</f>
        <v>1901.185166009343</v>
      </c>
      <c r="O114" s="166">
        <f t="shared" si="9"/>
        <v>324195.43617220846</v>
      </c>
    </row>
    <row r="115" spans="1:15" ht="30">
      <c r="A115" s="106" t="s">
        <v>501</v>
      </c>
      <c r="B115" s="218" t="s">
        <v>875</v>
      </c>
      <c r="C115" s="218" t="s">
        <v>368</v>
      </c>
      <c r="D115" s="218" t="s">
        <v>358</v>
      </c>
      <c r="E115" s="218" t="s">
        <v>606</v>
      </c>
      <c r="F115" s="218"/>
      <c r="G115" s="216">
        <f>G116+G117</f>
        <v>867.76</v>
      </c>
      <c r="H115" s="216">
        <f>H116+H117</f>
        <v>122607.1</v>
      </c>
      <c r="I115" s="216">
        <f>I116+I117</f>
        <v>0</v>
      </c>
      <c r="J115" s="215">
        <f>J116+J117+J118+J119+J120+J122+J124+J121+J123</f>
        <v>163373.72596999997</v>
      </c>
      <c r="K115" s="215">
        <f>K116+K117+K118+K119+K120+K122+K124+K121+K123</f>
        <v>160920.20841999998</v>
      </c>
      <c r="L115" s="214">
        <f t="shared" si="8"/>
        <v>98.49821779148837</v>
      </c>
      <c r="M115" s="416">
        <f>M116+M117+M118+M119+M120+M122+M124</f>
        <v>1706.3940000000002</v>
      </c>
      <c r="N115" s="415">
        <f>N116+N117+N118+N119+N120+N122+N124</f>
        <v>1901.185166009343</v>
      </c>
      <c r="O115" s="166">
        <f t="shared" si="9"/>
        <v>324195.43617220846</v>
      </c>
    </row>
    <row r="116" spans="1:20" ht="30">
      <c r="A116" s="106" t="s">
        <v>607</v>
      </c>
      <c r="B116" s="218" t="s">
        <v>875</v>
      </c>
      <c r="C116" s="218" t="s">
        <v>368</v>
      </c>
      <c r="D116" s="218" t="s">
        <v>358</v>
      </c>
      <c r="E116" s="218" t="s">
        <v>606</v>
      </c>
      <c r="F116" s="218" t="s">
        <v>498</v>
      </c>
      <c r="G116" s="216">
        <f>36.76+38-200</f>
        <v>-125.24000000000001</v>
      </c>
      <c r="H116" s="217">
        <v>121495.1</v>
      </c>
      <c r="I116" s="216"/>
      <c r="J116" s="215">
        <f>38773.42-201.71156</f>
        <v>38571.708439999995</v>
      </c>
      <c r="K116" s="215">
        <v>36562.57218</v>
      </c>
      <c r="L116" s="214">
        <f t="shared" si="8"/>
        <v>94.79116600934259</v>
      </c>
      <c r="M116" s="301">
        <f>102.98+1108+1100.414</f>
        <v>2311.3940000000002</v>
      </c>
      <c r="N116" s="235">
        <f>L116+M116</f>
        <v>2406.185166009343</v>
      </c>
      <c r="O116" s="166">
        <f t="shared" si="9"/>
        <v>75039.48945399067</v>
      </c>
      <c r="P116" s="321">
        <f>L116-O116</f>
        <v>-74944.69828798133</v>
      </c>
      <c r="T116" s="166">
        <f>L120+L122</f>
        <v>198.0068178111586</v>
      </c>
    </row>
    <row r="117" spans="1:16" ht="60">
      <c r="A117" s="106" t="s">
        <v>944</v>
      </c>
      <c r="B117" s="218" t="s">
        <v>875</v>
      </c>
      <c r="C117" s="218" t="s">
        <v>368</v>
      </c>
      <c r="D117" s="218" t="s">
        <v>358</v>
      </c>
      <c r="E117" s="218" t="s">
        <v>943</v>
      </c>
      <c r="F117" s="218" t="s">
        <v>498</v>
      </c>
      <c r="G117" s="216">
        <f>112.8+880.2</f>
        <v>993</v>
      </c>
      <c r="H117" s="217">
        <v>1112</v>
      </c>
      <c r="I117" s="216"/>
      <c r="J117" s="215">
        <f>3009.8+201.71156</f>
        <v>3211.5115600000004</v>
      </c>
      <c r="K117" s="215">
        <v>3211.51156</v>
      </c>
      <c r="L117" s="214">
        <f t="shared" si="8"/>
        <v>99.99999999999999</v>
      </c>
      <c r="M117" s="228">
        <f>-605</f>
        <v>-605</v>
      </c>
      <c r="N117" s="235">
        <f>L117+M117</f>
        <v>-505</v>
      </c>
      <c r="O117" s="166">
        <f t="shared" si="9"/>
        <v>6323.02312</v>
      </c>
      <c r="P117" s="166">
        <f>L117-O117</f>
        <v>-6223.02312</v>
      </c>
    </row>
    <row r="118" spans="1:15" ht="90">
      <c r="A118" s="414" t="s">
        <v>942</v>
      </c>
      <c r="B118" s="218" t="s">
        <v>875</v>
      </c>
      <c r="C118" s="218" t="s">
        <v>368</v>
      </c>
      <c r="D118" s="218" t="s">
        <v>358</v>
      </c>
      <c r="E118" s="218" t="s">
        <v>941</v>
      </c>
      <c r="F118" s="218" t="s">
        <v>498</v>
      </c>
      <c r="G118" s="216"/>
      <c r="H118" s="217"/>
      <c r="I118" s="216"/>
      <c r="J118" s="215">
        <v>112594.2</v>
      </c>
      <c r="K118" s="215">
        <v>112300.72488</v>
      </c>
      <c r="L118" s="214">
        <f t="shared" si="8"/>
        <v>99.7393514763638</v>
      </c>
      <c r="M118" s="228"/>
      <c r="N118" s="235"/>
      <c r="O118" s="166">
        <f t="shared" si="9"/>
        <v>224795.18552852364</v>
      </c>
    </row>
    <row r="119" spans="1:16" ht="75">
      <c r="A119" s="106" t="s">
        <v>938</v>
      </c>
      <c r="B119" s="218" t="s">
        <v>875</v>
      </c>
      <c r="C119" s="218" t="s">
        <v>368</v>
      </c>
      <c r="D119" s="218" t="s">
        <v>358</v>
      </c>
      <c r="E119" s="218" t="s">
        <v>940</v>
      </c>
      <c r="F119" s="218" t="s">
        <v>498</v>
      </c>
      <c r="G119" s="216"/>
      <c r="H119" s="217"/>
      <c r="I119" s="216"/>
      <c r="J119" s="215">
        <v>332.76895</v>
      </c>
      <c r="K119" s="275">
        <v>312.93185</v>
      </c>
      <c r="L119" s="214">
        <f t="shared" si="8"/>
        <v>94.03877675486248</v>
      </c>
      <c r="M119" s="228"/>
      <c r="N119" s="235"/>
      <c r="O119" s="166">
        <f t="shared" si="9"/>
        <v>551.6620232451376</v>
      </c>
      <c r="P119" s="166">
        <f>K119</f>
        <v>312.93185</v>
      </c>
    </row>
    <row r="120" spans="1:15" ht="45">
      <c r="A120" s="106" t="s">
        <v>933</v>
      </c>
      <c r="B120" s="218" t="s">
        <v>875</v>
      </c>
      <c r="C120" s="218" t="s">
        <v>368</v>
      </c>
      <c r="D120" s="218" t="s">
        <v>358</v>
      </c>
      <c r="E120" s="218" t="s">
        <v>939</v>
      </c>
      <c r="F120" s="218" t="s">
        <v>498</v>
      </c>
      <c r="G120" s="216"/>
      <c r="H120" s="217"/>
      <c r="I120" s="216"/>
      <c r="J120" s="215">
        <v>6575.87002</v>
      </c>
      <c r="K120" s="275">
        <v>6444.80095</v>
      </c>
      <c r="L120" s="214">
        <f t="shared" si="8"/>
        <v>98.00681781115863</v>
      </c>
      <c r="M120" s="228"/>
      <c r="N120" s="235"/>
      <c r="O120" s="166">
        <f t="shared" si="9"/>
        <v>12922.664152188841</v>
      </c>
    </row>
    <row r="121" spans="1:15" ht="30" hidden="1">
      <c r="A121" s="414" t="s">
        <v>514</v>
      </c>
      <c r="B121" s="218" t="s">
        <v>875</v>
      </c>
      <c r="C121" s="218" t="s">
        <v>368</v>
      </c>
      <c r="D121" s="218" t="s">
        <v>358</v>
      </c>
      <c r="E121" s="218" t="s">
        <v>939</v>
      </c>
      <c r="F121" s="218" t="s">
        <v>498</v>
      </c>
      <c r="G121" s="216"/>
      <c r="H121" s="217"/>
      <c r="I121" s="216"/>
      <c r="J121" s="215"/>
      <c r="K121" s="215"/>
      <c r="L121" s="214" t="e">
        <f t="shared" si="8"/>
        <v>#DIV/0!</v>
      </c>
      <c r="M121" s="228"/>
      <c r="N121" s="235"/>
      <c r="O121" s="166" t="e">
        <f t="shared" si="9"/>
        <v>#DIV/0!</v>
      </c>
    </row>
    <row r="122" spans="1:18" ht="45">
      <c r="A122" s="106" t="s">
        <v>516</v>
      </c>
      <c r="B122" s="218" t="s">
        <v>875</v>
      </c>
      <c r="C122" s="218" t="s">
        <v>368</v>
      </c>
      <c r="D122" s="218" t="s">
        <v>358</v>
      </c>
      <c r="E122" s="218" t="s">
        <v>937</v>
      </c>
      <c r="F122" s="218" t="s">
        <v>498</v>
      </c>
      <c r="G122" s="216"/>
      <c r="H122" s="217"/>
      <c r="I122" s="216"/>
      <c r="J122" s="215">
        <v>451.367</v>
      </c>
      <c r="K122" s="215">
        <v>451.367</v>
      </c>
      <c r="L122" s="214">
        <f t="shared" si="8"/>
        <v>100</v>
      </c>
      <c r="M122" s="228"/>
      <c r="N122" s="235"/>
      <c r="O122" s="166">
        <f t="shared" si="9"/>
        <v>802.734</v>
      </c>
      <c r="R122" s="166">
        <f>L122+L120</f>
        <v>198.0068178111586</v>
      </c>
    </row>
    <row r="123" spans="1:16" ht="75" hidden="1">
      <c r="A123" s="106" t="s">
        <v>938</v>
      </c>
      <c r="B123" s="218" t="s">
        <v>875</v>
      </c>
      <c r="C123" s="218" t="s">
        <v>368</v>
      </c>
      <c r="D123" s="218" t="s">
        <v>358</v>
      </c>
      <c r="E123" s="218" t="s">
        <v>937</v>
      </c>
      <c r="F123" s="218" t="s">
        <v>498</v>
      </c>
      <c r="G123" s="216"/>
      <c r="H123" s="217"/>
      <c r="I123" s="216"/>
      <c r="J123" s="215"/>
      <c r="K123" s="215"/>
      <c r="L123" s="214" t="e">
        <f t="shared" si="8"/>
        <v>#DIV/0!</v>
      </c>
      <c r="M123" s="228"/>
      <c r="N123" s="235"/>
      <c r="O123" s="166" t="e">
        <f t="shared" si="9"/>
        <v>#DIV/0!</v>
      </c>
      <c r="P123" s="166">
        <f>K123</f>
        <v>0</v>
      </c>
    </row>
    <row r="124" spans="1:19" ht="60">
      <c r="A124" s="106" t="s">
        <v>936</v>
      </c>
      <c r="B124" s="218" t="s">
        <v>875</v>
      </c>
      <c r="C124" s="218" t="s">
        <v>368</v>
      </c>
      <c r="D124" s="218" t="s">
        <v>358</v>
      </c>
      <c r="E124" s="218" t="s">
        <v>935</v>
      </c>
      <c r="F124" s="218" t="s">
        <v>498</v>
      </c>
      <c r="G124" s="216"/>
      <c r="H124" s="217"/>
      <c r="I124" s="216"/>
      <c r="J124" s="215">
        <v>1636.3</v>
      </c>
      <c r="K124" s="215">
        <v>1636.3</v>
      </c>
      <c r="L124" s="214">
        <f t="shared" si="8"/>
        <v>100</v>
      </c>
      <c r="M124" s="228"/>
      <c r="N124" s="235"/>
      <c r="O124" s="166">
        <f t="shared" si="9"/>
        <v>3172.6</v>
      </c>
      <c r="P124" s="166">
        <f>K124</f>
        <v>1636.3</v>
      </c>
      <c r="S124" s="166">
        <f>K122+K120</f>
        <v>6896.16795</v>
      </c>
    </row>
    <row r="125" spans="1:15" ht="30">
      <c r="A125" s="106" t="s">
        <v>934</v>
      </c>
      <c r="B125" s="218" t="s">
        <v>875</v>
      </c>
      <c r="C125" s="218" t="s">
        <v>368</v>
      </c>
      <c r="D125" s="218" t="s">
        <v>358</v>
      </c>
      <c r="E125" s="218" t="s">
        <v>598</v>
      </c>
      <c r="F125" s="218"/>
      <c r="G125" s="216">
        <f>G126</f>
        <v>165.6</v>
      </c>
      <c r="H125" s="216">
        <f>H126</f>
        <v>10207.24</v>
      </c>
      <c r="I125" s="216">
        <f>I126</f>
        <v>0</v>
      </c>
      <c r="J125" s="215">
        <f>J126</f>
        <v>9684.293</v>
      </c>
      <c r="K125" s="215">
        <f>K126</f>
        <v>9182.13577</v>
      </c>
      <c r="L125" s="214">
        <f t="shared" si="8"/>
        <v>94.8147249365545</v>
      </c>
      <c r="M125" s="228">
        <f>M126</f>
        <v>15</v>
      </c>
      <c r="N125" s="227">
        <f>N126</f>
        <v>209.53244087487192</v>
      </c>
      <c r="O125" s="166">
        <f t="shared" si="9"/>
        <v>18771.614045063445</v>
      </c>
    </row>
    <row r="126" spans="1:15" ht="30">
      <c r="A126" s="106" t="s">
        <v>501</v>
      </c>
      <c r="B126" s="218" t="s">
        <v>875</v>
      </c>
      <c r="C126" s="218" t="s">
        <v>368</v>
      </c>
      <c r="D126" s="218" t="s">
        <v>358</v>
      </c>
      <c r="E126" s="218" t="s">
        <v>597</v>
      </c>
      <c r="F126" s="218"/>
      <c r="G126" s="216">
        <f>G127+G129</f>
        <v>165.6</v>
      </c>
      <c r="H126" s="216">
        <f>H127+H129</f>
        <v>10207.24</v>
      </c>
      <c r="I126" s="216">
        <f>I127+I129</f>
        <v>0</v>
      </c>
      <c r="J126" s="215">
        <f>J127+J129+J128</f>
        <v>9684.293</v>
      </c>
      <c r="K126" s="215">
        <f>K127+K129+K128</f>
        <v>9182.13577</v>
      </c>
      <c r="L126" s="214">
        <f t="shared" si="8"/>
        <v>94.8147249365545</v>
      </c>
      <c r="M126" s="228">
        <f>M127+M129</f>
        <v>15</v>
      </c>
      <c r="N126" s="300">
        <f>N127+N129</f>
        <v>209.53244087487192</v>
      </c>
      <c r="O126" s="166">
        <f t="shared" si="9"/>
        <v>18771.614045063445</v>
      </c>
    </row>
    <row r="127" spans="1:16" ht="27.75" customHeight="1">
      <c r="A127" s="106" t="s">
        <v>514</v>
      </c>
      <c r="B127" s="218" t="s">
        <v>875</v>
      </c>
      <c r="C127" s="218" t="s">
        <v>368</v>
      </c>
      <c r="D127" s="218" t="s">
        <v>358</v>
      </c>
      <c r="E127" s="218" t="s">
        <v>597</v>
      </c>
      <c r="F127" s="218" t="s">
        <v>498</v>
      </c>
      <c r="G127" s="216">
        <v>165.6</v>
      </c>
      <c r="H127" s="217">
        <v>10077.24</v>
      </c>
      <c r="I127" s="216"/>
      <c r="J127" s="413">
        <f>9228.993-44.7</f>
        <v>9184.293</v>
      </c>
      <c r="K127" s="413">
        <v>8682.13635</v>
      </c>
      <c r="L127" s="214">
        <f t="shared" si="8"/>
        <v>94.53244087487192</v>
      </c>
      <c r="M127" s="228">
        <f>15</f>
        <v>15</v>
      </c>
      <c r="N127" s="300">
        <f>L127+M127</f>
        <v>109.53244087487192</v>
      </c>
      <c r="O127" s="166">
        <f t="shared" si="9"/>
        <v>17771.896909125127</v>
      </c>
      <c r="P127" s="321">
        <f>L127-O127</f>
        <v>-17677.364468250256</v>
      </c>
    </row>
    <row r="128" spans="1:16" ht="27.75" customHeight="1">
      <c r="A128" s="106" t="s">
        <v>933</v>
      </c>
      <c r="B128" s="218" t="s">
        <v>875</v>
      </c>
      <c r="C128" s="218" t="s">
        <v>368</v>
      </c>
      <c r="D128" s="218" t="s">
        <v>358</v>
      </c>
      <c r="E128" s="218" t="s">
        <v>932</v>
      </c>
      <c r="F128" s="218" t="s">
        <v>498</v>
      </c>
      <c r="G128" s="216"/>
      <c r="H128" s="217"/>
      <c r="I128" s="216"/>
      <c r="J128" s="215">
        <v>272.727</v>
      </c>
      <c r="K128" s="412">
        <v>272.72642</v>
      </c>
      <c r="L128" s="214">
        <f t="shared" si="8"/>
        <v>99.99978733312068</v>
      </c>
      <c r="M128" s="228"/>
      <c r="N128" s="300"/>
      <c r="O128" s="166">
        <f t="shared" si="9"/>
        <v>445.45363266687934</v>
      </c>
      <c r="P128" s="321"/>
    </row>
    <row r="129" spans="1:15" ht="45">
      <c r="A129" s="106" t="s">
        <v>516</v>
      </c>
      <c r="B129" s="218" t="s">
        <v>875</v>
      </c>
      <c r="C129" s="218" t="s">
        <v>368</v>
      </c>
      <c r="D129" s="218" t="s">
        <v>358</v>
      </c>
      <c r="E129" s="218" t="s">
        <v>931</v>
      </c>
      <c r="F129" s="218" t="s">
        <v>498</v>
      </c>
      <c r="G129" s="216"/>
      <c r="H129" s="217">
        <v>130</v>
      </c>
      <c r="I129" s="216"/>
      <c r="J129" s="215">
        <v>227.273</v>
      </c>
      <c r="K129" s="215">
        <v>227.273</v>
      </c>
      <c r="L129" s="214">
        <f t="shared" si="8"/>
        <v>100</v>
      </c>
      <c r="M129" s="228"/>
      <c r="N129" s="235">
        <f>L129+M129</f>
        <v>100</v>
      </c>
      <c r="O129" s="166">
        <f t="shared" si="9"/>
        <v>354.546</v>
      </c>
    </row>
    <row r="130" spans="1:15" ht="45">
      <c r="A130" s="106" t="s">
        <v>930</v>
      </c>
      <c r="B130" s="218" t="s">
        <v>875</v>
      </c>
      <c r="C130" s="218" t="s">
        <v>368</v>
      </c>
      <c r="D130" s="218" t="s">
        <v>358</v>
      </c>
      <c r="E130" s="218" t="s">
        <v>929</v>
      </c>
      <c r="F130" s="218"/>
      <c r="G130" s="216"/>
      <c r="H130" s="217"/>
      <c r="I130" s="216"/>
      <c r="J130" s="215">
        <f>SUM(J131:J133)</f>
        <v>8204</v>
      </c>
      <c r="K130" s="215">
        <f>SUM(K131:K133)</f>
        <v>8204</v>
      </c>
      <c r="L130" s="214">
        <f t="shared" si="8"/>
        <v>100</v>
      </c>
      <c r="M130" s="312">
        <f>SUM(M131:M132)</f>
        <v>0</v>
      </c>
      <c r="N130" s="311">
        <f>SUM(N131:N132)</f>
        <v>0</v>
      </c>
      <c r="O130" s="166">
        <f t="shared" si="9"/>
        <v>16308</v>
      </c>
    </row>
    <row r="131" spans="1:15" ht="30">
      <c r="A131" s="106" t="s">
        <v>607</v>
      </c>
      <c r="B131" s="218" t="s">
        <v>875</v>
      </c>
      <c r="C131" s="218" t="s">
        <v>368</v>
      </c>
      <c r="D131" s="218" t="s">
        <v>358</v>
      </c>
      <c r="E131" s="218" t="s">
        <v>929</v>
      </c>
      <c r="F131" s="218" t="s">
        <v>498</v>
      </c>
      <c r="G131" s="216"/>
      <c r="H131" s="217"/>
      <c r="I131" s="216"/>
      <c r="J131" s="215">
        <v>6554</v>
      </c>
      <c r="K131" s="215">
        <v>6554</v>
      </c>
      <c r="L131" s="214">
        <f t="shared" si="8"/>
        <v>100</v>
      </c>
      <c r="M131" s="228"/>
      <c r="N131" s="235"/>
      <c r="O131" s="166">
        <f t="shared" si="9"/>
        <v>13008</v>
      </c>
    </row>
    <row r="132" spans="1:15" ht="30">
      <c r="A132" s="106" t="s">
        <v>514</v>
      </c>
      <c r="B132" s="218" t="s">
        <v>875</v>
      </c>
      <c r="C132" s="218" t="s">
        <v>368</v>
      </c>
      <c r="D132" s="218" t="s">
        <v>358</v>
      </c>
      <c r="E132" s="218" t="s">
        <v>928</v>
      </c>
      <c r="F132" s="218" t="s">
        <v>498</v>
      </c>
      <c r="G132" s="216"/>
      <c r="H132" s="217"/>
      <c r="I132" s="216"/>
      <c r="J132" s="215">
        <v>1650</v>
      </c>
      <c r="K132" s="215">
        <v>1650</v>
      </c>
      <c r="L132" s="214">
        <f t="shared" si="8"/>
        <v>100</v>
      </c>
      <c r="M132" s="228"/>
      <c r="N132" s="235"/>
      <c r="O132" s="166">
        <f t="shared" si="9"/>
        <v>3200</v>
      </c>
    </row>
    <row r="133" spans="1:15" ht="30" hidden="1">
      <c r="A133" s="106" t="s">
        <v>514</v>
      </c>
      <c r="B133" s="218" t="s">
        <v>875</v>
      </c>
      <c r="C133" s="218" t="s">
        <v>368</v>
      </c>
      <c r="D133" s="218" t="s">
        <v>358</v>
      </c>
      <c r="E133" s="218" t="s">
        <v>927</v>
      </c>
      <c r="F133" s="218" t="s">
        <v>498</v>
      </c>
      <c r="G133" s="216"/>
      <c r="H133" s="217"/>
      <c r="I133" s="216"/>
      <c r="J133" s="215"/>
      <c r="K133" s="215"/>
      <c r="L133" s="214" t="e">
        <f t="shared" si="8"/>
        <v>#DIV/0!</v>
      </c>
      <c r="M133" s="228"/>
      <c r="N133" s="235"/>
      <c r="O133" s="166" t="e">
        <f t="shared" si="9"/>
        <v>#DIV/0!</v>
      </c>
    </row>
    <row r="134" spans="1:15" ht="30">
      <c r="A134" s="106" t="s">
        <v>918</v>
      </c>
      <c r="B134" s="218" t="s">
        <v>875</v>
      </c>
      <c r="C134" s="218" t="s">
        <v>368</v>
      </c>
      <c r="D134" s="218" t="s">
        <v>358</v>
      </c>
      <c r="E134" s="218" t="s">
        <v>916</v>
      </c>
      <c r="F134" s="218"/>
      <c r="G134" s="216"/>
      <c r="H134" s="217"/>
      <c r="I134" s="216"/>
      <c r="J134" s="215">
        <f>J135+J136</f>
        <v>4598.169</v>
      </c>
      <c r="K134" s="215">
        <f>K135+K136</f>
        <v>4575.432</v>
      </c>
      <c r="L134" s="214">
        <f t="shared" si="8"/>
        <v>99.5055205669909</v>
      </c>
      <c r="M134" s="228"/>
      <c r="N134" s="235"/>
      <c r="O134" s="166">
        <f t="shared" si="9"/>
        <v>9074.095479433008</v>
      </c>
    </row>
    <row r="135" spans="1:15" ht="30">
      <c r="A135" s="106" t="s">
        <v>917</v>
      </c>
      <c r="B135" s="218" t="s">
        <v>875</v>
      </c>
      <c r="C135" s="218" t="s">
        <v>368</v>
      </c>
      <c r="D135" s="218" t="s">
        <v>358</v>
      </c>
      <c r="E135" s="218" t="s">
        <v>916</v>
      </c>
      <c r="F135" s="218" t="s">
        <v>498</v>
      </c>
      <c r="G135" s="216"/>
      <c r="H135" s="217"/>
      <c r="I135" s="216"/>
      <c r="J135" s="215">
        <v>4367.369</v>
      </c>
      <c r="K135" s="215">
        <v>4344.632</v>
      </c>
      <c r="L135" s="214">
        <f t="shared" si="8"/>
        <v>99.47938907841312</v>
      </c>
      <c r="M135" s="228"/>
      <c r="N135" s="235"/>
      <c r="O135" s="166">
        <f t="shared" si="9"/>
        <v>8612.521610921587</v>
      </c>
    </row>
    <row r="136" spans="1:15" ht="30">
      <c r="A136" s="106" t="s">
        <v>926</v>
      </c>
      <c r="B136" s="218" t="s">
        <v>875</v>
      </c>
      <c r="C136" s="218" t="s">
        <v>368</v>
      </c>
      <c r="D136" s="218" t="s">
        <v>358</v>
      </c>
      <c r="E136" s="218" t="s">
        <v>925</v>
      </c>
      <c r="F136" s="218" t="s">
        <v>498</v>
      </c>
      <c r="G136" s="216"/>
      <c r="H136" s="217"/>
      <c r="I136" s="216"/>
      <c r="J136" s="215">
        <v>230.8</v>
      </c>
      <c r="K136" s="215">
        <v>230.8</v>
      </c>
      <c r="L136" s="214">
        <f t="shared" si="8"/>
        <v>100</v>
      </c>
      <c r="M136" s="228"/>
      <c r="N136" s="235"/>
      <c r="O136" s="166">
        <f t="shared" si="9"/>
        <v>361.6</v>
      </c>
    </row>
    <row r="137" spans="1:15" ht="30">
      <c r="A137" s="106" t="s">
        <v>890</v>
      </c>
      <c r="B137" s="218" t="s">
        <v>875</v>
      </c>
      <c r="C137" s="218" t="s">
        <v>368</v>
      </c>
      <c r="D137" s="218" t="s">
        <v>358</v>
      </c>
      <c r="E137" s="218" t="s">
        <v>889</v>
      </c>
      <c r="F137" s="218"/>
      <c r="G137" s="216">
        <f aca="true" t="shared" si="13" ref="G137:I138">G138</f>
        <v>0</v>
      </c>
      <c r="H137" s="216">
        <f t="shared" si="13"/>
        <v>2756.5</v>
      </c>
      <c r="I137" s="216">
        <f t="shared" si="13"/>
        <v>0</v>
      </c>
      <c r="J137" s="215">
        <f>J138+J140+J142</f>
        <v>5472.654</v>
      </c>
      <c r="K137" s="215">
        <f>K138+K140+K142</f>
        <v>5467.09827</v>
      </c>
      <c r="L137" s="214">
        <f t="shared" si="8"/>
        <v>99.89848197967568</v>
      </c>
      <c r="M137" s="276">
        <f>M138+M140</f>
        <v>0</v>
      </c>
      <c r="N137" s="235">
        <f>N138+N140</f>
        <v>199.79098081264107</v>
      </c>
      <c r="O137" s="166">
        <f t="shared" si="9"/>
        <v>10839.853788020326</v>
      </c>
    </row>
    <row r="138" spans="1:15" ht="75">
      <c r="A138" s="106" t="s">
        <v>924</v>
      </c>
      <c r="B138" s="218" t="s">
        <v>875</v>
      </c>
      <c r="C138" s="218" t="s">
        <v>368</v>
      </c>
      <c r="D138" s="218" t="s">
        <v>358</v>
      </c>
      <c r="E138" s="218" t="s">
        <v>923</v>
      </c>
      <c r="F138" s="218"/>
      <c r="G138" s="216">
        <f t="shared" si="13"/>
        <v>0</v>
      </c>
      <c r="H138" s="217">
        <f t="shared" si="13"/>
        <v>2756.5</v>
      </c>
      <c r="I138" s="216">
        <f t="shared" si="13"/>
        <v>0</v>
      </c>
      <c r="J138" s="215">
        <f>J139</f>
        <v>2658</v>
      </c>
      <c r="K138" s="215">
        <f>K139</f>
        <v>2652.44427</v>
      </c>
      <c r="L138" s="214">
        <f t="shared" si="8"/>
        <v>99.79098081264108</v>
      </c>
      <c r="M138" s="228">
        <f>M139</f>
        <v>0</v>
      </c>
      <c r="N138" s="235">
        <f>N139</f>
        <v>99.79098081264108</v>
      </c>
      <c r="O138" s="166">
        <f t="shared" si="9"/>
        <v>5210.6532891873585</v>
      </c>
    </row>
    <row r="139" spans="1:15" ht="30">
      <c r="A139" s="106" t="s">
        <v>514</v>
      </c>
      <c r="B139" s="218" t="s">
        <v>875</v>
      </c>
      <c r="C139" s="218" t="s">
        <v>368</v>
      </c>
      <c r="D139" s="218" t="s">
        <v>358</v>
      </c>
      <c r="E139" s="218" t="s">
        <v>923</v>
      </c>
      <c r="F139" s="218" t="s">
        <v>498</v>
      </c>
      <c r="G139" s="216"/>
      <c r="H139" s="217">
        <v>2756.5</v>
      </c>
      <c r="I139" s="216"/>
      <c r="J139" s="215">
        <v>2658</v>
      </c>
      <c r="K139" s="215">
        <v>2652.44427</v>
      </c>
      <c r="L139" s="214">
        <f t="shared" si="8"/>
        <v>99.79098081264108</v>
      </c>
      <c r="M139" s="228"/>
      <c r="N139" s="235">
        <f>L139+M139</f>
        <v>99.79098081264108</v>
      </c>
      <c r="O139" s="166">
        <f t="shared" si="9"/>
        <v>5210.6532891873585</v>
      </c>
    </row>
    <row r="140" spans="1:15" ht="30">
      <c r="A140" s="408" t="s">
        <v>922</v>
      </c>
      <c r="B140" s="411" t="s">
        <v>875</v>
      </c>
      <c r="C140" s="409" t="s">
        <v>368</v>
      </c>
      <c r="D140" s="409" t="s">
        <v>358</v>
      </c>
      <c r="E140" s="410">
        <v>5202400</v>
      </c>
      <c r="F140" s="409"/>
      <c r="G140" s="216"/>
      <c r="H140" s="217"/>
      <c r="I140" s="216"/>
      <c r="J140" s="215">
        <f>J141</f>
        <v>1194.654</v>
      </c>
      <c r="K140" s="215">
        <f>K141</f>
        <v>1194.654</v>
      </c>
      <c r="L140" s="214">
        <f aca="true" t="shared" si="14" ref="L140:L203">K140/J140*100</f>
        <v>100</v>
      </c>
      <c r="M140" s="228">
        <f>M141</f>
        <v>0</v>
      </c>
      <c r="N140" s="235">
        <f>N141</f>
        <v>100</v>
      </c>
      <c r="O140" s="166">
        <f aca="true" t="shared" si="15" ref="O140:O203">J140+K140-L140</f>
        <v>2289.308</v>
      </c>
    </row>
    <row r="141" spans="1:15" ht="30">
      <c r="A141" s="243" t="s">
        <v>514</v>
      </c>
      <c r="B141" s="411" t="s">
        <v>875</v>
      </c>
      <c r="C141" s="409" t="s">
        <v>368</v>
      </c>
      <c r="D141" s="409" t="s">
        <v>358</v>
      </c>
      <c r="E141" s="410">
        <v>5202400</v>
      </c>
      <c r="F141" s="409" t="s">
        <v>498</v>
      </c>
      <c r="G141" s="216"/>
      <c r="H141" s="217"/>
      <c r="I141" s="216"/>
      <c r="J141" s="215">
        <v>1194.654</v>
      </c>
      <c r="K141" s="215">
        <v>1194.654</v>
      </c>
      <c r="L141" s="214">
        <f t="shared" si="14"/>
        <v>100</v>
      </c>
      <c r="M141" s="228"/>
      <c r="N141" s="235">
        <f>L141+M141</f>
        <v>100</v>
      </c>
      <c r="O141" s="166">
        <f t="shared" si="15"/>
        <v>2289.308</v>
      </c>
    </row>
    <row r="142" spans="1:15" ht="75.75" customHeight="1">
      <c r="A142" s="408" t="s">
        <v>921</v>
      </c>
      <c r="B142" s="218" t="s">
        <v>875</v>
      </c>
      <c r="C142" s="218" t="s">
        <v>368</v>
      </c>
      <c r="D142" s="218" t="s">
        <v>358</v>
      </c>
      <c r="E142" s="218" t="s">
        <v>920</v>
      </c>
      <c r="F142" s="218"/>
      <c r="G142" s="216">
        <f>G143</f>
        <v>-100</v>
      </c>
      <c r="H142" s="216">
        <f>H143</f>
        <v>104.8</v>
      </c>
      <c r="I142" s="216">
        <f>I143</f>
        <v>0</v>
      </c>
      <c r="J142" s="215">
        <f>J143</f>
        <v>1620</v>
      </c>
      <c r="K142" s="215">
        <f>K143</f>
        <v>1620</v>
      </c>
      <c r="L142" s="214">
        <f t="shared" si="14"/>
        <v>100</v>
      </c>
      <c r="M142" s="228">
        <f>M143</f>
        <v>0</v>
      </c>
      <c r="N142" s="227">
        <f>N143</f>
        <v>100</v>
      </c>
      <c r="O142" s="166">
        <f t="shared" si="15"/>
        <v>3140</v>
      </c>
    </row>
    <row r="143" spans="1:15" ht="27" customHeight="1">
      <c r="A143" s="243" t="s">
        <v>514</v>
      </c>
      <c r="B143" s="218" t="s">
        <v>875</v>
      </c>
      <c r="C143" s="218" t="s">
        <v>368</v>
      </c>
      <c r="D143" s="218" t="s">
        <v>358</v>
      </c>
      <c r="E143" s="218" t="s">
        <v>920</v>
      </c>
      <c r="F143" s="218" t="s">
        <v>498</v>
      </c>
      <c r="G143" s="216">
        <v>-100</v>
      </c>
      <c r="H143" s="217">
        <v>104.8</v>
      </c>
      <c r="I143" s="216"/>
      <c r="J143" s="215">
        <v>1620</v>
      </c>
      <c r="K143" s="215">
        <v>1620</v>
      </c>
      <c r="L143" s="214">
        <f t="shared" si="14"/>
        <v>100</v>
      </c>
      <c r="M143" s="228"/>
      <c r="N143" s="235">
        <f>L143+M143</f>
        <v>100</v>
      </c>
      <c r="O143" s="166">
        <f t="shared" si="15"/>
        <v>3140</v>
      </c>
    </row>
    <row r="144" spans="1:15" ht="45" customHeight="1">
      <c r="A144" s="106" t="s">
        <v>627</v>
      </c>
      <c r="B144" s="218" t="s">
        <v>875</v>
      </c>
      <c r="C144" s="218" t="s">
        <v>368</v>
      </c>
      <c r="D144" s="218" t="s">
        <v>358</v>
      </c>
      <c r="E144" s="218" t="s">
        <v>626</v>
      </c>
      <c r="F144" s="218"/>
      <c r="G144" s="216">
        <f>G145</f>
        <v>-100</v>
      </c>
      <c r="H144" s="216">
        <f>H145</f>
        <v>104.8</v>
      </c>
      <c r="I144" s="216">
        <f>I145</f>
        <v>0</v>
      </c>
      <c r="J144" s="215">
        <f>J145</f>
        <v>274</v>
      </c>
      <c r="K144" s="215">
        <f>K145</f>
        <v>150</v>
      </c>
      <c r="L144" s="214">
        <f t="shared" si="14"/>
        <v>54.74452554744526</v>
      </c>
      <c r="M144" s="228">
        <f>M145</f>
        <v>0</v>
      </c>
      <c r="N144" s="227">
        <f>N145</f>
        <v>54.74452554744526</v>
      </c>
      <c r="O144" s="166">
        <f t="shared" si="15"/>
        <v>369.2554744525547</v>
      </c>
    </row>
    <row r="145" spans="1:15" ht="29.25" customHeight="1">
      <c r="A145" s="106" t="s">
        <v>491</v>
      </c>
      <c r="B145" s="218" t="s">
        <v>875</v>
      </c>
      <c r="C145" s="218" t="s">
        <v>368</v>
      </c>
      <c r="D145" s="218" t="s">
        <v>358</v>
      </c>
      <c r="E145" s="218" t="s">
        <v>626</v>
      </c>
      <c r="F145" s="218" t="s">
        <v>488</v>
      </c>
      <c r="G145" s="216">
        <v>-100</v>
      </c>
      <c r="H145" s="217">
        <v>104.8</v>
      </c>
      <c r="I145" s="216"/>
      <c r="J145" s="215">
        <v>274</v>
      </c>
      <c r="K145" s="215">
        <v>150</v>
      </c>
      <c r="L145" s="214">
        <f t="shared" si="14"/>
        <v>54.74452554744526</v>
      </c>
      <c r="M145" s="228"/>
      <c r="N145" s="300">
        <f>L145+M145</f>
        <v>54.74452554744526</v>
      </c>
      <c r="O145" s="166">
        <f t="shared" si="15"/>
        <v>369.2554744525547</v>
      </c>
    </row>
    <row r="146" spans="1:15" ht="29.25">
      <c r="A146" s="293" t="s">
        <v>919</v>
      </c>
      <c r="B146" s="143" t="s">
        <v>875</v>
      </c>
      <c r="C146" s="143" t="s">
        <v>368</v>
      </c>
      <c r="D146" s="143" t="s">
        <v>364</v>
      </c>
      <c r="E146" s="143"/>
      <c r="F146" s="143"/>
      <c r="G146" s="128" t="e">
        <f>G147+G150</f>
        <v>#REF!</v>
      </c>
      <c r="H146" s="128">
        <f>H147+H150</f>
        <v>234.8</v>
      </c>
      <c r="I146" s="128">
        <f>I147+I150</f>
        <v>0</v>
      </c>
      <c r="J146" s="141">
        <f>J147+J150+J152</f>
        <v>329.21</v>
      </c>
      <c r="K146" s="141">
        <f>K147+K150+K152</f>
        <v>262.774</v>
      </c>
      <c r="L146" s="172">
        <f t="shared" si="14"/>
        <v>79.8195680568634</v>
      </c>
      <c r="M146" s="230">
        <f>M147+M150</f>
        <v>44.61</v>
      </c>
      <c r="N146" s="229" t="e">
        <f>N147+N150</f>
        <v>#DIV/0!</v>
      </c>
      <c r="O146" s="166">
        <f t="shared" si="15"/>
        <v>512.1644319431365</v>
      </c>
    </row>
    <row r="147" spans="1:15" ht="30">
      <c r="A147" s="106" t="s">
        <v>595</v>
      </c>
      <c r="B147" s="218" t="s">
        <v>875</v>
      </c>
      <c r="C147" s="218" t="s">
        <v>368</v>
      </c>
      <c r="D147" s="218" t="s">
        <v>364</v>
      </c>
      <c r="E147" s="218" t="s">
        <v>594</v>
      </c>
      <c r="F147" s="218"/>
      <c r="G147" s="216">
        <f aca="true" t="shared" si="16" ref="G147:K148">G148</f>
        <v>-224</v>
      </c>
      <c r="H147" s="216">
        <f t="shared" si="16"/>
        <v>234.8</v>
      </c>
      <c r="I147" s="216">
        <f t="shared" si="16"/>
        <v>0</v>
      </c>
      <c r="J147" s="215">
        <f t="shared" si="16"/>
        <v>86.879</v>
      </c>
      <c r="K147" s="215">
        <f t="shared" si="16"/>
        <v>20.443</v>
      </c>
      <c r="L147" s="214">
        <f t="shared" si="14"/>
        <v>23.530427376005708</v>
      </c>
      <c r="M147" s="228">
        <f>M148</f>
        <v>0</v>
      </c>
      <c r="N147" s="227">
        <f>N148</f>
        <v>23.530427376005708</v>
      </c>
      <c r="O147" s="166">
        <f t="shared" si="15"/>
        <v>83.7915726239943</v>
      </c>
    </row>
    <row r="148" spans="1:15" ht="30">
      <c r="A148" s="106" t="s">
        <v>592</v>
      </c>
      <c r="B148" s="218" t="s">
        <v>875</v>
      </c>
      <c r="C148" s="218" t="s">
        <v>368</v>
      </c>
      <c r="D148" s="218" t="s">
        <v>364</v>
      </c>
      <c r="E148" s="218" t="s">
        <v>593</v>
      </c>
      <c r="F148" s="218"/>
      <c r="G148" s="216">
        <f t="shared" si="16"/>
        <v>-224</v>
      </c>
      <c r="H148" s="216">
        <f t="shared" si="16"/>
        <v>234.8</v>
      </c>
      <c r="I148" s="216">
        <f t="shared" si="16"/>
        <v>0</v>
      </c>
      <c r="J148" s="215">
        <f t="shared" si="16"/>
        <v>86.879</v>
      </c>
      <c r="K148" s="215">
        <f t="shared" si="16"/>
        <v>20.443</v>
      </c>
      <c r="L148" s="214">
        <f t="shared" si="14"/>
        <v>23.530427376005708</v>
      </c>
      <c r="M148" s="228">
        <f>M149</f>
        <v>0</v>
      </c>
      <c r="N148" s="227">
        <f>N149</f>
        <v>23.530427376005708</v>
      </c>
      <c r="O148" s="166">
        <f t="shared" si="15"/>
        <v>83.7915726239943</v>
      </c>
    </row>
    <row r="149" spans="1:15" ht="30">
      <c r="A149" s="106" t="s">
        <v>491</v>
      </c>
      <c r="B149" s="218" t="s">
        <v>875</v>
      </c>
      <c r="C149" s="218" t="s">
        <v>368</v>
      </c>
      <c r="D149" s="218" t="s">
        <v>364</v>
      </c>
      <c r="E149" s="218" t="s">
        <v>593</v>
      </c>
      <c r="F149" s="218" t="s">
        <v>488</v>
      </c>
      <c r="G149" s="216">
        <v>-224</v>
      </c>
      <c r="H149" s="217">
        <v>234.8</v>
      </c>
      <c r="I149" s="216"/>
      <c r="J149" s="215">
        <v>86.879</v>
      </c>
      <c r="K149" s="215">
        <v>20.443</v>
      </c>
      <c r="L149" s="214">
        <f t="shared" si="14"/>
        <v>23.530427376005708</v>
      </c>
      <c r="M149" s="228"/>
      <c r="N149" s="235">
        <f>L149+M149</f>
        <v>23.530427376005708</v>
      </c>
      <c r="O149" s="166">
        <f t="shared" si="15"/>
        <v>83.7915726239943</v>
      </c>
    </row>
    <row r="150" spans="1:15" ht="30" hidden="1">
      <c r="A150" s="106" t="s">
        <v>592</v>
      </c>
      <c r="B150" s="218" t="s">
        <v>875</v>
      </c>
      <c r="C150" s="218" t="s">
        <v>368</v>
      </c>
      <c r="D150" s="218" t="s">
        <v>364</v>
      </c>
      <c r="E150" s="218" t="s">
        <v>591</v>
      </c>
      <c r="F150" s="218"/>
      <c r="G150" s="216" t="e">
        <f>G151</f>
        <v>#REF!</v>
      </c>
      <c r="H150" s="216">
        <f>H151</f>
        <v>0</v>
      </c>
      <c r="I150" s="216">
        <f>I151</f>
        <v>0</v>
      </c>
      <c r="J150" s="215">
        <f>J151</f>
        <v>0</v>
      </c>
      <c r="K150" s="215">
        <f>K151</f>
        <v>0</v>
      </c>
      <c r="L150" s="214" t="e">
        <f t="shared" si="14"/>
        <v>#DIV/0!</v>
      </c>
      <c r="M150" s="228">
        <f>M151</f>
        <v>44.61</v>
      </c>
      <c r="N150" s="227" t="e">
        <f>N151</f>
        <v>#DIV/0!</v>
      </c>
      <c r="O150" s="166" t="e">
        <f t="shared" si="15"/>
        <v>#DIV/0!</v>
      </c>
    </row>
    <row r="151" spans="1:15" ht="30" hidden="1">
      <c r="A151" s="106" t="s">
        <v>491</v>
      </c>
      <c r="B151" s="218" t="s">
        <v>875</v>
      </c>
      <c r="C151" s="218" t="s">
        <v>368</v>
      </c>
      <c r="D151" s="218" t="s">
        <v>364</v>
      </c>
      <c r="E151" s="218" t="s">
        <v>591</v>
      </c>
      <c r="F151" s="218" t="s">
        <v>488</v>
      </c>
      <c r="G151" s="217" t="e">
        <f>H151-#REF!</f>
        <v>#REF!</v>
      </c>
      <c r="H151" s="217"/>
      <c r="I151" s="217"/>
      <c r="J151" s="215"/>
      <c r="K151" s="215"/>
      <c r="L151" s="214" t="e">
        <f t="shared" si="14"/>
        <v>#DIV/0!</v>
      </c>
      <c r="M151" s="276">
        <f>44.61</f>
        <v>44.61</v>
      </c>
      <c r="N151" s="235" t="e">
        <f>L151+M151</f>
        <v>#DIV/0!</v>
      </c>
      <c r="O151" s="166" t="e">
        <f t="shared" si="15"/>
        <v>#DIV/0!</v>
      </c>
    </row>
    <row r="152" spans="1:15" ht="30">
      <c r="A152" s="106" t="s">
        <v>918</v>
      </c>
      <c r="B152" s="218" t="s">
        <v>875</v>
      </c>
      <c r="C152" s="218" t="s">
        <v>368</v>
      </c>
      <c r="D152" s="218" t="s">
        <v>364</v>
      </c>
      <c r="E152" s="218" t="s">
        <v>916</v>
      </c>
      <c r="F152" s="218"/>
      <c r="G152" s="217"/>
      <c r="H152" s="217"/>
      <c r="I152" s="217"/>
      <c r="J152" s="215">
        <f>J153</f>
        <v>242.331</v>
      </c>
      <c r="K152" s="215">
        <f>K153</f>
        <v>242.331</v>
      </c>
      <c r="L152" s="214">
        <f t="shared" si="14"/>
        <v>100</v>
      </c>
      <c r="M152" s="276"/>
      <c r="N152" s="235"/>
      <c r="O152" s="166">
        <f t="shared" si="15"/>
        <v>384.662</v>
      </c>
    </row>
    <row r="153" spans="1:15" ht="30">
      <c r="A153" s="106" t="s">
        <v>917</v>
      </c>
      <c r="B153" s="218" t="s">
        <v>875</v>
      </c>
      <c r="C153" s="218" t="s">
        <v>368</v>
      </c>
      <c r="D153" s="218" t="s">
        <v>364</v>
      </c>
      <c r="E153" s="218" t="s">
        <v>916</v>
      </c>
      <c r="F153" s="218" t="s">
        <v>498</v>
      </c>
      <c r="G153" s="217"/>
      <c r="H153" s="217"/>
      <c r="I153" s="217"/>
      <c r="J153" s="215">
        <v>242.331</v>
      </c>
      <c r="K153" s="215">
        <v>242.331</v>
      </c>
      <c r="L153" s="214">
        <f t="shared" si="14"/>
        <v>100</v>
      </c>
      <c r="M153" s="276"/>
      <c r="N153" s="235"/>
      <c r="O153" s="166">
        <f t="shared" si="15"/>
        <v>384.662</v>
      </c>
    </row>
    <row r="154" spans="1:15" ht="29.25">
      <c r="A154" s="293" t="s">
        <v>403</v>
      </c>
      <c r="B154" s="143" t="s">
        <v>875</v>
      </c>
      <c r="C154" s="143" t="s">
        <v>368</v>
      </c>
      <c r="D154" s="143" t="s">
        <v>368</v>
      </c>
      <c r="E154" s="143"/>
      <c r="F154" s="143"/>
      <c r="G154" s="128">
        <f aca="true" t="shared" si="17" ref="G154:K155">G155</f>
        <v>821</v>
      </c>
      <c r="H154" s="128">
        <f t="shared" si="17"/>
        <v>650</v>
      </c>
      <c r="I154" s="128">
        <f t="shared" si="17"/>
        <v>0</v>
      </c>
      <c r="J154" s="141">
        <f t="shared" si="17"/>
        <v>2485.7325</v>
      </c>
      <c r="K154" s="141">
        <f t="shared" si="17"/>
        <v>2393.5155999999997</v>
      </c>
      <c r="L154" s="172">
        <f t="shared" si="14"/>
        <v>96.29015189687546</v>
      </c>
      <c r="M154" s="230">
        <f>M155</f>
        <v>670</v>
      </c>
      <c r="N154" s="229">
        <f>N155</f>
        <v>867.8863999627517</v>
      </c>
      <c r="O154" s="166">
        <f t="shared" si="15"/>
        <v>4782.957948103124</v>
      </c>
    </row>
    <row r="155" spans="1:15" ht="45">
      <c r="A155" s="106" t="s">
        <v>793</v>
      </c>
      <c r="B155" s="218" t="s">
        <v>875</v>
      </c>
      <c r="C155" s="218" t="s">
        <v>368</v>
      </c>
      <c r="D155" s="218" t="s">
        <v>368</v>
      </c>
      <c r="E155" s="218" t="s">
        <v>792</v>
      </c>
      <c r="F155" s="218"/>
      <c r="G155" s="216">
        <f t="shared" si="17"/>
        <v>821</v>
      </c>
      <c r="H155" s="216">
        <f t="shared" si="17"/>
        <v>650</v>
      </c>
      <c r="I155" s="216">
        <f t="shared" si="17"/>
        <v>0</v>
      </c>
      <c r="J155" s="215">
        <f t="shared" si="17"/>
        <v>2485.7325</v>
      </c>
      <c r="K155" s="215">
        <f t="shared" si="17"/>
        <v>2393.5155999999997</v>
      </c>
      <c r="L155" s="214">
        <f t="shared" si="14"/>
        <v>96.29015189687546</v>
      </c>
      <c r="M155" s="228">
        <f>M156</f>
        <v>670</v>
      </c>
      <c r="N155" s="227">
        <f>N156</f>
        <v>867.8863999627517</v>
      </c>
      <c r="O155" s="166">
        <f t="shared" si="15"/>
        <v>4782.957948103124</v>
      </c>
    </row>
    <row r="156" spans="1:15" ht="15">
      <c r="A156" s="106" t="s">
        <v>791</v>
      </c>
      <c r="B156" s="218" t="s">
        <v>875</v>
      </c>
      <c r="C156" s="218" t="s">
        <v>368</v>
      </c>
      <c r="D156" s="218" t="s">
        <v>368</v>
      </c>
      <c r="E156" s="218" t="s">
        <v>790</v>
      </c>
      <c r="F156" s="218"/>
      <c r="G156" s="216">
        <f>G157+G158</f>
        <v>821</v>
      </c>
      <c r="H156" s="216">
        <f>H157+H158</f>
        <v>650</v>
      </c>
      <c r="I156" s="216">
        <f>I157+I158</f>
        <v>0</v>
      </c>
      <c r="J156" s="215">
        <f>J157+J158+J159+J160</f>
        <v>2485.7325</v>
      </c>
      <c r="K156" s="215">
        <f>K157+K158+K159+K160</f>
        <v>2393.5155999999997</v>
      </c>
      <c r="L156" s="214">
        <f t="shared" si="14"/>
        <v>96.29015189687546</v>
      </c>
      <c r="M156" s="228">
        <f>M157+M158</f>
        <v>670</v>
      </c>
      <c r="N156" s="227">
        <f>N157+N158</f>
        <v>867.8863999627517</v>
      </c>
      <c r="O156" s="166">
        <f t="shared" si="15"/>
        <v>4782.957948103124</v>
      </c>
    </row>
    <row r="157" spans="1:16" ht="30">
      <c r="A157" s="106" t="s">
        <v>514</v>
      </c>
      <c r="B157" s="218" t="s">
        <v>875</v>
      </c>
      <c r="C157" s="218" t="s">
        <v>368</v>
      </c>
      <c r="D157" s="218" t="s">
        <v>368</v>
      </c>
      <c r="E157" s="218" t="s">
        <v>790</v>
      </c>
      <c r="F157" s="218" t="s">
        <v>498</v>
      </c>
      <c r="G157" s="216">
        <v>321</v>
      </c>
      <c r="H157" s="217">
        <v>650</v>
      </c>
      <c r="I157" s="216"/>
      <c r="J157" s="215">
        <v>396.5325</v>
      </c>
      <c r="K157" s="275">
        <v>391.56917</v>
      </c>
      <c r="L157" s="214">
        <f t="shared" si="14"/>
        <v>98.74831697275758</v>
      </c>
      <c r="M157" s="228"/>
      <c r="N157" s="235">
        <f>L157+M157</f>
        <v>98.74831697275758</v>
      </c>
      <c r="O157" s="166">
        <f t="shared" si="15"/>
        <v>689.3533530272424</v>
      </c>
      <c r="P157" s="166">
        <f>L157-O157</f>
        <v>-590.6050360544848</v>
      </c>
    </row>
    <row r="158" spans="1:15" ht="15">
      <c r="A158" s="106" t="s">
        <v>791</v>
      </c>
      <c r="B158" s="218" t="s">
        <v>875</v>
      </c>
      <c r="C158" s="218" t="s">
        <v>368</v>
      </c>
      <c r="D158" s="218" t="s">
        <v>368</v>
      </c>
      <c r="E158" s="218" t="s">
        <v>915</v>
      </c>
      <c r="F158" s="218" t="s">
        <v>498</v>
      </c>
      <c r="G158" s="216">
        <v>500</v>
      </c>
      <c r="H158" s="217"/>
      <c r="I158" s="216"/>
      <c r="J158" s="215">
        <v>1699</v>
      </c>
      <c r="K158" s="215">
        <v>1684.35603</v>
      </c>
      <c r="L158" s="214">
        <f t="shared" si="14"/>
        <v>99.13808298999412</v>
      </c>
      <c r="M158" s="228">
        <v>670</v>
      </c>
      <c r="N158" s="235">
        <f>L158+M158</f>
        <v>769.1380829899941</v>
      </c>
      <c r="O158" s="166">
        <f t="shared" si="15"/>
        <v>3284.217947010006</v>
      </c>
    </row>
    <row r="159" spans="1:15" ht="30">
      <c r="A159" s="106" t="s">
        <v>514</v>
      </c>
      <c r="B159" s="218" t="s">
        <v>875</v>
      </c>
      <c r="C159" s="218" t="s">
        <v>368</v>
      </c>
      <c r="D159" s="218" t="s">
        <v>368</v>
      </c>
      <c r="E159" s="218" t="s">
        <v>914</v>
      </c>
      <c r="F159" s="218" t="s">
        <v>498</v>
      </c>
      <c r="G159" s="216"/>
      <c r="H159" s="217"/>
      <c r="I159" s="216"/>
      <c r="J159" s="215">
        <v>200</v>
      </c>
      <c r="K159" s="215">
        <v>200</v>
      </c>
      <c r="L159" s="214">
        <f t="shared" si="14"/>
        <v>100</v>
      </c>
      <c r="M159" s="282"/>
      <c r="N159" s="315"/>
      <c r="O159" s="166">
        <f t="shared" si="15"/>
        <v>300</v>
      </c>
    </row>
    <row r="160" spans="1:15" ht="60">
      <c r="A160" s="106" t="s">
        <v>913</v>
      </c>
      <c r="B160" s="218" t="s">
        <v>875</v>
      </c>
      <c r="C160" s="218" t="s">
        <v>368</v>
      </c>
      <c r="D160" s="218" t="s">
        <v>368</v>
      </c>
      <c r="E160" s="218" t="s">
        <v>912</v>
      </c>
      <c r="F160" s="218" t="s">
        <v>498</v>
      </c>
      <c r="G160" s="216"/>
      <c r="H160" s="217"/>
      <c r="I160" s="216"/>
      <c r="J160" s="215">
        <v>190.2</v>
      </c>
      <c r="K160" s="215">
        <v>117.5904</v>
      </c>
      <c r="L160" s="214">
        <f t="shared" si="14"/>
        <v>61.824605678233446</v>
      </c>
      <c r="M160" s="282"/>
      <c r="N160" s="315"/>
      <c r="O160" s="166">
        <f t="shared" si="15"/>
        <v>245.96579432176654</v>
      </c>
    </row>
    <row r="161" spans="1:15" ht="26.25" customHeight="1">
      <c r="A161" s="293" t="s">
        <v>404</v>
      </c>
      <c r="B161" s="143" t="s">
        <v>875</v>
      </c>
      <c r="C161" s="143" t="s">
        <v>368</v>
      </c>
      <c r="D161" s="143" t="s">
        <v>378</v>
      </c>
      <c r="E161" s="143"/>
      <c r="F161" s="143"/>
      <c r="G161" s="128">
        <f>G162+G168+G171+G173</f>
        <v>878.1</v>
      </c>
      <c r="H161" s="128">
        <f>H162+H168+H171+H173</f>
        <v>6514.65</v>
      </c>
      <c r="I161" s="128">
        <f>I162+I168+I171+I173</f>
        <v>0</v>
      </c>
      <c r="J161" s="141">
        <f>J162+J168+J171+J173+J166</f>
        <v>7021.80198</v>
      </c>
      <c r="K161" s="141">
        <f>K162+K168+K171+K173+K166</f>
        <v>6747.5923</v>
      </c>
      <c r="L161" s="172">
        <f t="shared" si="14"/>
        <v>96.09488161612897</v>
      </c>
      <c r="M161" s="407">
        <f>M162+M168+M171+M173+M166</f>
        <v>-2135.304</v>
      </c>
      <c r="N161" s="406" t="e">
        <f>N162+N168+N171+N173+N166</f>
        <v>#DIV/0!</v>
      </c>
      <c r="O161" s="166">
        <f t="shared" si="15"/>
        <v>13673.299398383871</v>
      </c>
    </row>
    <row r="162" spans="1:15" ht="75">
      <c r="A162" s="106" t="s">
        <v>911</v>
      </c>
      <c r="B162" s="218" t="s">
        <v>875</v>
      </c>
      <c r="C162" s="218" t="s">
        <v>368</v>
      </c>
      <c r="D162" s="218" t="s">
        <v>378</v>
      </c>
      <c r="E162" s="218" t="s">
        <v>534</v>
      </c>
      <c r="F162" s="218"/>
      <c r="G162" s="216">
        <f>G163</f>
        <v>598.1</v>
      </c>
      <c r="H162" s="216">
        <f>H163</f>
        <v>1303.65</v>
      </c>
      <c r="I162" s="216">
        <f>I163</f>
        <v>0</v>
      </c>
      <c r="J162" s="215">
        <f>J163</f>
        <v>1108.947</v>
      </c>
      <c r="K162" s="215">
        <f>K163</f>
        <v>1093.5848</v>
      </c>
      <c r="L162" s="214">
        <f t="shared" si="14"/>
        <v>98.61470385870562</v>
      </c>
      <c r="M162" s="298">
        <f>M163</f>
        <v>-119.89</v>
      </c>
      <c r="N162" s="227" t="e">
        <f>N163</f>
        <v>#DIV/0!</v>
      </c>
      <c r="O162" s="166">
        <f t="shared" si="15"/>
        <v>2103.917096141294</v>
      </c>
    </row>
    <row r="163" spans="1:15" ht="15">
      <c r="A163" s="106" t="s">
        <v>533</v>
      </c>
      <c r="B163" s="218" t="s">
        <v>875</v>
      </c>
      <c r="C163" s="218" t="s">
        <v>368</v>
      </c>
      <c r="D163" s="218" t="s">
        <v>378</v>
      </c>
      <c r="E163" s="218" t="s">
        <v>532</v>
      </c>
      <c r="F163" s="218"/>
      <c r="G163" s="216">
        <f>G164+G165</f>
        <v>598.1</v>
      </c>
      <c r="H163" s="299">
        <f>H164+H165</f>
        <v>1303.65</v>
      </c>
      <c r="I163" s="299">
        <f>I164+I165</f>
        <v>0</v>
      </c>
      <c r="J163" s="215">
        <f>J164+J165</f>
        <v>1108.947</v>
      </c>
      <c r="K163" s="215">
        <f>K164+K165</f>
        <v>1093.5848</v>
      </c>
      <c r="L163" s="214">
        <f t="shared" si="14"/>
        <v>98.61470385870562</v>
      </c>
      <c r="M163" s="298">
        <f>M164+M165</f>
        <v>-119.89</v>
      </c>
      <c r="N163" s="300" t="e">
        <f>N164+N165</f>
        <v>#DIV/0!</v>
      </c>
      <c r="O163" s="166">
        <f t="shared" si="15"/>
        <v>2103.917096141294</v>
      </c>
    </row>
    <row r="164" spans="1:15" ht="30" hidden="1">
      <c r="A164" s="106" t="s">
        <v>514</v>
      </c>
      <c r="B164" s="218" t="s">
        <v>875</v>
      </c>
      <c r="C164" s="218" t="s">
        <v>368</v>
      </c>
      <c r="D164" s="218" t="s">
        <v>378</v>
      </c>
      <c r="E164" s="218" t="s">
        <v>532</v>
      </c>
      <c r="F164" s="143" t="s">
        <v>699</v>
      </c>
      <c r="G164" s="216"/>
      <c r="H164" s="299">
        <v>1303.65</v>
      </c>
      <c r="I164" s="299"/>
      <c r="J164" s="215"/>
      <c r="K164" s="215"/>
      <c r="L164" s="214" t="e">
        <f t="shared" si="14"/>
        <v>#DIV/0!</v>
      </c>
      <c r="M164" s="298">
        <f>-119.89</f>
        <v>-119.89</v>
      </c>
      <c r="N164" s="300" t="e">
        <f>L164+M164</f>
        <v>#DIV/0!</v>
      </c>
      <c r="O164" s="166" t="e">
        <f t="shared" si="15"/>
        <v>#DIV/0!</v>
      </c>
    </row>
    <row r="165" spans="1:16" ht="30">
      <c r="A165" s="106" t="s">
        <v>491</v>
      </c>
      <c r="B165" s="218" t="s">
        <v>875</v>
      </c>
      <c r="C165" s="218" t="s">
        <v>368</v>
      </c>
      <c r="D165" s="218" t="s">
        <v>378</v>
      </c>
      <c r="E165" s="218" t="s">
        <v>532</v>
      </c>
      <c r="F165" s="218" t="s">
        <v>488</v>
      </c>
      <c r="G165" s="216">
        <f>519.1+79</f>
        <v>598.1</v>
      </c>
      <c r="H165" s="217"/>
      <c r="I165" s="216"/>
      <c r="J165" s="215">
        <v>1108.947</v>
      </c>
      <c r="K165" s="215">
        <v>1093.5848</v>
      </c>
      <c r="L165" s="214">
        <f t="shared" si="14"/>
        <v>98.61470385870562</v>
      </c>
      <c r="M165" s="228"/>
      <c r="N165" s="235">
        <f>L165+M165</f>
        <v>98.61470385870562</v>
      </c>
      <c r="O165" s="166">
        <f t="shared" si="15"/>
        <v>2103.917096141294</v>
      </c>
      <c r="P165" s="190">
        <f>L165-O165</f>
        <v>-2005.3023922825887</v>
      </c>
    </row>
    <row r="166" spans="1:15" ht="75">
      <c r="A166" s="313" t="s">
        <v>910</v>
      </c>
      <c r="B166" s="218" t="s">
        <v>875</v>
      </c>
      <c r="C166" s="218" t="s">
        <v>368</v>
      </c>
      <c r="D166" s="218" t="s">
        <v>378</v>
      </c>
      <c r="E166" s="218" t="s">
        <v>909</v>
      </c>
      <c r="F166" s="218"/>
      <c r="G166" s="216"/>
      <c r="H166" s="217"/>
      <c r="I166" s="216"/>
      <c r="J166" s="215">
        <f>J167</f>
        <v>722.25498</v>
      </c>
      <c r="K166" s="215">
        <f>K167</f>
        <v>696.02984</v>
      </c>
      <c r="L166" s="214">
        <f t="shared" si="14"/>
        <v>96.36899146060578</v>
      </c>
      <c r="M166" s="228"/>
      <c r="N166" s="235"/>
      <c r="O166" s="166">
        <f t="shared" si="15"/>
        <v>1321.9158285393944</v>
      </c>
    </row>
    <row r="167" spans="1:16" ht="30">
      <c r="A167" s="106" t="s">
        <v>491</v>
      </c>
      <c r="B167" s="218" t="s">
        <v>875</v>
      </c>
      <c r="C167" s="218" t="s">
        <v>368</v>
      </c>
      <c r="D167" s="218" t="s">
        <v>378</v>
      </c>
      <c r="E167" s="218" t="s">
        <v>909</v>
      </c>
      <c r="F167" s="218" t="s">
        <v>488</v>
      </c>
      <c r="G167" s="216"/>
      <c r="H167" s="217"/>
      <c r="I167" s="216"/>
      <c r="J167" s="215">
        <v>722.25498</v>
      </c>
      <c r="K167" s="275">
        <v>696.02984</v>
      </c>
      <c r="L167" s="214">
        <f t="shared" si="14"/>
        <v>96.36899146060578</v>
      </c>
      <c r="M167" s="228"/>
      <c r="N167" s="235"/>
      <c r="O167" s="166">
        <f t="shared" si="15"/>
        <v>1321.9158285393944</v>
      </c>
      <c r="P167" s="166">
        <f>K167</f>
        <v>696.02984</v>
      </c>
    </row>
    <row r="168" spans="1:15" ht="105">
      <c r="A168" s="106" t="s">
        <v>908</v>
      </c>
      <c r="B168" s="218" t="s">
        <v>875</v>
      </c>
      <c r="C168" s="218" t="s">
        <v>368</v>
      </c>
      <c r="D168" s="218" t="s">
        <v>378</v>
      </c>
      <c r="E168" s="218" t="s">
        <v>502</v>
      </c>
      <c r="F168" s="218"/>
      <c r="G168" s="216">
        <f aca="true" t="shared" si="18" ref="G168:K169">G169</f>
        <v>80</v>
      </c>
      <c r="H168" s="216">
        <f t="shared" si="18"/>
        <v>5211</v>
      </c>
      <c r="I168" s="216">
        <f t="shared" si="18"/>
        <v>0</v>
      </c>
      <c r="J168" s="215">
        <f t="shared" si="18"/>
        <v>5188.8</v>
      </c>
      <c r="K168" s="215">
        <f t="shared" si="18"/>
        <v>4956.17766</v>
      </c>
      <c r="L168" s="214">
        <f t="shared" si="14"/>
        <v>95.51683741905643</v>
      </c>
      <c r="M168" s="228">
        <f>M169</f>
        <v>-2015.414</v>
      </c>
      <c r="N168" s="227">
        <f>N169</f>
        <v>-1919.8971625809436</v>
      </c>
      <c r="O168" s="166">
        <f t="shared" si="15"/>
        <v>10049.460822580944</v>
      </c>
    </row>
    <row r="169" spans="1:15" ht="30">
      <c r="A169" s="106" t="s">
        <v>501</v>
      </c>
      <c r="B169" s="218" t="s">
        <v>875</v>
      </c>
      <c r="C169" s="218" t="s">
        <v>368</v>
      </c>
      <c r="D169" s="218" t="s">
        <v>378</v>
      </c>
      <c r="E169" s="218" t="s">
        <v>499</v>
      </c>
      <c r="F169" s="218"/>
      <c r="G169" s="216">
        <f t="shared" si="18"/>
        <v>80</v>
      </c>
      <c r="H169" s="216">
        <f t="shared" si="18"/>
        <v>5211</v>
      </c>
      <c r="I169" s="216">
        <f t="shared" si="18"/>
        <v>0</v>
      </c>
      <c r="J169" s="215">
        <f t="shared" si="18"/>
        <v>5188.8</v>
      </c>
      <c r="K169" s="215">
        <f t="shared" si="18"/>
        <v>4956.17766</v>
      </c>
      <c r="L169" s="214">
        <f t="shared" si="14"/>
        <v>95.51683741905643</v>
      </c>
      <c r="M169" s="228">
        <f>M170</f>
        <v>-2015.414</v>
      </c>
      <c r="N169" s="227">
        <f>N170</f>
        <v>-1919.8971625809436</v>
      </c>
      <c r="O169" s="166">
        <f t="shared" si="15"/>
        <v>10049.460822580944</v>
      </c>
    </row>
    <row r="170" spans="1:16" ht="30">
      <c r="A170" s="106" t="s">
        <v>607</v>
      </c>
      <c r="B170" s="218" t="s">
        <v>875</v>
      </c>
      <c r="C170" s="218" t="s">
        <v>368</v>
      </c>
      <c r="D170" s="218" t="s">
        <v>378</v>
      </c>
      <c r="E170" s="218" t="s">
        <v>499</v>
      </c>
      <c r="F170" s="218" t="s">
        <v>498</v>
      </c>
      <c r="G170" s="216">
        <f>50+30</f>
        <v>80</v>
      </c>
      <c r="H170" s="217">
        <v>5211</v>
      </c>
      <c r="I170" s="216"/>
      <c r="J170" s="215">
        <v>5188.8</v>
      </c>
      <c r="K170" s="215">
        <v>4956.17766</v>
      </c>
      <c r="L170" s="214">
        <f t="shared" si="14"/>
        <v>95.51683741905643</v>
      </c>
      <c r="M170" s="228">
        <v>-2015.414</v>
      </c>
      <c r="N170" s="235">
        <f>L170+M170</f>
        <v>-1919.8971625809436</v>
      </c>
      <c r="O170" s="166">
        <f t="shared" si="15"/>
        <v>10049.460822580944</v>
      </c>
      <c r="P170" s="321">
        <f>L170-O170</f>
        <v>-9953.943985161888</v>
      </c>
    </row>
    <row r="171" spans="1:15" ht="43.5" customHeight="1" hidden="1">
      <c r="A171" s="405" t="s">
        <v>627</v>
      </c>
      <c r="B171" s="279" t="s">
        <v>875</v>
      </c>
      <c r="C171" s="279" t="s">
        <v>368</v>
      </c>
      <c r="D171" s="279" t="s">
        <v>378</v>
      </c>
      <c r="E171" s="279" t="s">
        <v>906</v>
      </c>
      <c r="F171" s="279"/>
      <c r="G171" s="277">
        <f>G172</f>
        <v>100</v>
      </c>
      <c r="H171" s="277">
        <f>H172</f>
        <v>0</v>
      </c>
      <c r="I171" s="277">
        <f>I172</f>
        <v>0</v>
      </c>
      <c r="J171" s="275">
        <f>J172</f>
        <v>0</v>
      </c>
      <c r="K171" s="275">
        <f>K172</f>
        <v>0</v>
      </c>
      <c r="L171" s="214" t="e">
        <f t="shared" si="14"/>
        <v>#DIV/0!</v>
      </c>
      <c r="M171" s="228">
        <f>M172</f>
        <v>0</v>
      </c>
      <c r="N171" s="227" t="e">
        <f>N172</f>
        <v>#DIV/0!</v>
      </c>
      <c r="O171" s="166" t="e">
        <f t="shared" si="15"/>
        <v>#DIV/0!</v>
      </c>
    </row>
    <row r="172" spans="1:15" ht="23.25" customHeight="1" hidden="1">
      <c r="A172" s="405" t="s">
        <v>907</v>
      </c>
      <c r="B172" s="279" t="s">
        <v>875</v>
      </c>
      <c r="C172" s="279" t="s">
        <v>368</v>
      </c>
      <c r="D172" s="279" t="s">
        <v>378</v>
      </c>
      <c r="E172" s="279" t="s">
        <v>906</v>
      </c>
      <c r="F172" s="279" t="s">
        <v>905</v>
      </c>
      <c r="G172" s="277">
        <v>100</v>
      </c>
      <c r="H172" s="278"/>
      <c r="I172" s="277"/>
      <c r="J172" s="275"/>
      <c r="K172" s="275"/>
      <c r="L172" s="214" t="e">
        <f t="shared" si="14"/>
        <v>#DIV/0!</v>
      </c>
      <c r="M172" s="228"/>
      <c r="N172" s="235" t="e">
        <f>L172+M172</f>
        <v>#DIV/0!</v>
      </c>
      <c r="O172" s="166" t="e">
        <f t="shared" si="15"/>
        <v>#DIV/0!</v>
      </c>
    </row>
    <row r="173" spans="1:15" ht="60">
      <c r="A173" s="106" t="s">
        <v>904</v>
      </c>
      <c r="B173" s="218" t="s">
        <v>875</v>
      </c>
      <c r="C173" s="218" t="s">
        <v>368</v>
      </c>
      <c r="D173" s="218" t="s">
        <v>378</v>
      </c>
      <c r="E173" s="218" t="s">
        <v>903</v>
      </c>
      <c r="F173" s="218"/>
      <c r="G173" s="216">
        <f>G174</f>
        <v>100</v>
      </c>
      <c r="H173" s="216">
        <f>H174</f>
        <v>0</v>
      </c>
      <c r="I173" s="216">
        <f>I174</f>
        <v>0</v>
      </c>
      <c r="J173" s="215">
        <f>J174</f>
        <v>1.8</v>
      </c>
      <c r="K173" s="215">
        <f>K174</f>
        <v>1.8</v>
      </c>
      <c r="L173" s="214">
        <f t="shared" si="14"/>
        <v>100</v>
      </c>
      <c r="M173" s="228">
        <f>M174</f>
        <v>0</v>
      </c>
      <c r="N173" s="227">
        <f>N174</f>
        <v>100</v>
      </c>
      <c r="O173" s="166">
        <f t="shared" si="15"/>
        <v>-96.4</v>
      </c>
    </row>
    <row r="174" spans="1:15" ht="30">
      <c r="A174" s="106" t="s">
        <v>491</v>
      </c>
      <c r="B174" s="218" t="s">
        <v>875</v>
      </c>
      <c r="C174" s="218" t="s">
        <v>368</v>
      </c>
      <c r="D174" s="218" t="s">
        <v>378</v>
      </c>
      <c r="E174" s="218" t="s">
        <v>903</v>
      </c>
      <c r="F174" s="218" t="s">
        <v>488</v>
      </c>
      <c r="G174" s="216">
        <v>100</v>
      </c>
      <c r="H174" s="217"/>
      <c r="I174" s="216"/>
      <c r="J174" s="215">
        <v>1.8</v>
      </c>
      <c r="K174" s="215">
        <v>1.8</v>
      </c>
      <c r="L174" s="214">
        <f t="shared" si="14"/>
        <v>100</v>
      </c>
      <c r="M174" s="228"/>
      <c r="N174" s="235">
        <f>L174+M174</f>
        <v>100</v>
      </c>
      <c r="O174" s="166">
        <f t="shared" si="15"/>
        <v>-96.4</v>
      </c>
    </row>
    <row r="175" spans="1:15" ht="15">
      <c r="A175" s="223" t="s">
        <v>417</v>
      </c>
      <c r="B175" s="222" t="s">
        <v>875</v>
      </c>
      <c r="C175" s="222" t="s">
        <v>420</v>
      </c>
      <c r="D175" s="222"/>
      <c r="E175" s="222"/>
      <c r="F175" s="222"/>
      <c r="G175" s="241">
        <f>G176+G180</f>
        <v>5942.872969999999</v>
      </c>
      <c r="H175" s="241">
        <f>H176+H180</f>
        <v>11149.7</v>
      </c>
      <c r="I175" s="241">
        <f>I176+I180</f>
        <v>0</v>
      </c>
      <c r="J175" s="240">
        <f>J176+J180</f>
        <v>21549.699999999997</v>
      </c>
      <c r="K175" s="240">
        <f>K176+K180</f>
        <v>21354.51885</v>
      </c>
      <c r="L175" s="172">
        <f t="shared" si="14"/>
        <v>99.0942743982515</v>
      </c>
      <c r="M175" s="287">
        <f>M176+M180</f>
        <v>0</v>
      </c>
      <c r="N175" s="286" t="e">
        <f>N176+N180</f>
        <v>#DIV/0!</v>
      </c>
      <c r="O175" s="166">
        <f t="shared" si="15"/>
        <v>42805.124575601745</v>
      </c>
    </row>
    <row r="176" spans="1:15" ht="29.25" hidden="1">
      <c r="A176" s="293" t="s">
        <v>780</v>
      </c>
      <c r="B176" s="143" t="s">
        <v>875</v>
      </c>
      <c r="C176" s="143" t="s">
        <v>420</v>
      </c>
      <c r="D176" s="143" t="s">
        <v>360</v>
      </c>
      <c r="E176" s="143"/>
      <c r="F176" s="143"/>
      <c r="G176" s="128">
        <f>G177</f>
        <v>681.3299999999999</v>
      </c>
      <c r="H176" s="128">
        <f>H177</f>
        <v>2954.9</v>
      </c>
      <c r="I176" s="128">
        <f>I177</f>
        <v>0</v>
      </c>
      <c r="J176" s="141">
        <f>J177</f>
        <v>0</v>
      </c>
      <c r="K176" s="141">
        <f>K177</f>
        <v>0</v>
      </c>
      <c r="L176" s="214" t="e">
        <f t="shared" si="14"/>
        <v>#DIV/0!</v>
      </c>
      <c r="M176" s="230">
        <f>M177</f>
        <v>0</v>
      </c>
      <c r="N176" s="229" t="e">
        <f>N177</f>
        <v>#DIV/0!</v>
      </c>
      <c r="O176" s="166" t="e">
        <f t="shared" si="15"/>
        <v>#DIV/0!</v>
      </c>
    </row>
    <row r="177" spans="1:15" ht="90" hidden="1">
      <c r="A177" s="106" t="s">
        <v>893</v>
      </c>
      <c r="B177" s="218" t="s">
        <v>875</v>
      </c>
      <c r="C177" s="218" t="s">
        <v>420</v>
      </c>
      <c r="D177" s="218" t="s">
        <v>360</v>
      </c>
      <c r="E177" s="218" t="s">
        <v>892</v>
      </c>
      <c r="F177" s="218"/>
      <c r="G177" s="216">
        <f>G178+G179</f>
        <v>681.3299999999999</v>
      </c>
      <c r="H177" s="216">
        <f>H178+H179</f>
        <v>2954.9</v>
      </c>
      <c r="I177" s="216">
        <f>I178+I179</f>
        <v>0</v>
      </c>
      <c r="J177" s="215">
        <f>J178+J179</f>
        <v>0</v>
      </c>
      <c r="K177" s="215">
        <f>K178+K179</f>
        <v>0</v>
      </c>
      <c r="L177" s="214" t="e">
        <f t="shared" si="14"/>
        <v>#DIV/0!</v>
      </c>
      <c r="M177" s="228">
        <f>M178+M179</f>
        <v>0</v>
      </c>
      <c r="N177" s="227" t="e">
        <f>N178+N179</f>
        <v>#DIV/0!</v>
      </c>
      <c r="O177" s="166" t="e">
        <f t="shared" si="15"/>
        <v>#DIV/0!</v>
      </c>
    </row>
    <row r="178" spans="1:15" ht="15" hidden="1">
      <c r="A178" s="106" t="s">
        <v>547</v>
      </c>
      <c r="B178" s="218" t="s">
        <v>875</v>
      </c>
      <c r="C178" s="218" t="s">
        <v>420</v>
      </c>
      <c r="D178" s="218" t="s">
        <v>360</v>
      </c>
      <c r="E178" s="218" t="s">
        <v>892</v>
      </c>
      <c r="F178" s="218" t="s">
        <v>545</v>
      </c>
      <c r="G178" s="216">
        <f>681.33-2819.6</f>
        <v>-2138.27</v>
      </c>
      <c r="H178" s="217">
        <v>2954.9</v>
      </c>
      <c r="I178" s="216"/>
      <c r="J178" s="215"/>
      <c r="K178" s="215"/>
      <c r="L178" s="214" t="e">
        <f t="shared" si="14"/>
        <v>#DIV/0!</v>
      </c>
      <c r="M178" s="228"/>
      <c r="N178" s="235" t="e">
        <f>L178+M178</f>
        <v>#DIV/0!</v>
      </c>
      <c r="O178" s="166" t="e">
        <f t="shared" si="15"/>
        <v>#DIV/0!</v>
      </c>
    </row>
    <row r="179" spans="1:16" ht="15" hidden="1">
      <c r="A179" s="106" t="s">
        <v>547</v>
      </c>
      <c r="B179" s="218" t="s">
        <v>875</v>
      </c>
      <c r="C179" s="218" t="s">
        <v>420</v>
      </c>
      <c r="D179" s="218" t="s">
        <v>360</v>
      </c>
      <c r="E179" s="218" t="s">
        <v>891</v>
      </c>
      <c r="F179" s="218" t="s">
        <v>545</v>
      </c>
      <c r="G179" s="216">
        <v>2819.6</v>
      </c>
      <c r="H179" s="217"/>
      <c r="I179" s="216"/>
      <c r="J179" s="215">
        <v>0</v>
      </c>
      <c r="K179" s="215"/>
      <c r="L179" s="214" t="e">
        <f t="shared" si="14"/>
        <v>#DIV/0!</v>
      </c>
      <c r="M179" s="228"/>
      <c r="N179" s="235" t="e">
        <f>L179+M179</f>
        <v>#DIV/0!</v>
      </c>
      <c r="O179" s="166" t="e">
        <f t="shared" si="15"/>
        <v>#DIV/0!</v>
      </c>
      <c r="P179" s="166">
        <f>K179</f>
        <v>0</v>
      </c>
    </row>
    <row r="180" spans="1:15" ht="15">
      <c r="A180" s="293" t="s">
        <v>902</v>
      </c>
      <c r="B180" s="143" t="s">
        <v>875</v>
      </c>
      <c r="C180" s="143" t="s">
        <v>420</v>
      </c>
      <c r="D180" s="143" t="s">
        <v>362</v>
      </c>
      <c r="E180" s="143"/>
      <c r="F180" s="143"/>
      <c r="G180" s="167">
        <f>G181+G190+G185+G183</f>
        <v>5261.5429699999995</v>
      </c>
      <c r="H180" s="167">
        <f>H181+H190+H185+H183</f>
        <v>8194.800000000001</v>
      </c>
      <c r="I180" s="167">
        <f>I181+I190+I185+I183</f>
        <v>0</v>
      </c>
      <c r="J180" s="141">
        <f>J181+J190+J185+J183+J187</f>
        <v>21549.699999999997</v>
      </c>
      <c r="K180" s="141">
        <f>K181+K190+K185+K183+K187</f>
        <v>21354.51885</v>
      </c>
      <c r="L180" s="172">
        <f t="shared" si="14"/>
        <v>99.0942743982515</v>
      </c>
      <c r="M180" s="314">
        <f>M181+M190+M185+M183</f>
        <v>0</v>
      </c>
      <c r="N180" s="343" t="e">
        <f>N181+N190+N185+N183</f>
        <v>#DIV/0!</v>
      </c>
      <c r="O180" s="166">
        <f t="shared" si="15"/>
        <v>42805.124575601745</v>
      </c>
    </row>
    <row r="181" spans="1:15" ht="60" hidden="1">
      <c r="A181" s="106" t="s">
        <v>901</v>
      </c>
      <c r="B181" s="218" t="s">
        <v>875</v>
      </c>
      <c r="C181" s="218" t="s">
        <v>420</v>
      </c>
      <c r="D181" s="218" t="s">
        <v>362</v>
      </c>
      <c r="E181" s="218" t="s">
        <v>900</v>
      </c>
      <c r="F181" s="218"/>
      <c r="G181" s="216">
        <f>G182</f>
        <v>0</v>
      </c>
      <c r="H181" s="217">
        <f>H182</f>
        <v>545.6</v>
      </c>
      <c r="I181" s="216">
        <f>I182</f>
        <v>0</v>
      </c>
      <c r="J181" s="215">
        <f>J182</f>
        <v>0</v>
      </c>
      <c r="K181" s="215">
        <f>K182</f>
        <v>0</v>
      </c>
      <c r="L181" s="214" t="e">
        <f t="shared" si="14"/>
        <v>#DIV/0!</v>
      </c>
      <c r="M181" s="228">
        <f>M182</f>
        <v>0</v>
      </c>
      <c r="N181" s="235" t="e">
        <f>N182</f>
        <v>#DIV/0!</v>
      </c>
      <c r="O181" s="166" t="e">
        <f t="shared" si="15"/>
        <v>#DIV/0!</v>
      </c>
    </row>
    <row r="182" spans="1:15" ht="15" hidden="1">
      <c r="A182" s="106" t="s">
        <v>547</v>
      </c>
      <c r="B182" s="218" t="s">
        <v>875</v>
      </c>
      <c r="C182" s="218" t="s">
        <v>420</v>
      </c>
      <c r="D182" s="218" t="s">
        <v>362</v>
      </c>
      <c r="E182" s="218" t="s">
        <v>900</v>
      </c>
      <c r="F182" s="218" t="s">
        <v>545</v>
      </c>
      <c r="G182" s="216"/>
      <c r="H182" s="217">
        <v>545.6</v>
      </c>
      <c r="I182" s="216"/>
      <c r="J182" s="215"/>
      <c r="K182" s="215"/>
      <c r="L182" s="214" t="e">
        <f t="shared" si="14"/>
        <v>#DIV/0!</v>
      </c>
      <c r="M182" s="228"/>
      <c r="N182" s="235" t="e">
        <f>L182+M182</f>
        <v>#DIV/0!</v>
      </c>
      <c r="O182" s="166" t="e">
        <f t="shared" si="15"/>
        <v>#DIV/0!</v>
      </c>
    </row>
    <row r="183" spans="1:15" ht="90" customHeight="1" hidden="1">
      <c r="A183" s="313" t="s">
        <v>899</v>
      </c>
      <c r="B183" s="218" t="s">
        <v>875</v>
      </c>
      <c r="C183" s="218" t="s">
        <v>420</v>
      </c>
      <c r="D183" s="218" t="s">
        <v>362</v>
      </c>
      <c r="E183" s="218" t="s">
        <v>898</v>
      </c>
      <c r="F183" s="218"/>
      <c r="G183" s="216">
        <f>G184</f>
        <v>1114.61041</v>
      </c>
      <c r="H183" s="299">
        <f>H184</f>
        <v>0</v>
      </c>
      <c r="I183" s="216">
        <f>I184</f>
        <v>0</v>
      </c>
      <c r="J183" s="215">
        <f>J184</f>
        <v>0</v>
      </c>
      <c r="K183" s="215">
        <f>K184</f>
        <v>0</v>
      </c>
      <c r="L183" s="214" t="e">
        <f t="shared" si="14"/>
        <v>#DIV/0!</v>
      </c>
      <c r="M183" s="228">
        <f>M184</f>
        <v>0</v>
      </c>
      <c r="N183" s="300" t="e">
        <f>N184</f>
        <v>#DIV/0!</v>
      </c>
      <c r="O183" s="166" t="e">
        <f t="shared" si="15"/>
        <v>#DIV/0!</v>
      </c>
    </row>
    <row r="184" spans="1:15" ht="15" customHeight="1" hidden="1">
      <c r="A184" s="106" t="s">
        <v>547</v>
      </c>
      <c r="B184" s="218" t="s">
        <v>875</v>
      </c>
      <c r="C184" s="218" t="s">
        <v>420</v>
      </c>
      <c r="D184" s="218" t="s">
        <v>362</v>
      </c>
      <c r="E184" s="218" t="s">
        <v>898</v>
      </c>
      <c r="F184" s="218" t="s">
        <v>545</v>
      </c>
      <c r="G184" s="216">
        <f>335.61041+779</f>
        <v>1114.61041</v>
      </c>
      <c r="H184" s="217"/>
      <c r="I184" s="216"/>
      <c r="J184" s="215">
        <f>H184+I184</f>
        <v>0</v>
      </c>
      <c r="K184" s="215">
        <f>816.4-816.4</f>
        <v>0</v>
      </c>
      <c r="L184" s="214" t="e">
        <f t="shared" si="14"/>
        <v>#DIV/0!</v>
      </c>
      <c r="M184" s="228">
        <f>816.4-816.4</f>
        <v>0</v>
      </c>
      <c r="N184" s="235" t="e">
        <f>L184+M184</f>
        <v>#DIV/0!</v>
      </c>
      <c r="O184" s="166" t="e">
        <f t="shared" si="15"/>
        <v>#DIV/0!</v>
      </c>
    </row>
    <row r="185" spans="1:15" ht="45" hidden="1">
      <c r="A185" s="106" t="s">
        <v>897</v>
      </c>
      <c r="B185" s="218" t="s">
        <v>875</v>
      </c>
      <c r="C185" s="218" t="s">
        <v>420</v>
      </c>
      <c r="D185" s="218" t="s">
        <v>362</v>
      </c>
      <c r="E185" s="218" t="s">
        <v>895</v>
      </c>
      <c r="F185" s="218"/>
      <c r="G185" s="216">
        <f>G186</f>
        <v>-779</v>
      </c>
      <c r="H185" s="216">
        <f>H186</f>
        <v>816.4</v>
      </c>
      <c r="I185" s="216">
        <f>I186</f>
        <v>0</v>
      </c>
      <c r="J185" s="215">
        <f>J186</f>
        <v>0</v>
      </c>
      <c r="K185" s="215">
        <f>K186</f>
        <v>0</v>
      </c>
      <c r="L185" s="214" t="e">
        <f t="shared" si="14"/>
        <v>#DIV/0!</v>
      </c>
      <c r="M185" s="228">
        <f>M186</f>
        <v>0</v>
      </c>
      <c r="N185" s="227" t="e">
        <f>N186</f>
        <v>#DIV/0!</v>
      </c>
      <c r="O185" s="166" t="e">
        <f t="shared" si="15"/>
        <v>#DIV/0!</v>
      </c>
    </row>
    <row r="186" spans="1:15" ht="15" hidden="1">
      <c r="A186" s="106" t="s">
        <v>896</v>
      </c>
      <c r="B186" s="218" t="s">
        <v>875</v>
      </c>
      <c r="C186" s="218" t="s">
        <v>420</v>
      </c>
      <c r="D186" s="218" t="s">
        <v>362</v>
      </c>
      <c r="E186" s="218" t="s">
        <v>895</v>
      </c>
      <c r="F186" s="218" t="s">
        <v>894</v>
      </c>
      <c r="G186" s="216">
        <v>-779</v>
      </c>
      <c r="H186" s="217">
        <v>816.4</v>
      </c>
      <c r="I186" s="216"/>
      <c r="J186" s="215"/>
      <c r="K186" s="215"/>
      <c r="L186" s="214" t="e">
        <f t="shared" si="14"/>
        <v>#DIV/0!</v>
      </c>
      <c r="M186" s="228"/>
      <c r="N186" s="235" t="e">
        <f>L186+M186</f>
        <v>#DIV/0!</v>
      </c>
      <c r="O186" s="166" t="e">
        <f t="shared" si="15"/>
        <v>#DIV/0!</v>
      </c>
    </row>
    <row r="187" spans="1:15" ht="90">
      <c r="A187" s="106" t="s">
        <v>893</v>
      </c>
      <c r="B187" s="218" t="s">
        <v>875</v>
      </c>
      <c r="C187" s="218" t="s">
        <v>420</v>
      </c>
      <c r="D187" s="218" t="s">
        <v>362</v>
      </c>
      <c r="E187" s="218" t="s">
        <v>892</v>
      </c>
      <c r="F187" s="218"/>
      <c r="G187" s="216"/>
      <c r="H187" s="217"/>
      <c r="I187" s="216"/>
      <c r="J187" s="215">
        <f>J189+J188</f>
        <v>9425.5</v>
      </c>
      <c r="K187" s="215">
        <f>K189+K188</f>
        <v>9395.589</v>
      </c>
      <c r="L187" s="214">
        <f t="shared" si="14"/>
        <v>99.68265874489417</v>
      </c>
      <c r="M187" s="228"/>
      <c r="N187" s="235"/>
      <c r="O187" s="166">
        <f t="shared" si="15"/>
        <v>18721.406341255104</v>
      </c>
    </row>
    <row r="188" spans="1:15" ht="15">
      <c r="A188" s="106" t="s">
        <v>547</v>
      </c>
      <c r="B188" s="218" t="s">
        <v>875</v>
      </c>
      <c r="C188" s="218" t="s">
        <v>420</v>
      </c>
      <c r="D188" s="218" t="s">
        <v>362</v>
      </c>
      <c r="E188" s="218" t="s">
        <v>892</v>
      </c>
      <c r="F188" s="218" t="s">
        <v>545</v>
      </c>
      <c r="G188" s="216"/>
      <c r="H188" s="217"/>
      <c r="I188" s="216"/>
      <c r="J188" s="215">
        <v>6006.5</v>
      </c>
      <c r="K188" s="215">
        <v>6006.462</v>
      </c>
      <c r="L188" s="214">
        <f t="shared" si="14"/>
        <v>99.9993673520353</v>
      </c>
      <c r="M188" s="228"/>
      <c r="N188" s="235"/>
      <c r="O188" s="166">
        <f t="shared" si="15"/>
        <v>11912.962632647965</v>
      </c>
    </row>
    <row r="189" spans="1:15" ht="15">
      <c r="A189" s="106" t="s">
        <v>547</v>
      </c>
      <c r="B189" s="218" t="s">
        <v>875</v>
      </c>
      <c r="C189" s="218" t="s">
        <v>420</v>
      </c>
      <c r="D189" s="218" t="s">
        <v>362</v>
      </c>
      <c r="E189" s="218" t="s">
        <v>891</v>
      </c>
      <c r="F189" s="218" t="s">
        <v>545</v>
      </c>
      <c r="G189" s="216"/>
      <c r="H189" s="217"/>
      <c r="I189" s="216"/>
      <c r="J189" s="215">
        <v>3419</v>
      </c>
      <c r="K189" s="215">
        <v>3389.127</v>
      </c>
      <c r="L189" s="214">
        <f t="shared" si="14"/>
        <v>99.12626498976309</v>
      </c>
      <c r="M189" s="228"/>
      <c r="N189" s="235"/>
      <c r="O189" s="166">
        <f t="shared" si="15"/>
        <v>6709.000735010237</v>
      </c>
    </row>
    <row r="190" spans="1:15" ht="30">
      <c r="A190" s="106" t="s">
        <v>890</v>
      </c>
      <c r="B190" s="218" t="s">
        <v>875</v>
      </c>
      <c r="C190" s="218" t="s">
        <v>420</v>
      </c>
      <c r="D190" s="218" t="s">
        <v>362</v>
      </c>
      <c r="E190" s="218" t="s">
        <v>889</v>
      </c>
      <c r="F190" s="218"/>
      <c r="G190" s="299">
        <f>G194+G191</f>
        <v>4925.932559999999</v>
      </c>
      <c r="H190" s="299">
        <f>H194+H191</f>
        <v>6832.8</v>
      </c>
      <c r="I190" s="299">
        <f>I194+I191</f>
        <v>0</v>
      </c>
      <c r="J190" s="215">
        <f>J194+J191</f>
        <v>12124.199999999999</v>
      </c>
      <c r="K190" s="215">
        <f>K194+K191</f>
        <v>11958.929850000002</v>
      </c>
      <c r="L190" s="214">
        <f t="shared" si="14"/>
        <v>98.6368572771812</v>
      </c>
      <c r="M190" s="298">
        <f>M194+M191</f>
        <v>0</v>
      </c>
      <c r="N190" s="300" t="e">
        <f>N194+N191</f>
        <v>#DIV/0!</v>
      </c>
      <c r="O190" s="166">
        <f t="shared" si="15"/>
        <v>23984.49299272282</v>
      </c>
    </row>
    <row r="191" spans="1:15" ht="90" customHeight="1">
      <c r="A191" s="106" t="s">
        <v>888</v>
      </c>
      <c r="B191" s="218" t="s">
        <v>875</v>
      </c>
      <c r="C191" s="218" t="s">
        <v>420</v>
      </c>
      <c r="D191" s="218" t="s">
        <v>362</v>
      </c>
      <c r="E191" s="218" t="s">
        <v>887</v>
      </c>
      <c r="F191" s="218"/>
      <c r="G191" s="216">
        <f>G192</f>
        <v>1011.2162</v>
      </c>
      <c r="H191" s="299">
        <f>H192</f>
        <v>0</v>
      </c>
      <c r="I191" s="216">
        <f>I192</f>
        <v>0</v>
      </c>
      <c r="J191" s="215">
        <f>J192+J193</f>
        <v>753.9</v>
      </c>
      <c r="K191" s="215">
        <f>K192+K193</f>
        <v>654.50638</v>
      </c>
      <c r="L191" s="214">
        <f t="shared" si="14"/>
        <v>86.8160737498342</v>
      </c>
      <c r="M191" s="228">
        <f>M192</f>
        <v>0</v>
      </c>
      <c r="N191" s="300">
        <f>N192</f>
        <v>86.8160737498342</v>
      </c>
      <c r="O191" s="166">
        <f t="shared" si="15"/>
        <v>1321.5903062501657</v>
      </c>
    </row>
    <row r="192" spans="1:16" ht="15" customHeight="1">
      <c r="A192" s="106" t="s">
        <v>547</v>
      </c>
      <c r="B192" s="218" t="s">
        <v>875</v>
      </c>
      <c r="C192" s="218" t="s">
        <v>420</v>
      </c>
      <c r="D192" s="218" t="s">
        <v>362</v>
      </c>
      <c r="E192" s="218" t="s">
        <v>887</v>
      </c>
      <c r="F192" s="218" t="s">
        <v>545</v>
      </c>
      <c r="G192" s="216">
        <f>11.2162+1000</f>
        <v>1011.2162</v>
      </c>
      <c r="H192" s="217"/>
      <c r="I192" s="216"/>
      <c r="J192" s="215">
        <v>753.9</v>
      </c>
      <c r="K192" s="215">
        <v>654.50638</v>
      </c>
      <c r="L192" s="214">
        <f t="shared" si="14"/>
        <v>86.8160737498342</v>
      </c>
      <c r="M192" s="228"/>
      <c r="N192" s="235">
        <f>L192+M192</f>
        <v>86.8160737498342</v>
      </c>
      <c r="O192" s="166">
        <f t="shared" si="15"/>
        <v>1321.5903062501657</v>
      </c>
      <c r="P192" s="166">
        <f>K192</f>
        <v>654.50638</v>
      </c>
    </row>
    <row r="193" spans="1:16" ht="15" customHeight="1" hidden="1">
      <c r="A193" s="106" t="s">
        <v>547</v>
      </c>
      <c r="B193" s="218" t="s">
        <v>875</v>
      </c>
      <c r="C193" s="218" t="s">
        <v>420</v>
      </c>
      <c r="D193" s="218" t="s">
        <v>362</v>
      </c>
      <c r="E193" s="218" t="s">
        <v>886</v>
      </c>
      <c r="F193" s="218" t="s">
        <v>545</v>
      </c>
      <c r="G193" s="216"/>
      <c r="H193" s="217"/>
      <c r="I193" s="216"/>
      <c r="J193" s="215"/>
      <c r="K193" s="215"/>
      <c r="L193" s="214" t="e">
        <f t="shared" si="14"/>
        <v>#DIV/0!</v>
      </c>
      <c r="M193" s="228"/>
      <c r="N193" s="235"/>
      <c r="O193" s="166" t="e">
        <f t="shared" si="15"/>
        <v>#DIV/0!</v>
      </c>
      <c r="P193" s="166"/>
    </row>
    <row r="194" spans="1:15" ht="45">
      <c r="A194" s="106" t="s">
        <v>885</v>
      </c>
      <c r="B194" s="218" t="s">
        <v>875</v>
      </c>
      <c r="C194" s="218" t="s">
        <v>420</v>
      </c>
      <c r="D194" s="218" t="s">
        <v>362</v>
      </c>
      <c r="E194" s="218" t="s">
        <v>884</v>
      </c>
      <c r="F194" s="218"/>
      <c r="G194" s="299">
        <f>G199+G197+G198</f>
        <v>3914.7163599999994</v>
      </c>
      <c r="H194" s="299">
        <f>H199+H197+H198</f>
        <v>6832.8</v>
      </c>
      <c r="I194" s="299">
        <f>I199+I197+I198</f>
        <v>0</v>
      </c>
      <c r="J194" s="215">
        <f>J199+J197+J198+J195+J196</f>
        <v>11370.3</v>
      </c>
      <c r="K194" s="215">
        <f>K199+K197+K198+K195+K196</f>
        <v>11304.423470000002</v>
      </c>
      <c r="L194" s="214">
        <f t="shared" si="14"/>
        <v>99.42062628074899</v>
      </c>
      <c r="M194" s="298">
        <f>M199+M197+M198</f>
        <v>0</v>
      </c>
      <c r="N194" s="300" t="e">
        <f>N199+N197+N198</f>
        <v>#DIV/0!</v>
      </c>
      <c r="O194" s="166">
        <f t="shared" si="15"/>
        <v>22575.30284371925</v>
      </c>
    </row>
    <row r="195" spans="1:15" ht="45">
      <c r="A195" s="106" t="s">
        <v>883</v>
      </c>
      <c r="B195" s="218" t="s">
        <v>875</v>
      </c>
      <c r="C195" s="218" t="s">
        <v>420</v>
      </c>
      <c r="D195" s="218" t="s">
        <v>362</v>
      </c>
      <c r="E195" s="218" t="s">
        <v>884</v>
      </c>
      <c r="F195" s="218" t="s">
        <v>498</v>
      </c>
      <c r="G195" s="299"/>
      <c r="H195" s="299"/>
      <c r="I195" s="299"/>
      <c r="J195" s="215">
        <v>800</v>
      </c>
      <c r="K195" s="215">
        <v>772.2</v>
      </c>
      <c r="L195" s="214">
        <f t="shared" si="14"/>
        <v>96.525</v>
      </c>
      <c r="M195" s="298"/>
      <c r="N195" s="300"/>
      <c r="O195" s="166">
        <f t="shared" si="15"/>
        <v>1475.675</v>
      </c>
    </row>
    <row r="196" spans="1:15" ht="45">
      <c r="A196" s="404" t="s">
        <v>883</v>
      </c>
      <c r="B196" s="218" t="s">
        <v>875</v>
      </c>
      <c r="C196" s="218" t="s">
        <v>420</v>
      </c>
      <c r="D196" s="218" t="s">
        <v>362</v>
      </c>
      <c r="E196" s="218" t="s">
        <v>884</v>
      </c>
      <c r="F196" s="218" t="s">
        <v>545</v>
      </c>
      <c r="G196" s="299"/>
      <c r="H196" s="299"/>
      <c r="I196" s="299"/>
      <c r="J196" s="215">
        <v>2352.9</v>
      </c>
      <c r="K196" s="215">
        <v>2333.07432</v>
      </c>
      <c r="L196" s="214">
        <f t="shared" si="14"/>
        <v>99.15739385439245</v>
      </c>
      <c r="M196" s="298"/>
      <c r="N196" s="300"/>
      <c r="O196" s="166">
        <f t="shared" si="15"/>
        <v>4586.816926145608</v>
      </c>
    </row>
    <row r="197" spans="1:15" ht="45" customHeight="1">
      <c r="A197" s="106" t="s">
        <v>883</v>
      </c>
      <c r="B197" s="218" t="s">
        <v>875</v>
      </c>
      <c r="C197" s="218" t="s">
        <v>420</v>
      </c>
      <c r="D197" s="218" t="s">
        <v>362</v>
      </c>
      <c r="E197" s="218" t="s">
        <v>882</v>
      </c>
      <c r="F197" s="218" t="s">
        <v>498</v>
      </c>
      <c r="G197" s="216">
        <v>-94.76</v>
      </c>
      <c r="H197" s="217"/>
      <c r="I197" s="216"/>
      <c r="J197" s="215">
        <f>1483.4</f>
        <v>1483.4</v>
      </c>
      <c r="K197" s="215">
        <v>1465.14938</v>
      </c>
      <c r="L197" s="214">
        <f t="shared" si="14"/>
        <v>98.76967641903734</v>
      </c>
      <c r="M197" s="228"/>
      <c r="N197" s="235">
        <f>L197+M197</f>
        <v>98.76967641903734</v>
      </c>
      <c r="O197" s="166">
        <f t="shared" si="15"/>
        <v>2849.779703580963</v>
      </c>
    </row>
    <row r="198" spans="1:16" ht="45.75" thickBot="1">
      <c r="A198" s="404" t="s">
        <v>883</v>
      </c>
      <c r="B198" s="218" t="s">
        <v>875</v>
      </c>
      <c r="C198" s="218" t="s">
        <v>420</v>
      </c>
      <c r="D198" s="218" t="s">
        <v>362</v>
      </c>
      <c r="E198" s="218" t="s">
        <v>882</v>
      </c>
      <c r="F198" s="218" t="s">
        <v>545</v>
      </c>
      <c r="G198" s="216">
        <f>94.76+6519.9</f>
        <v>6614.66</v>
      </c>
      <c r="H198" s="217"/>
      <c r="I198" s="216"/>
      <c r="J198" s="215">
        <v>6734</v>
      </c>
      <c r="K198" s="215">
        <v>6733.99977</v>
      </c>
      <c r="L198" s="214">
        <f t="shared" si="14"/>
        <v>99.99999658449659</v>
      </c>
      <c r="M198" s="228"/>
      <c r="N198" s="235">
        <f>L198+M198</f>
        <v>99.99999658449659</v>
      </c>
      <c r="O198" s="166">
        <f t="shared" si="15"/>
        <v>13367.999773415504</v>
      </c>
      <c r="P198" s="166">
        <f>K198</f>
        <v>6733.99977</v>
      </c>
    </row>
    <row r="199" spans="1:15" ht="30.75" hidden="1" thickBot="1">
      <c r="A199" s="106" t="s">
        <v>881</v>
      </c>
      <c r="B199" s="218" t="s">
        <v>875</v>
      </c>
      <c r="C199" s="218" t="s">
        <v>420</v>
      </c>
      <c r="D199" s="218" t="s">
        <v>362</v>
      </c>
      <c r="E199" s="218" t="s">
        <v>880</v>
      </c>
      <c r="F199" s="218"/>
      <c r="G199" s="299">
        <f>G200+G202+G203</f>
        <v>-2605.18364</v>
      </c>
      <c r="H199" s="299">
        <f>H200+H202+H203</f>
        <v>6832.8</v>
      </c>
      <c r="I199" s="299">
        <f>I200+I202+I203</f>
        <v>0</v>
      </c>
      <c r="J199" s="215">
        <f>J200+J202+J203</f>
        <v>0</v>
      </c>
      <c r="K199" s="215">
        <f>K200+K202+K203</f>
        <v>0</v>
      </c>
      <c r="L199" s="214" t="e">
        <f t="shared" si="14"/>
        <v>#DIV/0!</v>
      </c>
      <c r="M199" s="298">
        <f>M200+M202+M203</f>
        <v>0</v>
      </c>
      <c r="N199" s="300" t="e">
        <f>N200+N202+N203</f>
        <v>#DIV/0!</v>
      </c>
      <c r="O199" s="166" t="e">
        <f t="shared" si="15"/>
        <v>#DIV/0!</v>
      </c>
    </row>
    <row r="200" spans="1:15" ht="30.75" hidden="1" thickBot="1">
      <c r="A200" s="106" t="s">
        <v>879</v>
      </c>
      <c r="B200" s="218" t="s">
        <v>875</v>
      </c>
      <c r="C200" s="218" t="s">
        <v>420</v>
      </c>
      <c r="D200" s="218" t="s">
        <v>362</v>
      </c>
      <c r="E200" s="218" t="s">
        <v>878</v>
      </c>
      <c r="F200" s="218"/>
      <c r="G200" s="299">
        <f>G201</f>
        <v>-6396.88364</v>
      </c>
      <c r="H200" s="299">
        <f>H201</f>
        <v>6643.5</v>
      </c>
      <c r="I200" s="299">
        <f>I201</f>
        <v>0</v>
      </c>
      <c r="J200" s="215">
        <f>J201</f>
        <v>0</v>
      </c>
      <c r="K200" s="215">
        <f>K201</f>
        <v>0</v>
      </c>
      <c r="L200" s="214" t="e">
        <f t="shared" si="14"/>
        <v>#DIV/0!</v>
      </c>
      <c r="M200" s="298">
        <f>M201</f>
        <v>0</v>
      </c>
      <c r="N200" s="300" t="e">
        <f>N201</f>
        <v>#DIV/0!</v>
      </c>
      <c r="O200" s="166" t="e">
        <f t="shared" si="15"/>
        <v>#DIV/0!</v>
      </c>
    </row>
    <row r="201" spans="1:15" ht="15.75" hidden="1" thickBot="1">
      <c r="A201" s="106" t="s">
        <v>547</v>
      </c>
      <c r="B201" s="218" t="s">
        <v>875</v>
      </c>
      <c r="C201" s="218" t="s">
        <v>420</v>
      </c>
      <c r="D201" s="218" t="s">
        <v>362</v>
      </c>
      <c r="E201" s="218" t="s">
        <v>878</v>
      </c>
      <c r="F201" s="218" t="s">
        <v>545</v>
      </c>
      <c r="G201" s="299">
        <f>9.41636-6406.3</f>
        <v>-6396.88364</v>
      </c>
      <c r="H201" s="217">
        <v>6643.5</v>
      </c>
      <c r="I201" s="299"/>
      <c r="J201" s="215"/>
      <c r="K201" s="215"/>
      <c r="L201" s="214" t="e">
        <f t="shared" si="14"/>
        <v>#DIV/0!</v>
      </c>
      <c r="M201" s="298"/>
      <c r="N201" s="235" t="e">
        <f>L201+M201</f>
        <v>#DIV/0!</v>
      </c>
      <c r="O201" s="166" t="e">
        <f t="shared" si="15"/>
        <v>#DIV/0!</v>
      </c>
    </row>
    <row r="202" spans="1:15" ht="15.75" hidden="1" thickBot="1">
      <c r="A202" s="106" t="s">
        <v>877</v>
      </c>
      <c r="B202" s="218" t="s">
        <v>875</v>
      </c>
      <c r="C202" s="218" t="s">
        <v>420</v>
      </c>
      <c r="D202" s="218" t="s">
        <v>362</v>
      </c>
      <c r="E202" s="218" t="s">
        <v>876</v>
      </c>
      <c r="F202" s="218" t="s">
        <v>498</v>
      </c>
      <c r="G202" s="216">
        <v>-113.6</v>
      </c>
      <c r="H202" s="217">
        <v>189.3</v>
      </c>
      <c r="I202" s="216"/>
      <c r="J202" s="215"/>
      <c r="K202" s="215"/>
      <c r="L202" s="214" t="e">
        <f t="shared" si="14"/>
        <v>#DIV/0!</v>
      </c>
      <c r="M202" s="228"/>
      <c r="N202" s="235" t="e">
        <f>L202+M202</f>
        <v>#DIV/0!</v>
      </c>
      <c r="O202" s="166" t="e">
        <f t="shared" si="15"/>
        <v>#DIV/0!</v>
      </c>
    </row>
    <row r="203" spans="1:15" ht="15.75" customHeight="1" hidden="1" thickBot="1">
      <c r="A203" s="106" t="s">
        <v>547</v>
      </c>
      <c r="B203" s="218" t="s">
        <v>875</v>
      </c>
      <c r="C203" s="218" t="s">
        <v>420</v>
      </c>
      <c r="D203" s="218" t="s">
        <v>362</v>
      </c>
      <c r="E203" s="218" t="s">
        <v>874</v>
      </c>
      <c r="F203" s="218" t="s">
        <v>545</v>
      </c>
      <c r="G203" s="216">
        <v>3905.3</v>
      </c>
      <c r="H203" s="217"/>
      <c r="I203" s="216"/>
      <c r="J203" s="215">
        <f>H203+I203</f>
        <v>0</v>
      </c>
      <c r="K203" s="215"/>
      <c r="L203" s="214" t="e">
        <f t="shared" si="14"/>
        <v>#DIV/0!</v>
      </c>
      <c r="M203" s="225"/>
      <c r="N203" s="224" t="e">
        <f>L203+M203</f>
        <v>#DIV/0!</v>
      </c>
      <c r="O203" s="166" t="e">
        <f t="shared" si="15"/>
        <v>#DIV/0!</v>
      </c>
    </row>
    <row r="204" spans="1:15" ht="30" thickBot="1">
      <c r="A204" s="354" t="s">
        <v>873</v>
      </c>
      <c r="B204" s="160" t="s">
        <v>78</v>
      </c>
      <c r="C204" s="160"/>
      <c r="D204" s="160"/>
      <c r="E204" s="160"/>
      <c r="F204" s="160"/>
      <c r="G204" s="159" t="e">
        <f>G205+G243+G268+G287</f>
        <v>#REF!</v>
      </c>
      <c r="H204" s="403" t="e">
        <f>H205+H243+H268+H287+H257</f>
        <v>#REF!</v>
      </c>
      <c r="I204" s="403" t="e">
        <f>I205+I243+I268+I287+I257</f>
        <v>#REF!</v>
      </c>
      <c r="J204" s="268">
        <f>J205+J243+J268+J287+J257+J237+J304+J309+J231+J283+J275</f>
        <v>82391.61916</v>
      </c>
      <c r="K204" s="268">
        <f>K205+K243+K268+K287+K257+K237+K304+K309+K231+K283+K275</f>
        <v>82360.1955</v>
      </c>
      <c r="L204" s="172">
        <f aca="true" t="shared" si="19" ref="L204:L267">K204/J204*100</f>
        <v>99.96186061116364</v>
      </c>
      <c r="M204" s="402" t="e">
        <f>M205+M243+M268+M287+M257+M237</f>
        <v>#REF!</v>
      </c>
      <c r="N204" s="401" t="e">
        <f>N205+N243+N268+N287+N257+N237</f>
        <v>#DIV/0!</v>
      </c>
      <c r="O204" s="166">
        <f aca="true" t="shared" si="20" ref="O204:O267">J204+K204-L204</f>
        <v>164651.85279938884</v>
      </c>
    </row>
    <row r="205" spans="1:15" ht="15">
      <c r="A205" s="223" t="s">
        <v>872</v>
      </c>
      <c r="B205" s="222" t="s">
        <v>78</v>
      </c>
      <c r="C205" s="222" t="s">
        <v>357</v>
      </c>
      <c r="D205" s="218"/>
      <c r="E205" s="218"/>
      <c r="F205" s="218"/>
      <c r="G205" s="241">
        <f>G215+G219+G227+G231+G206</f>
        <v>-820.87</v>
      </c>
      <c r="H205" s="241">
        <f>H215+H219+H227+H231+H206</f>
        <v>4592.6</v>
      </c>
      <c r="I205" s="241">
        <f>I215+I219+I227+I231+I206</f>
        <v>0</v>
      </c>
      <c r="J205" s="240">
        <f>J215+J219+J227+J206+J223</f>
        <v>4066.60304</v>
      </c>
      <c r="K205" s="240">
        <f>K215+K219+K227+K206+K223</f>
        <v>4042.41038</v>
      </c>
      <c r="L205" s="172">
        <f t="shared" si="19"/>
        <v>99.40508921667455</v>
      </c>
      <c r="M205" s="265">
        <f>M215+M219+M227+M231+M206</f>
        <v>-578.496</v>
      </c>
      <c r="N205" s="264" t="e">
        <f>N215+N219+N227+N231+N206</f>
        <v>#DIV/0!</v>
      </c>
      <c r="O205" s="166">
        <f t="shared" si="20"/>
        <v>8009.608330783325</v>
      </c>
    </row>
    <row r="206" spans="1:15" ht="86.25">
      <c r="A206" s="220" t="s">
        <v>536</v>
      </c>
      <c r="B206" s="143" t="s">
        <v>78</v>
      </c>
      <c r="C206" s="143" t="s">
        <v>357</v>
      </c>
      <c r="D206" s="143" t="s">
        <v>362</v>
      </c>
      <c r="E206" s="218"/>
      <c r="F206" s="218"/>
      <c r="G206" s="128">
        <f>G207</f>
        <v>0.4</v>
      </c>
      <c r="H206" s="168">
        <f>H207+H211</f>
        <v>0</v>
      </c>
      <c r="I206" s="168">
        <f>I207+I211</f>
        <v>0</v>
      </c>
      <c r="J206" s="141">
        <f>J207+J211+J209+J213</f>
        <v>667.028</v>
      </c>
      <c r="K206" s="141">
        <f>K207+K211+K209+K213</f>
        <v>666.01901</v>
      </c>
      <c r="L206" s="214">
        <f t="shared" si="19"/>
        <v>99.84873348645034</v>
      </c>
      <c r="M206" s="320">
        <f>M207+M211+M209+M213</f>
        <v>-50</v>
      </c>
      <c r="N206" s="322" t="e">
        <f>N207+N211+N209+N213</f>
        <v>#DIV/0!</v>
      </c>
      <c r="O206" s="166">
        <f t="shared" si="20"/>
        <v>1233.1982765135497</v>
      </c>
    </row>
    <row r="207" spans="1:15" ht="62.25" customHeight="1" hidden="1">
      <c r="A207" s="106" t="s">
        <v>862</v>
      </c>
      <c r="B207" s="218" t="s">
        <v>78</v>
      </c>
      <c r="C207" s="218" t="s">
        <v>357</v>
      </c>
      <c r="D207" s="218" t="s">
        <v>362</v>
      </c>
      <c r="E207" s="218" t="s">
        <v>861</v>
      </c>
      <c r="F207" s="218"/>
      <c r="G207" s="241">
        <f>G208</f>
        <v>0.4</v>
      </c>
      <c r="H207" s="241">
        <f>H208</f>
        <v>0</v>
      </c>
      <c r="I207" s="241">
        <f>I208</f>
        <v>0</v>
      </c>
      <c r="J207" s="215">
        <f>J208</f>
        <v>0</v>
      </c>
      <c r="K207" s="215">
        <f>K208</f>
        <v>0</v>
      </c>
      <c r="L207" s="214" t="e">
        <f t="shared" si="19"/>
        <v>#DIV/0!</v>
      </c>
      <c r="M207" s="287">
        <f>M208</f>
        <v>0</v>
      </c>
      <c r="N207" s="286" t="e">
        <f>N208</f>
        <v>#DIV/0!</v>
      </c>
      <c r="O207" s="166" t="e">
        <f t="shared" si="20"/>
        <v>#DIV/0!</v>
      </c>
    </row>
    <row r="208" spans="1:15" ht="30" hidden="1">
      <c r="A208" s="219" t="s">
        <v>500</v>
      </c>
      <c r="B208" s="218" t="s">
        <v>78</v>
      </c>
      <c r="C208" s="218" t="s">
        <v>357</v>
      </c>
      <c r="D208" s="218" t="s">
        <v>362</v>
      </c>
      <c r="E208" s="218" t="s">
        <v>861</v>
      </c>
      <c r="F208" s="218" t="s">
        <v>498</v>
      </c>
      <c r="G208" s="241">
        <v>0.4</v>
      </c>
      <c r="H208" s="217"/>
      <c r="I208" s="241"/>
      <c r="J208" s="215">
        <v>0</v>
      </c>
      <c r="K208" s="240"/>
      <c r="L208" s="214" t="e">
        <f t="shared" si="19"/>
        <v>#DIV/0!</v>
      </c>
      <c r="M208" s="287"/>
      <c r="N208" s="235" t="e">
        <f>L208+M208</f>
        <v>#DIV/0!</v>
      </c>
      <c r="O208" s="166" t="e">
        <f t="shared" si="20"/>
        <v>#DIV/0!</v>
      </c>
    </row>
    <row r="209" spans="1:15" ht="15">
      <c r="A209" s="219" t="s">
        <v>533</v>
      </c>
      <c r="B209" s="218" t="s">
        <v>78</v>
      </c>
      <c r="C209" s="218" t="s">
        <v>357</v>
      </c>
      <c r="D209" s="218" t="s">
        <v>362</v>
      </c>
      <c r="E209" s="218" t="s">
        <v>532</v>
      </c>
      <c r="F209" s="218"/>
      <c r="G209" s="241"/>
      <c r="H209" s="217"/>
      <c r="I209" s="241"/>
      <c r="J209" s="215">
        <f>J210</f>
        <v>667.028</v>
      </c>
      <c r="K209" s="215">
        <f>K210</f>
        <v>666.01901</v>
      </c>
      <c r="L209" s="214">
        <f t="shared" si="19"/>
        <v>99.84873348645034</v>
      </c>
      <c r="M209" s="276">
        <f>M210</f>
        <v>-50</v>
      </c>
      <c r="N209" s="235">
        <f>N210</f>
        <v>49.84873348645034</v>
      </c>
      <c r="O209" s="166">
        <f t="shared" si="20"/>
        <v>1233.1982765135497</v>
      </c>
    </row>
    <row r="210" spans="1:16" ht="30">
      <c r="A210" s="219" t="s">
        <v>491</v>
      </c>
      <c r="B210" s="218" t="s">
        <v>78</v>
      </c>
      <c r="C210" s="218" t="s">
        <v>357</v>
      </c>
      <c r="D210" s="218" t="s">
        <v>362</v>
      </c>
      <c r="E210" s="218" t="s">
        <v>532</v>
      </c>
      <c r="F210" s="218" t="s">
        <v>488</v>
      </c>
      <c r="G210" s="241"/>
      <c r="H210" s="217"/>
      <c r="I210" s="241"/>
      <c r="J210" s="215">
        <v>667.028</v>
      </c>
      <c r="K210" s="240">
        <v>666.01901</v>
      </c>
      <c r="L210" s="214">
        <f t="shared" si="19"/>
        <v>99.84873348645034</v>
      </c>
      <c r="M210" s="287">
        <f>-50</f>
        <v>-50</v>
      </c>
      <c r="N210" s="235">
        <f>L210+M210</f>
        <v>49.84873348645034</v>
      </c>
      <c r="O210" s="166">
        <f t="shared" si="20"/>
        <v>1233.1982765135497</v>
      </c>
      <c r="P210" s="190">
        <f>L210-O210</f>
        <v>-1133.3495430270993</v>
      </c>
    </row>
    <row r="211" spans="1:15" ht="45" customHeight="1" hidden="1">
      <c r="A211" s="219" t="s">
        <v>871</v>
      </c>
      <c r="B211" s="222" t="s">
        <v>78</v>
      </c>
      <c r="C211" s="222" t="s">
        <v>357</v>
      </c>
      <c r="D211" s="218" t="s">
        <v>362</v>
      </c>
      <c r="E211" s="218" t="s">
        <v>870</v>
      </c>
      <c r="F211" s="218"/>
      <c r="G211" s="241"/>
      <c r="H211" s="217">
        <f>H212</f>
        <v>0</v>
      </c>
      <c r="I211" s="217">
        <f>I212</f>
        <v>0</v>
      </c>
      <c r="J211" s="215">
        <f>J212</f>
        <v>0</v>
      </c>
      <c r="K211" s="215">
        <f>K212</f>
        <v>0</v>
      </c>
      <c r="L211" s="214" t="e">
        <f t="shared" si="19"/>
        <v>#DIV/0!</v>
      </c>
      <c r="M211" s="276">
        <f>M212</f>
        <v>0</v>
      </c>
      <c r="N211" s="235" t="e">
        <f>N212</f>
        <v>#DIV/0!</v>
      </c>
      <c r="O211" s="166" t="e">
        <f t="shared" si="20"/>
        <v>#DIV/0!</v>
      </c>
    </row>
    <row r="212" spans="1:15" ht="30" customHeight="1" hidden="1">
      <c r="A212" s="342" t="s">
        <v>704</v>
      </c>
      <c r="B212" s="222" t="s">
        <v>78</v>
      </c>
      <c r="C212" s="222" t="s">
        <v>357</v>
      </c>
      <c r="D212" s="218" t="s">
        <v>362</v>
      </c>
      <c r="E212" s="218" t="s">
        <v>870</v>
      </c>
      <c r="F212" s="218" t="s">
        <v>488</v>
      </c>
      <c r="G212" s="241"/>
      <c r="H212" s="217"/>
      <c r="I212" s="241"/>
      <c r="J212" s="215">
        <f>H212+I212</f>
        <v>0</v>
      </c>
      <c r="K212" s="240"/>
      <c r="L212" s="214" t="e">
        <f t="shared" si="19"/>
        <v>#DIV/0!</v>
      </c>
      <c r="M212" s="287"/>
      <c r="N212" s="235" t="e">
        <f>L212+M212</f>
        <v>#DIV/0!</v>
      </c>
      <c r="O212" s="166" t="e">
        <f t="shared" si="20"/>
        <v>#DIV/0!</v>
      </c>
    </row>
    <row r="213" spans="1:15" ht="60" hidden="1">
      <c r="A213" s="219" t="s">
        <v>869</v>
      </c>
      <c r="B213" s="222" t="s">
        <v>78</v>
      </c>
      <c r="C213" s="222" t="s">
        <v>357</v>
      </c>
      <c r="D213" s="218" t="s">
        <v>362</v>
      </c>
      <c r="E213" s="218" t="s">
        <v>703</v>
      </c>
      <c r="F213" s="218"/>
      <c r="G213" s="241"/>
      <c r="H213" s="217"/>
      <c r="I213" s="241"/>
      <c r="J213" s="215">
        <f>J214</f>
        <v>0</v>
      </c>
      <c r="K213" s="215">
        <f>K214</f>
        <v>0</v>
      </c>
      <c r="L213" s="214" t="e">
        <f t="shared" si="19"/>
        <v>#DIV/0!</v>
      </c>
      <c r="M213" s="276">
        <f>M214</f>
        <v>0</v>
      </c>
      <c r="N213" s="235" t="e">
        <f>N214</f>
        <v>#DIV/0!</v>
      </c>
      <c r="O213" s="166" t="e">
        <f t="shared" si="20"/>
        <v>#DIV/0!</v>
      </c>
    </row>
    <row r="214" spans="1:15" ht="30" hidden="1">
      <c r="A214" s="342" t="s">
        <v>704</v>
      </c>
      <c r="B214" s="222" t="s">
        <v>78</v>
      </c>
      <c r="C214" s="222" t="s">
        <v>357</v>
      </c>
      <c r="D214" s="218" t="s">
        <v>362</v>
      </c>
      <c r="E214" s="218" t="s">
        <v>703</v>
      </c>
      <c r="F214" s="218" t="s">
        <v>488</v>
      </c>
      <c r="G214" s="241"/>
      <c r="H214" s="217"/>
      <c r="I214" s="241"/>
      <c r="J214" s="215"/>
      <c r="K214" s="240"/>
      <c r="L214" s="214" t="e">
        <f t="shared" si="19"/>
        <v>#DIV/0!</v>
      </c>
      <c r="M214" s="287"/>
      <c r="N214" s="235" t="e">
        <f>L214+M214</f>
        <v>#DIV/0!</v>
      </c>
      <c r="O214" s="166" t="e">
        <f t="shared" si="20"/>
        <v>#DIV/0!</v>
      </c>
    </row>
    <row r="215" spans="1:15" s="115" customFormat="1" ht="57.75">
      <c r="A215" s="359" t="s">
        <v>868</v>
      </c>
      <c r="B215" s="143" t="s">
        <v>78</v>
      </c>
      <c r="C215" s="143" t="s">
        <v>357</v>
      </c>
      <c r="D215" s="143" t="s">
        <v>366</v>
      </c>
      <c r="E215" s="143"/>
      <c r="F215" s="143"/>
      <c r="G215" s="128">
        <f>G216</f>
        <v>412.31000000000006</v>
      </c>
      <c r="H215" s="128">
        <f>H216</f>
        <v>2981.6</v>
      </c>
      <c r="I215" s="128">
        <f>I216</f>
        <v>0</v>
      </c>
      <c r="J215" s="141">
        <f>J216</f>
        <v>3389.87504</v>
      </c>
      <c r="K215" s="141">
        <f>K216</f>
        <v>3376.39137</v>
      </c>
      <c r="L215" s="214">
        <f t="shared" si="19"/>
        <v>99.6022369603335</v>
      </c>
      <c r="M215" s="230">
        <f>M216</f>
        <v>-205.496</v>
      </c>
      <c r="N215" s="229" t="e">
        <f>N216</f>
        <v>#DIV/0!</v>
      </c>
      <c r="O215" s="166">
        <f t="shared" si="20"/>
        <v>6666.664173039667</v>
      </c>
    </row>
    <row r="216" spans="1:15" ht="75">
      <c r="A216" s="342" t="s">
        <v>867</v>
      </c>
      <c r="B216" s="218" t="s">
        <v>78</v>
      </c>
      <c r="C216" s="218" t="s">
        <v>357</v>
      </c>
      <c r="D216" s="218" t="s">
        <v>366</v>
      </c>
      <c r="E216" s="218" t="s">
        <v>534</v>
      </c>
      <c r="F216" s="218"/>
      <c r="G216" s="216">
        <f>G217+G218</f>
        <v>412.31000000000006</v>
      </c>
      <c r="H216" s="216">
        <f>H217+H218</f>
        <v>2981.6</v>
      </c>
      <c r="I216" s="216">
        <f>I217+I218</f>
        <v>0</v>
      </c>
      <c r="J216" s="215">
        <f>J218</f>
        <v>3389.87504</v>
      </c>
      <c r="K216" s="215">
        <f>K218</f>
        <v>3376.39137</v>
      </c>
      <c r="L216" s="214">
        <f t="shared" si="19"/>
        <v>99.6022369603335</v>
      </c>
      <c r="M216" s="228">
        <f>M217+M218</f>
        <v>-205.496</v>
      </c>
      <c r="N216" s="227" t="e">
        <f>N217+N218</f>
        <v>#DIV/0!</v>
      </c>
      <c r="O216" s="166">
        <f t="shared" si="20"/>
        <v>6666.664173039667</v>
      </c>
    </row>
    <row r="217" spans="1:15" ht="30" hidden="1">
      <c r="A217" s="342" t="s">
        <v>707</v>
      </c>
      <c r="B217" s="218" t="s">
        <v>78</v>
      </c>
      <c r="C217" s="218" t="s">
        <v>357</v>
      </c>
      <c r="D217" s="218" t="s">
        <v>366</v>
      </c>
      <c r="E217" s="218" t="s">
        <v>532</v>
      </c>
      <c r="F217" s="218" t="s">
        <v>699</v>
      </c>
      <c r="G217" s="216">
        <v>-0.4</v>
      </c>
      <c r="H217" s="217">
        <v>2981.6</v>
      </c>
      <c r="I217" s="216"/>
      <c r="J217" s="215"/>
      <c r="K217" s="215"/>
      <c r="L217" s="214" t="e">
        <f t="shared" si="19"/>
        <v>#DIV/0!</v>
      </c>
      <c r="M217" s="228"/>
      <c r="N217" s="235" t="e">
        <f>L217+M217</f>
        <v>#DIV/0!</v>
      </c>
      <c r="O217" s="166" t="e">
        <f t="shared" si="20"/>
        <v>#DIV/0!</v>
      </c>
    </row>
    <row r="218" spans="1:20" s="326" customFormat="1" ht="30">
      <c r="A218" s="400" t="s">
        <v>491</v>
      </c>
      <c r="B218" s="399" t="s">
        <v>78</v>
      </c>
      <c r="C218" s="399" t="s">
        <v>357</v>
      </c>
      <c r="D218" s="399" t="s">
        <v>366</v>
      </c>
      <c r="E218" s="399" t="s">
        <v>532</v>
      </c>
      <c r="F218" s="399" t="s">
        <v>488</v>
      </c>
      <c r="G218" s="397">
        <f>50+360+80+3.47-0.01-80-3.47+2.72</f>
        <v>412.71000000000004</v>
      </c>
      <c r="H218" s="398"/>
      <c r="I218" s="397"/>
      <c r="J218" s="396">
        <v>3389.87504</v>
      </c>
      <c r="K218" s="396">
        <v>3376.39137</v>
      </c>
      <c r="L218" s="214">
        <f t="shared" si="19"/>
        <v>99.6022369603335</v>
      </c>
      <c r="M218" s="330">
        <f>-205.496</f>
        <v>-205.496</v>
      </c>
      <c r="N218" s="329">
        <f>L218+M218</f>
        <v>-105.89376303966651</v>
      </c>
      <c r="O218" s="166">
        <f t="shared" si="20"/>
        <v>6666.664173039667</v>
      </c>
      <c r="P218" s="379">
        <f>L218-O218</f>
        <v>-6567.0619360793335</v>
      </c>
      <c r="R218" s="327" t="s">
        <v>866</v>
      </c>
      <c r="S218" s="327"/>
      <c r="T218" s="327"/>
    </row>
    <row r="219" spans="1:15" s="115" customFormat="1" ht="29.25" hidden="1">
      <c r="A219" s="359" t="s">
        <v>431</v>
      </c>
      <c r="B219" s="143" t="s">
        <v>78</v>
      </c>
      <c r="C219" s="143" t="s">
        <v>357</v>
      </c>
      <c r="D219" s="143" t="s">
        <v>389</v>
      </c>
      <c r="E219" s="143"/>
      <c r="F219" s="143"/>
      <c r="G219" s="128">
        <f aca="true" t="shared" si="21" ref="G219:K221">G220</f>
        <v>0</v>
      </c>
      <c r="H219" s="128">
        <f t="shared" si="21"/>
        <v>63</v>
      </c>
      <c r="I219" s="128">
        <f t="shared" si="21"/>
        <v>0</v>
      </c>
      <c r="J219" s="141">
        <f t="shared" si="21"/>
        <v>0</v>
      </c>
      <c r="K219" s="141">
        <f t="shared" si="21"/>
        <v>0</v>
      </c>
      <c r="L219" s="214" t="e">
        <f t="shared" si="19"/>
        <v>#DIV/0!</v>
      </c>
      <c r="M219" s="230">
        <f aca="true" t="shared" si="22" ref="M219:N221">M220</f>
        <v>0</v>
      </c>
      <c r="N219" s="229" t="e">
        <f t="shared" si="22"/>
        <v>#DIV/0!</v>
      </c>
      <c r="O219" s="166" t="e">
        <f t="shared" si="20"/>
        <v>#DIV/0!</v>
      </c>
    </row>
    <row r="220" spans="1:15" ht="30" hidden="1">
      <c r="A220" s="342" t="s">
        <v>824</v>
      </c>
      <c r="B220" s="218" t="s">
        <v>78</v>
      </c>
      <c r="C220" s="218" t="s">
        <v>357</v>
      </c>
      <c r="D220" s="218" t="s">
        <v>389</v>
      </c>
      <c r="E220" s="218" t="s">
        <v>823</v>
      </c>
      <c r="F220" s="218"/>
      <c r="G220" s="216">
        <f t="shared" si="21"/>
        <v>0</v>
      </c>
      <c r="H220" s="216">
        <f t="shared" si="21"/>
        <v>63</v>
      </c>
      <c r="I220" s="216">
        <f t="shared" si="21"/>
        <v>0</v>
      </c>
      <c r="J220" s="215">
        <f t="shared" si="21"/>
        <v>0</v>
      </c>
      <c r="K220" s="215">
        <f t="shared" si="21"/>
        <v>0</v>
      </c>
      <c r="L220" s="214" t="e">
        <f t="shared" si="19"/>
        <v>#DIV/0!</v>
      </c>
      <c r="M220" s="228">
        <f t="shared" si="22"/>
        <v>0</v>
      </c>
      <c r="N220" s="227" t="e">
        <f t="shared" si="22"/>
        <v>#DIV/0!</v>
      </c>
      <c r="O220" s="166" t="e">
        <f t="shared" si="20"/>
        <v>#DIV/0!</v>
      </c>
    </row>
    <row r="221" spans="1:15" ht="30" hidden="1">
      <c r="A221" s="342" t="s">
        <v>822</v>
      </c>
      <c r="B221" s="218" t="s">
        <v>78</v>
      </c>
      <c r="C221" s="218" t="s">
        <v>357</v>
      </c>
      <c r="D221" s="218" t="s">
        <v>389</v>
      </c>
      <c r="E221" s="218" t="s">
        <v>820</v>
      </c>
      <c r="F221" s="218"/>
      <c r="G221" s="216">
        <f t="shared" si="21"/>
        <v>0</v>
      </c>
      <c r="H221" s="216">
        <f t="shared" si="21"/>
        <v>63</v>
      </c>
      <c r="I221" s="216">
        <f t="shared" si="21"/>
        <v>0</v>
      </c>
      <c r="J221" s="215">
        <f t="shared" si="21"/>
        <v>0</v>
      </c>
      <c r="K221" s="215">
        <f t="shared" si="21"/>
        <v>0</v>
      </c>
      <c r="L221" s="214" t="e">
        <f t="shared" si="19"/>
        <v>#DIV/0!</v>
      </c>
      <c r="M221" s="228">
        <f t="shared" si="22"/>
        <v>0</v>
      </c>
      <c r="N221" s="227" t="e">
        <f t="shared" si="22"/>
        <v>#DIV/0!</v>
      </c>
      <c r="O221" s="166" t="e">
        <f t="shared" si="20"/>
        <v>#DIV/0!</v>
      </c>
    </row>
    <row r="222" spans="1:15" ht="15" hidden="1">
      <c r="A222" s="342" t="s">
        <v>821</v>
      </c>
      <c r="B222" s="218" t="s">
        <v>78</v>
      </c>
      <c r="C222" s="218" t="s">
        <v>357</v>
      </c>
      <c r="D222" s="218" t="s">
        <v>389</v>
      </c>
      <c r="E222" s="218" t="s">
        <v>820</v>
      </c>
      <c r="F222" s="218" t="s">
        <v>819</v>
      </c>
      <c r="G222" s="216"/>
      <c r="H222" s="217">
        <v>63</v>
      </c>
      <c r="I222" s="216"/>
      <c r="J222" s="215"/>
      <c r="K222" s="215"/>
      <c r="L222" s="214" t="e">
        <f t="shared" si="19"/>
        <v>#DIV/0!</v>
      </c>
      <c r="M222" s="228"/>
      <c r="N222" s="235" t="e">
        <f>L222+M222</f>
        <v>#DIV/0!</v>
      </c>
      <c r="O222" s="166" t="e">
        <f t="shared" si="20"/>
        <v>#DIV/0!</v>
      </c>
    </row>
    <row r="223" spans="1:15" ht="15" hidden="1">
      <c r="A223" s="342" t="s">
        <v>865</v>
      </c>
      <c r="B223" s="143" t="s">
        <v>78</v>
      </c>
      <c r="C223" s="143" t="s">
        <v>357</v>
      </c>
      <c r="D223" s="143" t="s">
        <v>389</v>
      </c>
      <c r="E223" s="143"/>
      <c r="F223" s="143"/>
      <c r="G223" s="216"/>
      <c r="H223" s="217"/>
      <c r="I223" s="216"/>
      <c r="J223" s="141">
        <f aca="true" t="shared" si="23" ref="J223:K225">J224</f>
        <v>0</v>
      </c>
      <c r="K223" s="141">
        <f t="shared" si="23"/>
        <v>0</v>
      </c>
      <c r="L223" s="172" t="e">
        <f t="shared" si="19"/>
        <v>#DIV/0!</v>
      </c>
      <c r="M223" s="228"/>
      <c r="N223" s="235"/>
      <c r="O223" s="166" t="e">
        <f t="shared" si="20"/>
        <v>#DIV/0!</v>
      </c>
    </row>
    <row r="224" spans="1:15" ht="15" hidden="1">
      <c r="A224" s="342" t="s">
        <v>865</v>
      </c>
      <c r="B224" s="218" t="s">
        <v>78</v>
      </c>
      <c r="C224" s="218" t="s">
        <v>357</v>
      </c>
      <c r="D224" s="218" t="s">
        <v>389</v>
      </c>
      <c r="E224" s="218" t="s">
        <v>864</v>
      </c>
      <c r="F224" s="218"/>
      <c r="G224" s="216"/>
      <c r="H224" s="217"/>
      <c r="I224" s="216"/>
      <c r="J224" s="215">
        <f t="shared" si="23"/>
        <v>0</v>
      </c>
      <c r="K224" s="215">
        <f t="shared" si="23"/>
        <v>0</v>
      </c>
      <c r="L224" s="214" t="e">
        <f t="shared" si="19"/>
        <v>#DIV/0!</v>
      </c>
      <c r="M224" s="228"/>
      <c r="N224" s="235"/>
      <c r="O224" s="166" t="e">
        <f t="shared" si="20"/>
        <v>#DIV/0!</v>
      </c>
    </row>
    <row r="225" spans="1:15" ht="30" hidden="1">
      <c r="A225" s="342" t="s">
        <v>863</v>
      </c>
      <c r="B225" s="218" t="s">
        <v>78</v>
      </c>
      <c r="C225" s="218" t="s">
        <v>357</v>
      </c>
      <c r="D225" s="218" t="s">
        <v>389</v>
      </c>
      <c r="E225" s="218" t="s">
        <v>860</v>
      </c>
      <c r="F225" s="218"/>
      <c r="G225" s="216"/>
      <c r="H225" s="217"/>
      <c r="I225" s="216"/>
      <c r="J225" s="215">
        <f t="shared" si="23"/>
        <v>0</v>
      </c>
      <c r="K225" s="215">
        <f t="shared" si="23"/>
        <v>0</v>
      </c>
      <c r="L225" s="214" t="e">
        <f t="shared" si="19"/>
        <v>#DIV/0!</v>
      </c>
      <c r="M225" s="228"/>
      <c r="N225" s="235"/>
      <c r="O225" s="166" t="e">
        <f t="shared" si="20"/>
        <v>#DIV/0!</v>
      </c>
    </row>
    <row r="226" spans="1:16" ht="15" hidden="1">
      <c r="A226" s="342" t="s">
        <v>821</v>
      </c>
      <c r="B226" s="218" t="s">
        <v>78</v>
      </c>
      <c r="C226" s="218" t="s">
        <v>357</v>
      </c>
      <c r="D226" s="218" t="s">
        <v>389</v>
      </c>
      <c r="E226" s="218" t="s">
        <v>860</v>
      </c>
      <c r="F226" s="218" t="s">
        <v>819</v>
      </c>
      <c r="G226" s="216"/>
      <c r="H226" s="217"/>
      <c r="I226" s="216"/>
      <c r="J226" s="215"/>
      <c r="K226" s="215"/>
      <c r="L226" s="214" t="e">
        <f t="shared" si="19"/>
        <v>#DIV/0!</v>
      </c>
      <c r="M226" s="228"/>
      <c r="N226" s="235"/>
      <c r="O226" s="166" t="e">
        <f t="shared" si="20"/>
        <v>#DIV/0!</v>
      </c>
      <c r="P226" s="166" t="e">
        <f>K226-O226</f>
        <v>#DIV/0!</v>
      </c>
    </row>
    <row r="227" spans="1:15" s="115" customFormat="1" ht="29.25">
      <c r="A227" s="296" t="s">
        <v>369</v>
      </c>
      <c r="B227" s="143" t="s">
        <v>78</v>
      </c>
      <c r="C227" s="143" t="s">
        <v>357</v>
      </c>
      <c r="D227" s="143" t="s">
        <v>370</v>
      </c>
      <c r="E227" s="143"/>
      <c r="F227" s="143"/>
      <c r="G227" s="128">
        <f aca="true" t="shared" si="24" ref="G227:K228">G228</f>
        <v>-233.58</v>
      </c>
      <c r="H227" s="128">
        <f t="shared" si="24"/>
        <v>0</v>
      </c>
      <c r="I227" s="128">
        <f t="shared" si="24"/>
        <v>0</v>
      </c>
      <c r="J227" s="141">
        <f t="shared" si="24"/>
        <v>9.7</v>
      </c>
      <c r="K227" s="141">
        <f t="shared" si="24"/>
        <v>0</v>
      </c>
      <c r="L227" s="172">
        <f t="shared" si="19"/>
        <v>0</v>
      </c>
      <c r="M227" s="230">
        <f aca="true" t="shared" si="25" ref="M227:N229">M228</f>
        <v>-323</v>
      </c>
      <c r="N227" s="229" t="e">
        <f t="shared" si="25"/>
        <v>#DIV/0!</v>
      </c>
      <c r="O227" s="166">
        <f t="shared" si="20"/>
        <v>9.7</v>
      </c>
    </row>
    <row r="228" spans="1:15" ht="60">
      <c r="A228" s="342" t="s">
        <v>862</v>
      </c>
      <c r="B228" s="218" t="s">
        <v>78</v>
      </c>
      <c r="C228" s="218" t="s">
        <v>357</v>
      </c>
      <c r="D228" s="218" t="s">
        <v>370</v>
      </c>
      <c r="E228" s="218" t="s">
        <v>861</v>
      </c>
      <c r="F228" s="218"/>
      <c r="G228" s="216">
        <f t="shared" si="24"/>
        <v>-233.58</v>
      </c>
      <c r="H228" s="216">
        <f t="shared" si="24"/>
        <v>0</v>
      </c>
      <c r="I228" s="216">
        <f t="shared" si="24"/>
        <v>0</v>
      </c>
      <c r="J228" s="215">
        <f t="shared" si="24"/>
        <v>9.7</v>
      </c>
      <c r="K228" s="215">
        <f t="shared" si="24"/>
        <v>0</v>
      </c>
      <c r="L228" s="214">
        <f t="shared" si="19"/>
        <v>0</v>
      </c>
      <c r="M228" s="228">
        <f t="shared" si="25"/>
        <v>-323</v>
      </c>
      <c r="N228" s="227" t="e">
        <f t="shared" si="25"/>
        <v>#DIV/0!</v>
      </c>
      <c r="O228" s="166">
        <f t="shared" si="20"/>
        <v>9.7</v>
      </c>
    </row>
    <row r="229" spans="1:15" ht="30">
      <c r="A229" s="226" t="s">
        <v>491</v>
      </c>
      <c r="B229" s="218" t="s">
        <v>78</v>
      </c>
      <c r="C229" s="218" t="s">
        <v>357</v>
      </c>
      <c r="D229" s="218" t="s">
        <v>370</v>
      </c>
      <c r="E229" s="218" t="s">
        <v>861</v>
      </c>
      <c r="F229" s="218" t="s">
        <v>488</v>
      </c>
      <c r="G229" s="216">
        <f>G230</f>
        <v>-233.58</v>
      </c>
      <c r="H229" s="216">
        <f>H230</f>
        <v>0</v>
      </c>
      <c r="I229" s="216">
        <f>I230</f>
        <v>0</v>
      </c>
      <c r="J229" s="215">
        <v>9.7</v>
      </c>
      <c r="K229" s="215"/>
      <c r="L229" s="214">
        <f t="shared" si="19"/>
        <v>0</v>
      </c>
      <c r="M229" s="228">
        <f t="shared" si="25"/>
        <v>-323</v>
      </c>
      <c r="N229" s="227" t="e">
        <f t="shared" si="25"/>
        <v>#DIV/0!</v>
      </c>
      <c r="O229" s="166">
        <f t="shared" si="20"/>
        <v>9.7</v>
      </c>
    </row>
    <row r="230" spans="1:15" ht="15" hidden="1">
      <c r="A230" s="342" t="s">
        <v>821</v>
      </c>
      <c r="B230" s="218" t="s">
        <v>78</v>
      </c>
      <c r="C230" s="218" t="s">
        <v>357</v>
      </c>
      <c r="D230" s="218" t="s">
        <v>391</v>
      </c>
      <c r="E230" s="218" t="s">
        <v>860</v>
      </c>
      <c r="F230" s="218" t="s">
        <v>819</v>
      </c>
      <c r="G230" s="216">
        <f>-163.58-60-10</f>
        <v>-233.58</v>
      </c>
      <c r="H230" s="217"/>
      <c r="I230" s="216"/>
      <c r="J230" s="215"/>
      <c r="K230" s="215"/>
      <c r="L230" s="214" t="e">
        <f t="shared" si="19"/>
        <v>#DIV/0!</v>
      </c>
      <c r="M230" s="298">
        <f>-323</f>
        <v>-323</v>
      </c>
      <c r="N230" s="300" t="e">
        <f>L230+M230</f>
        <v>#DIV/0!</v>
      </c>
      <c r="O230" s="166" t="e">
        <f t="shared" si="20"/>
        <v>#DIV/0!</v>
      </c>
    </row>
    <row r="231" spans="1:15" s="115" customFormat="1" ht="14.25" customHeight="1">
      <c r="A231" s="373" t="s">
        <v>371</v>
      </c>
      <c r="B231" s="395" t="s">
        <v>78</v>
      </c>
      <c r="C231" s="395" t="s">
        <v>358</v>
      </c>
      <c r="D231" s="395" t="s">
        <v>817</v>
      </c>
      <c r="E231" s="395"/>
      <c r="F231" s="395"/>
      <c r="G231" s="394">
        <f aca="true" t="shared" si="26" ref="G231:K232">G232</f>
        <v>-1000</v>
      </c>
      <c r="H231" s="394">
        <f t="shared" si="26"/>
        <v>1548</v>
      </c>
      <c r="I231" s="394">
        <f t="shared" si="26"/>
        <v>0</v>
      </c>
      <c r="J231" s="240">
        <f t="shared" si="26"/>
        <v>561.1</v>
      </c>
      <c r="K231" s="240">
        <f t="shared" si="26"/>
        <v>561.1</v>
      </c>
      <c r="L231" s="172">
        <f t="shared" si="19"/>
        <v>100</v>
      </c>
      <c r="M231" s="230">
        <f>M232</f>
        <v>0</v>
      </c>
      <c r="N231" s="229" t="e">
        <f>N232</f>
        <v>#DIV/0!</v>
      </c>
      <c r="O231" s="166">
        <f t="shared" si="20"/>
        <v>1022.2</v>
      </c>
    </row>
    <row r="232" spans="1:15" ht="26.25" customHeight="1">
      <c r="A232" s="334" t="s">
        <v>859</v>
      </c>
      <c r="B232" s="218" t="s">
        <v>78</v>
      </c>
      <c r="C232" s="218" t="s">
        <v>358</v>
      </c>
      <c r="D232" s="218" t="s">
        <v>360</v>
      </c>
      <c r="E232" s="218"/>
      <c r="F232" s="218"/>
      <c r="G232" s="216">
        <f t="shared" si="26"/>
        <v>-1000</v>
      </c>
      <c r="H232" s="216">
        <f t="shared" si="26"/>
        <v>1548</v>
      </c>
      <c r="I232" s="216">
        <f t="shared" si="26"/>
        <v>0</v>
      </c>
      <c r="J232" s="215">
        <f t="shared" si="26"/>
        <v>561.1</v>
      </c>
      <c r="K232" s="215">
        <f t="shared" si="26"/>
        <v>561.1</v>
      </c>
      <c r="L232" s="214">
        <f t="shared" si="19"/>
        <v>100</v>
      </c>
      <c r="M232" s="228">
        <f>M233</f>
        <v>0</v>
      </c>
      <c r="N232" s="227" t="e">
        <f>N233</f>
        <v>#DIV/0!</v>
      </c>
      <c r="O232" s="166">
        <f t="shared" si="20"/>
        <v>1022.2</v>
      </c>
    </row>
    <row r="233" spans="1:15" ht="43.5" customHeight="1">
      <c r="A233" s="334" t="s">
        <v>858</v>
      </c>
      <c r="B233" s="218" t="s">
        <v>78</v>
      </c>
      <c r="C233" s="218" t="s">
        <v>358</v>
      </c>
      <c r="D233" s="218" t="s">
        <v>360</v>
      </c>
      <c r="E233" s="218" t="s">
        <v>826</v>
      </c>
      <c r="F233" s="218"/>
      <c r="G233" s="216">
        <f>G234</f>
        <v>-1000</v>
      </c>
      <c r="H233" s="216">
        <f>H234</f>
        <v>1548</v>
      </c>
      <c r="I233" s="216">
        <f>I234</f>
        <v>0</v>
      </c>
      <c r="J233" s="215">
        <f>J234+J235</f>
        <v>561.1</v>
      </c>
      <c r="K233" s="215">
        <f>K234+K235</f>
        <v>561.1</v>
      </c>
      <c r="L233" s="214">
        <f t="shared" si="19"/>
        <v>100</v>
      </c>
      <c r="M233" s="235">
        <f>M234+M235</f>
        <v>0</v>
      </c>
      <c r="N233" s="235" t="e">
        <f>N234+N235</f>
        <v>#DIV/0!</v>
      </c>
      <c r="O233" s="166">
        <f t="shared" si="20"/>
        <v>1022.2</v>
      </c>
    </row>
    <row r="234" spans="1:16" ht="15" customHeight="1">
      <c r="A234" s="226" t="s">
        <v>857</v>
      </c>
      <c r="B234" s="218" t="s">
        <v>78</v>
      </c>
      <c r="C234" s="218" t="s">
        <v>358</v>
      </c>
      <c r="D234" s="218" t="s">
        <v>360</v>
      </c>
      <c r="E234" s="218" t="s">
        <v>826</v>
      </c>
      <c r="F234" s="218" t="s">
        <v>825</v>
      </c>
      <c r="G234" s="216">
        <v>-1000</v>
      </c>
      <c r="H234" s="217">
        <v>1548</v>
      </c>
      <c r="I234" s="216"/>
      <c r="J234" s="215">
        <v>561.1</v>
      </c>
      <c r="K234" s="215">
        <v>561.1</v>
      </c>
      <c r="L234" s="214">
        <f t="shared" si="19"/>
        <v>100</v>
      </c>
      <c r="M234" s="228"/>
      <c r="N234" s="235">
        <f>L234+M234</f>
        <v>100</v>
      </c>
      <c r="O234" s="166">
        <f t="shared" si="20"/>
        <v>1022.2</v>
      </c>
      <c r="P234" s="166">
        <f>K234</f>
        <v>561.1</v>
      </c>
    </row>
    <row r="235" spans="1:15" ht="25.5" customHeight="1" hidden="1">
      <c r="A235" s="342" t="s">
        <v>856</v>
      </c>
      <c r="B235" s="218" t="s">
        <v>78</v>
      </c>
      <c r="C235" s="218" t="s">
        <v>357</v>
      </c>
      <c r="D235" s="218" t="s">
        <v>380</v>
      </c>
      <c r="E235" s="218"/>
      <c r="F235" s="218"/>
      <c r="G235" s="309">
        <f>G236</f>
        <v>0</v>
      </c>
      <c r="H235" s="309">
        <f>H236</f>
        <v>0</v>
      </c>
      <c r="I235" s="309">
        <f>I236</f>
        <v>0</v>
      </c>
      <c r="J235" s="215">
        <f>J236</f>
        <v>0</v>
      </c>
      <c r="K235" s="215">
        <f>K236</f>
        <v>0</v>
      </c>
      <c r="L235" s="214" t="e">
        <f t="shared" si="19"/>
        <v>#DIV/0!</v>
      </c>
      <c r="M235" s="336">
        <f>M236</f>
        <v>0</v>
      </c>
      <c r="N235" s="336" t="e">
        <f>N236</f>
        <v>#DIV/0!</v>
      </c>
      <c r="O235" s="166" t="e">
        <f t="shared" si="20"/>
        <v>#DIV/0!</v>
      </c>
    </row>
    <row r="236" spans="1:15" ht="28.5" customHeight="1" hidden="1">
      <c r="A236" s="342" t="s">
        <v>855</v>
      </c>
      <c r="B236" s="218" t="s">
        <v>78</v>
      </c>
      <c r="C236" s="218" t="s">
        <v>357</v>
      </c>
      <c r="D236" s="218" t="s">
        <v>380</v>
      </c>
      <c r="E236" s="218"/>
      <c r="F236" s="218" t="s">
        <v>819</v>
      </c>
      <c r="G236" s="216"/>
      <c r="H236" s="217"/>
      <c r="I236" s="216"/>
      <c r="J236" s="215"/>
      <c r="K236" s="215"/>
      <c r="L236" s="214" t="e">
        <f t="shared" si="19"/>
        <v>#DIV/0!</v>
      </c>
      <c r="M236" s="337"/>
      <c r="N236" s="336" t="e">
        <f>L236+M236</f>
        <v>#DIV/0!</v>
      </c>
      <c r="O236" s="166" t="e">
        <f t="shared" si="20"/>
        <v>#DIV/0!</v>
      </c>
    </row>
    <row r="237" spans="1:15" ht="43.5">
      <c r="A237" s="242" t="s">
        <v>374</v>
      </c>
      <c r="B237" s="222" t="s">
        <v>78</v>
      </c>
      <c r="C237" s="222" t="s">
        <v>360</v>
      </c>
      <c r="D237" s="218"/>
      <c r="E237" s="218"/>
      <c r="F237" s="218"/>
      <c r="G237" s="241">
        <f>G238</f>
        <v>0</v>
      </c>
      <c r="H237" s="241">
        <f>H238</f>
        <v>526.1</v>
      </c>
      <c r="I237" s="241">
        <f>I238</f>
        <v>0</v>
      </c>
      <c r="J237" s="240">
        <f>J238</f>
        <v>700</v>
      </c>
      <c r="K237" s="240">
        <f>K238</f>
        <v>700</v>
      </c>
      <c r="L237" s="172">
        <f t="shared" si="19"/>
        <v>100</v>
      </c>
      <c r="M237" s="265">
        <f>M238</f>
        <v>0</v>
      </c>
      <c r="N237" s="264">
        <f>N238</f>
        <v>200</v>
      </c>
      <c r="O237" s="166">
        <f t="shared" si="20"/>
        <v>1300</v>
      </c>
    </row>
    <row r="238" spans="1:15" s="115" customFormat="1" ht="15">
      <c r="A238" s="245" t="s">
        <v>376</v>
      </c>
      <c r="B238" s="143" t="s">
        <v>78</v>
      </c>
      <c r="C238" s="143" t="s">
        <v>360</v>
      </c>
      <c r="D238" s="143" t="s">
        <v>358</v>
      </c>
      <c r="E238" s="143"/>
      <c r="F238" s="143"/>
      <c r="G238" s="128">
        <f>G239+G241</f>
        <v>0</v>
      </c>
      <c r="H238" s="128">
        <f>H239+H241</f>
        <v>526.1</v>
      </c>
      <c r="I238" s="128">
        <f>I239+I241</f>
        <v>0</v>
      </c>
      <c r="J238" s="141">
        <f>J239+J241</f>
        <v>700</v>
      </c>
      <c r="K238" s="141">
        <f>K239+K241</f>
        <v>700</v>
      </c>
      <c r="L238" s="172">
        <f t="shared" si="19"/>
        <v>100</v>
      </c>
      <c r="M238" s="230">
        <f>M239+M241</f>
        <v>0</v>
      </c>
      <c r="N238" s="229">
        <f>N239+N241</f>
        <v>200</v>
      </c>
      <c r="O238" s="166">
        <f t="shared" si="20"/>
        <v>1300</v>
      </c>
    </row>
    <row r="239" spans="1:15" ht="38.25">
      <c r="A239" s="393" t="s">
        <v>854</v>
      </c>
      <c r="B239" s="218" t="s">
        <v>78</v>
      </c>
      <c r="C239" s="218" t="s">
        <v>360</v>
      </c>
      <c r="D239" s="218" t="s">
        <v>358</v>
      </c>
      <c r="E239" s="218" t="s">
        <v>720</v>
      </c>
      <c r="F239" s="218"/>
      <c r="G239" s="216">
        <f>G240</f>
        <v>0</v>
      </c>
      <c r="H239" s="216">
        <f>H240</f>
        <v>316.5</v>
      </c>
      <c r="I239" s="216">
        <f>I240</f>
        <v>0</v>
      </c>
      <c r="J239" s="215">
        <f>J240</f>
        <v>300</v>
      </c>
      <c r="K239" s="215">
        <f>K240</f>
        <v>300</v>
      </c>
      <c r="L239" s="214">
        <f t="shared" si="19"/>
        <v>100</v>
      </c>
      <c r="M239" s="228">
        <f>M240</f>
        <v>0</v>
      </c>
      <c r="N239" s="227">
        <f>N240</f>
        <v>100</v>
      </c>
      <c r="O239" s="166">
        <f t="shared" si="20"/>
        <v>500</v>
      </c>
    </row>
    <row r="240" spans="1:15" ht="30">
      <c r="A240" s="226" t="s">
        <v>491</v>
      </c>
      <c r="B240" s="218" t="s">
        <v>78</v>
      </c>
      <c r="C240" s="218" t="s">
        <v>360</v>
      </c>
      <c r="D240" s="218" t="s">
        <v>358</v>
      </c>
      <c r="E240" s="218" t="s">
        <v>720</v>
      </c>
      <c r="F240" s="218" t="s">
        <v>488</v>
      </c>
      <c r="G240" s="216"/>
      <c r="H240" s="217">
        <v>316.5</v>
      </c>
      <c r="I240" s="216"/>
      <c r="J240" s="215">
        <v>300</v>
      </c>
      <c r="K240" s="215">
        <v>300</v>
      </c>
      <c r="L240" s="214">
        <f t="shared" si="19"/>
        <v>100</v>
      </c>
      <c r="M240" s="228"/>
      <c r="N240" s="235">
        <f>L240+M240</f>
        <v>100</v>
      </c>
      <c r="O240" s="166">
        <f t="shared" si="20"/>
        <v>500</v>
      </c>
    </row>
    <row r="241" spans="1:15" ht="43.5" customHeight="1">
      <c r="A241" s="392" t="s">
        <v>853</v>
      </c>
      <c r="B241" s="218" t="s">
        <v>78</v>
      </c>
      <c r="C241" s="218" t="s">
        <v>360</v>
      </c>
      <c r="D241" s="218" t="s">
        <v>358</v>
      </c>
      <c r="E241" s="218" t="s">
        <v>717</v>
      </c>
      <c r="F241" s="218"/>
      <c r="G241" s="216">
        <f>G242</f>
        <v>0</v>
      </c>
      <c r="H241" s="216">
        <f>H242</f>
        <v>209.6</v>
      </c>
      <c r="I241" s="216">
        <f>I242</f>
        <v>0</v>
      </c>
      <c r="J241" s="215">
        <f>J242</f>
        <v>400</v>
      </c>
      <c r="K241" s="215">
        <f>K242</f>
        <v>400</v>
      </c>
      <c r="L241" s="214">
        <f t="shared" si="19"/>
        <v>100</v>
      </c>
      <c r="M241" s="228">
        <f>M242</f>
        <v>0</v>
      </c>
      <c r="N241" s="227">
        <f>N242</f>
        <v>100</v>
      </c>
      <c r="O241" s="166">
        <f t="shared" si="20"/>
        <v>700</v>
      </c>
    </row>
    <row r="242" spans="1:15" ht="30.75" thickBot="1">
      <c r="A242" s="226" t="s">
        <v>491</v>
      </c>
      <c r="B242" s="218" t="s">
        <v>78</v>
      </c>
      <c r="C242" s="218" t="s">
        <v>360</v>
      </c>
      <c r="D242" s="218" t="s">
        <v>358</v>
      </c>
      <c r="E242" s="218" t="s">
        <v>717</v>
      </c>
      <c r="F242" s="218" t="s">
        <v>488</v>
      </c>
      <c r="G242" s="216"/>
      <c r="H242" s="217">
        <v>209.6</v>
      </c>
      <c r="I242" s="216"/>
      <c r="J242" s="215">
        <f>200+200</f>
        <v>400</v>
      </c>
      <c r="K242" s="215">
        <v>400</v>
      </c>
      <c r="L242" s="214">
        <f t="shared" si="19"/>
        <v>100</v>
      </c>
      <c r="M242" s="225"/>
      <c r="N242" s="224">
        <f>L242+M242</f>
        <v>100</v>
      </c>
      <c r="O242" s="166">
        <f t="shared" si="20"/>
        <v>700</v>
      </c>
    </row>
    <row r="243" spans="1:15" ht="15">
      <c r="A243" s="242" t="s">
        <v>381</v>
      </c>
      <c r="B243" s="222" t="s">
        <v>78</v>
      </c>
      <c r="C243" s="222" t="s">
        <v>362</v>
      </c>
      <c r="D243" s="222"/>
      <c r="E243" s="222"/>
      <c r="F243" s="222"/>
      <c r="G243" s="241" t="e">
        <f>G244+G248</f>
        <v>#REF!</v>
      </c>
      <c r="H243" s="241" t="e">
        <f>H244+H248</f>
        <v>#REF!</v>
      </c>
      <c r="I243" s="241" t="e">
        <f>I244+I248</f>
        <v>#REF!</v>
      </c>
      <c r="J243" s="240">
        <f>J244+J248</f>
        <v>11797.916659999999</v>
      </c>
      <c r="K243" s="240">
        <f>K244+K248</f>
        <v>11790.756159999999</v>
      </c>
      <c r="L243" s="172">
        <f t="shared" si="19"/>
        <v>99.93930708101814</v>
      </c>
      <c r="M243" s="287" t="e">
        <f>M244+M248</f>
        <v>#REF!</v>
      </c>
      <c r="N243" s="286" t="e">
        <f>N244+N248</f>
        <v>#REF!</v>
      </c>
      <c r="O243" s="166">
        <f t="shared" si="20"/>
        <v>23488.73351291898</v>
      </c>
    </row>
    <row r="244" spans="1:15" s="115" customFormat="1" ht="17.25" customHeight="1">
      <c r="A244" s="254" t="s">
        <v>383</v>
      </c>
      <c r="B244" s="143" t="s">
        <v>78</v>
      </c>
      <c r="C244" s="143" t="s">
        <v>362</v>
      </c>
      <c r="D244" s="143" t="s">
        <v>357</v>
      </c>
      <c r="E244" s="143"/>
      <c r="F244" s="143"/>
      <c r="G244" s="128" t="e">
        <f>G245</f>
        <v>#REF!</v>
      </c>
      <c r="H244" s="168" t="e">
        <f>H245+#REF!</f>
        <v>#REF!</v>
      </c>
      <c r="I244" s="168" t="e">
        <f>I245+#REF!</f>
        <v>#REF!</v>
      </c>
      <c r="J244" s="141">
        <f>J245</f>
        <v>495.85766</v>
      </c>
      <c r="K244" s="141">
        <f>K245</f>
        <v>495.85766</v>
      </c>
      <c r="L244" s="172">
        <f t="shared" si="19"/>
        <v>100</v>
      </c>
      <c r="M244" s="295" t="e">
        <f>M245+#REF!</f>
        <v>#REF!</v>
      </c>
      <c r="N244" s="294" t="e">
        <f>N245+#REF!</f>
        <v>#REF!</v>
      </c>
      <c r="O244" s="166">
        <f t="shared" si="20"/>
        <v>891.71532</v>
      </c>
    </row>
    <row r="245" spans="1:16" ht="30">
      <c r="A245" s="251" t="s">
        <v>531</v>
      </c>
      <c r="B245" s="218" t="s">
        <v>78</v>
      </c>
      <c r="C245" s="218" t="s">
        <v>362</v>
      </c>
      <c r="D245" s="218" t="s">
        <v>357</v>
      </c>
      <c r="E245" s="218" t="s">
        <v>530</v>
      </c>
      <c r="F245" s="218"/>
      <c r="G245" s="216" t="e">
        <f>#REF!</f>
        <v>#REF!</v>
      </c>
      <c r="H245" s="216" t="e">
        <f>#REF!</f>
        <v>#REF!</v>
      </c>
      <c r="I245" s="216" t="e">
        <f>#REF!</f>
        <v>#REF!</v>
      </c>
      <c r="J245" s="215">
        <f>SUM(J246:J247)</f>
        <v>495.85766</v>
      </c>
      <c r="K245" s="215">
        <f>SUM(K246:K247)</f>
        <v>495.85766</v>
      </c>
      <c r="L245" s="214">
        <f t="shared" si="19"/>
        <v>100</v>
      </c>
      <c r="M245" s="228" t="e">
        <f>#REF!</f>
        <v>#REF!</v>
      </c>
      <c r="N245" s="227" t="e">
        <f>#REF!</f>
        <v>#REF!</v>
      </c>
      <c r="O245" s="166">
        <f t="shared" si="20"/>
        <v>891.71532</v>
      </c>
      <c r="P245" s="251"/>
    </row>
    <row r="246" spans="1:15" ht="15">
      <c r="A246" s="251" t="s">
        <v>265</v>
      </c>
      <c r="B246" s="218" t="s">
        <v>78</v>
      </c>
      <c r="C246" s="218" t="s">
        <v>362</v>
      </c>
      <c r="D246" s="218" t="s">
        <v>357</v>
      </c>
      <c r="E246" s="218" t="s">
        <v>530</v>
      </c>
      <c r="F246" s="218" t="s">
        <v>796</v>
      </c>
      <c r="G246" s="216"/>
      <c r="H246" s="216"/>
      <c r="I246" s="216"/>
      <c r="J246" s="215">
        <v>232.60672</v>
      </c>
      <c r="K246" s="215">
        <v>232.60672</v>
      </c>
      <c r="L246" s="214">
        <f t="shared" si="19"/>
        <v>100</v>
      </c>
      <c r="M246" s="228"/>
      <c r="N246" s="227"/>
      <c r="O246" s="166">
        <f t="shared" si="20"/>
        <v>365.21344</v>
      </c>
    </row>
    <row r="247" spans="1:15" ht="30">
      <c r="A247" s="226" t="s">
        <v>491</v>
      </c>
      <c r="B247" s="218" t="s">
        <v>78</v>
      </c>
      <c r="C247" s="218" t="s">
        <v>362</v>
      </c>
      <c r="D247" s="218" t="s">
        <v>357</v>
      </c>
      <c r="E247" s="218" t="s">
        <v>530</v>
      </c>
      <c r="F247" s="218" t="s">
        <v>498</v>
      </c>
      <c r="G247" s="216"/>
      <c r="H247" s="216"/>
      <c r="I247" s="216"/>
      <c r="J247" s="215">
        <v>263.25094</v>
      </c>
      <c r="K247" s="215">
        <v>263.25094</v>
      </c>
      <c r="L247" s="214">
        <f t="shared" si="19"/>
        <v>100</v>
      </c>
      <c r="M247" s="228"/>
      <c r="N247" s="227"/>
      <c r="O247" s="166">
        <f t="shared" si="20"/>
        <v>426.50188</v>
      </c>
    </row>
    <row r="248" spans="1:15" s="115" customFormat="1" ht="24" customHeight="1">
      <c r="A248" s="359" t="s">
        <v>390</v>
      </c>
      <c r="B248" s="143" t="s">
        <v>78</v>
      </c>
      <c r="C248" s="143" t="s">
        <v>362</v>
      </c>
      <c r="D248" s="143" t="s">
        <v>391</v>
      </c>
      <c r="E248" s="143"/>
      <c r="F248" s="143"/>
      <c r="G248" s="128">
        <f>G255</f>
        <v>0</v>
      </c>
      <c r="H248" s="128">
        <f>H255</f>
        <v>235.5</v>
      </c>
      <c r="I248" s="128">
        <f>I255</f>
        <v>0</v>
      </c>
      <c r="J248" s="141">
        <f>J255+J249+J253</f>
        <v>11302.059</v>
      </c>
      <c r="K248" s="141">
        <f>K255+K249+K253</f>
        <v>11294.8985</v>
      </c>
      <c r="L248" s="172">
        <f t="shared" si="19"/>
        <v>99.93664428755858</v>
      </c>
      <c r="M248" s="230">
        <f>M255</f>
        <v>0</v>
      </c>
      <c r="N248" s="229">
        <f>N255</f>
        <v>99.9103761904762</v>
      </c>
      <c r="O248" s="166">
        <f t="shared" si="20"/>
        <v>22497.02085571244</v>
      </c>
    </row>
    <row r="249" spans="1:15" ht="33" customHeight="1">
      <c r="A249" s="391" t="s">
        <v>850</v>
      </c>
      <c r="B249" s="218" t="s">
        <v>78</v>
      </c>
      <c r="C249" s="218" t="s">
        <v>362</v>
      </c>
      <c r="D249" s="218" t="s">
        <v>391</v>
      </c>
      <c r="E249" s="218" t="s">
        <v>852</v>
      </c>
      <c r="F249" s="218"/>
      <c r="G249" s="216"/>
      <c r="H249" s="216"/>
      <c r="I249" s="216"/>
      <c r="J249" s="215">
        <f>J250+J251</f>
        <v>9083.228</v>
      </c>
      <c r="K249" s="215">
        <f>K250+K251</f>
        <v>9083.228</v>
      </c>
      <c r="L249" s="214">
        <f t="shared" si="19"/>
        <v>100</v>
      </c>
      <c r="M249" s="228"/>
      <c r="N249" s="227"/>
      <c r="O249" s="166">
        <f t="shared" si="20"/>
        <v>18066.456</v>
      </c>
    </row>
    <row r="250" spans="1:15" ht="62.25" customHeight="1">
      <c r="A250" s="342" t="s">
        <v>849</v>
      </c>
      <c r="B250" s="218" t="s">
        <v>78</v>
      </c>
      <c r="C250" s="218" t="s">
        <v>362</v>
      </c>
      <c r="D250" s="218" t="s">
        <v>391</v>
      </c>
      <c r="E250" s="218" t="s">
        <v>851</v>
      </c>
      <c r="F250" s="218" t="s">
        <v>538</v>
      </c>
      <c r="G250" s="216"/>
      <c r="H250" s="216"/>
      <c r="I250" s="216"/>
      <c r="J250" s="215">
        <v>9083.228</v>
      </c>
      <c r="K250" s="215">
        <v>9083.228</v>
      </c>
      <c r="L250" s="214">
        <f t="shared" si="19"/>
        <v>100</v>
      </c>
      <c r="M250" s="228"/>
      <c r="N250" s="227"/>
      <c r="O250" s="166">
        <f t="shared" si="20"/>
        <v>18066.456</v>
      </c>
    </row>
    <row r="251" spans="1:15" s="115" customFormat="1" ht="26.25" hidden="1">
      <c r="A251" s="391" t="s">
        <v>850</v>
      </c>
      <c r="B251" s="218" t="s">
        <v>78</v>
      </c>
      <c r="C251" s="218" t="s">
        <v>362</v>
      </c>
      <c r="D251" s="218" t="s">
        <v>391</v>
      </c>
      <c r="E251" s="218" t="s">
        <v>848</v>
      </c>
      <c r="F251" s="218"/>
      <c r="G251" s="128"/>
      <c r="H251" s="128"/>
      <c r="I251" s="128"/>
      <c r="J251" s="215">
        <v>0</v>
      </c>
      <c r="K251" s="215">
        <f>K252</f>
        <v>0</v>
      </c>
      <c r="L251" s="214" t="e">
        <f t="shared" si="19"/>
        <v>#DIV/0!</v>
      </c>
      <c r="M251" s="230"/>
      <c r="N251" s="229"/>
      <c r="O251" s="166" t="e">
        <f t="shared" si="20"/>
        <v>#DIV/0!</v>
      </c>
    </row>
    <row r="252" spans="1:15" s="115" customFormat="1" ht="60" hidden="1">
      <c r="A252" s="334" t="s">
        <v>849</v>
      </c>
      <c r="B252" s="218" t="s">
        <v>78</v>
      </c>
      <c r="C252" s="218" t="s">
        <v>362</v>
      </c>
      <c r="D252" s="218" t="s">
        <v>391</v>
      </c>
      <c r="E252" s="218" t="s">
        <v>848</v>
      </c>
      <c r="F252" s="218" t="s">
        <v>538</v>
      </c>
      <c r="G252" s="128"/>
      <c r="H252" s="128"/>
      <c r="I252" s="128"/>
      <c r="J252" s="215">
        <v>0</v>
      </c>
      <c r="K252" s="215"/>
      <c r="L252" s="214" t="e">
        <f t="shared" si="19"/>
        <v>#DIV/0!</v>
      </c>
      <c r="M252" s="230"/>
      <c r="N252" s="229"/>
      <c r="O252" s="166" t="e">
        <f t="shared" si="20"/>
        <v>#DIV/0!</v>
      </c>
    </row>
    <row r="253" spans="1:15" s="115" customFormat="1" ht="60">
      <c r="A253" s="334" t="s">
        <v>847</v>
      </c>
      <c r="B253" s="218" t="s">
        <v>78</v>
      </c>
      <c r="C253" s="218" t="s">
        <v>362</v>
      </c>
      <c r="D253" s="218" t="s">
        <v>391</v>
      </c>
      <c r="E253" s="218" t="s">
        <v>846</v>
      </c>
      <c r="F253" s="218"/>
      <c r="G253" s="128"/>
      <c r="H253" s="128"/>
      <c r="I253" s="128"/>
      <c r="J253" s="215">
        <f>J254</f>
        <v>1168.831</v>
      </c>
      <c r="K253" s="215">
        <f>K254</f>
        <v>1162.61155</v>
      </c>
      <c r="L253" s="214">
        <f t="shared" si="19"/>
        <v>99.46789142313989</v>
      </c>
      <c r="M253" s="230"/>
      <c r="N253" s="229"/>
      <c r="O253" s="166">
        <f t="shared" si="20"/>
        <v>2231.97465857686</v>
      </c>
    </row>
    <row r="254" spans="1:15" s="115" customFormat="1" ht="60">
      <c r="A254" s="334" t="s">
        <v>847</v>
      </c>
      <c r="B254" s="218" t="s">
        <v>78</v>
      </c>
      <c r="C254" s="218" t="s">
        <v>362</v>
      </c>
      <c r="D254" s="218" t="s">
        <v>391</v>
      </c>
      <c r="E254" s="218" t="s">
        <v>846</v>
      </c>
      <c r="F254" s="218" t="s">
        <v>538</v>
      </c>
      <c r="G254" s="128"/>
      <c r="H254" s="128"/>
      <c r="I254" s="128"/>
      <c r="J254" s="215">
        <v>1168.831</v>
      </c>
      <c r="K254" s="215">
        <v>1162.61155</v>
      </c>
      <c r="L254" s="214">
        <f t="shared" si="19"/>
        <v>99.46789142313989</v>
      </c>
      <c r="M254" s="230"/>
      <c r="N254" s="229"/>
      <c r="O254" s="166">
        <f t="shared" si="20"/>
        <v>2231.97465857686</v>
      </c>
    </row>
    <row r="255" spans="1:15" ht="39">
      <c r="A255" s="390" t="s">
        <v>845</v>
      </c>
      <c r="B255" s="331" t="s">
        <v>78</v>
      </c>
      <c r="C255" s="331" t="s">
        <v>362</v>
      </c>
      <c r="D255" s="331" t="s">
        <v>391</v>
      </c>
      <c r="E255" s="331" t="s">
        <v>844</v>
      </c>
      <c r="F255" s="331"/>
      <c r="G255" s="309">
        <f>G256</f>
        <v>0</v>
      </c>
      <c r="H255" s="309">
        <f>H256</f>
        <v>235.5</v>
      </c>
      <c r="I255" s="309">
        <f>I256</f>
        <v>0</v>
      </c>
      <c r="J255" s="215">
        <f>J256</f>
        <v>1050</v>
      </c>
      <c r="K255" s="215">
        <f>K256</f>
        <v>1049.05895</v>
      </c>
      <c r="L255" s="214">
        <f t="shared" si="19"/>
        <v>99.9103761904762</v>
      </c>
      <c r="M255" s="228">
        <f>M256</f>
        <v>0</v>
      </c>
      <c r="N255" s="227">
        <f>N256</f>
        <v>99.9103761904762</v>
      </c>
      <c r="O255" s="166">
        <f t="shared" si="20"/>
        <v>1999.148573809524</v>
      </c>
    </row>
    <row r="256" spans="1:15" ht="30">
      <c r="A256" s="226" t="s">
        <v>491</v>
      </c>
      <c r="B256" s="331" t="s">
        <v>78</v>
      </c>
      <c r="C256" s="331" t="s">
        <v>362</v>
      </c>
      <c r="D256" s="331" t="s">
        <v>391</v>
      </c>
      <c r="E256" s="331" t="s">
        <v>844</v>
      </c>
      <c r="F256" s="331" t="s">
        <v>488</v>
      </c>
      <c r="G256" s="309"/>
      <c r="H256" s="214">
        <v>235.5</v>
      </c>
      <c r="I256" s="309"/>
      <c r="J256" s="215">
        <v>1050</v>
      </c>
      <c r="K256" s="215">
        <v>1049.05895</v>
      </c>
      <c r="L256" s="214">
        <f t="shared" si="19"/>
        <v>99.9103761904762</v>
      </c>
      <c r="M256" s="228"/>
      <c r="N256" s="235">
        <f>L256+M256</f>
        <v>99.9103761904762</v>
      </c>
      <c r="O256" s="166">
        <f t="shared" si="20"/>
        <v>1999.148573809524</v>
      </c>
    </row>
    <row r="257" spans="1:15" ht="29.25">
      <c r="A257" s="223" t="s">
        <v>654</v>
      </c>
      <c r="B257" s="273" t="s">
        <v>78</v>
      </c>
      <c r="C257" s="273" t="s">
        <v>364</v>
      </c>
      <c r="D257" s="273"/>
      <c r="E257" s="273"/>
      <c r="F257" s="273"/>
      <c r="G257" s="389"/>
      <c r="H257" s="389">
        <f>H263</f>
        <v>0</v>
      </c>
      <c r="I257" s="389">
        <f>I263</f>
        <v>31353.699999999997</v>
      </c>
      <c r="J257" s="221">
        <f>J263+J258</f>
        <v>1366</v>
      </c>
      <c r="K257" s="221">
        <f>K263+K258</f>
        <v>1366</v>
      </c>
      <c r="L257" s="172">
        <f t="shared" si="19"/>
        <v>100</v>
      </c>
      <c r="M257" s="388">
        <f>M263+M258</f>
        <v>0</v>
      </c>
      <c r="N257" s="387" t="e">
        <f>N263+N258</f>
        <v>#DIV/0!</v>
      </c>
      <c r="O257" s="166">
        <f t="shared" si="20"/>
        <v>2632</v>
      </c>
    </row>
    <row r="258" spans="1:15" ht="15">
      <c r="A258" s="220" t="s">
        <v>395</v>
      </c>
      <c r="B258" s="143" t="s">
        <v>78</v>
      </c>
      <c r="C258" s="143" t="s">
        <v>364</v>
      </c>
      <c r="D258" s="143" t="s">
        <v>358</v>
      </c>
      <c r="E258" s="143"/>
      <c r="F258" s="143"/>
      <c r="G258" s="307"/>
      <c r="H258" s="307"/>
      <c r="I258" s="307"/>
      <c r="J258" s="141">
        <f>J261+J259</f>
        <v>706</v>
      </c>
      <c r="K258" s="141">
        <f>K261+K259</f>
        <v>706</v>
      </c>
      <c r="L258" s="172">
        <f t="shared" si="19"/>
        <v>100</v>
      </c>
      <c r="M258" s="304"/>
      <c r="N258" s="303"/>
      <c r="O258" s="166">
        <f t="shared" si="20"/>
        <v>1312</v>
      </c>
    </row>
    <row r="259" spans="1:15" ht="75">
      <c r="A259" s="219" t="s">
        <v>806</v>
      </c>
      <c r="B259" s="331" t="s">
        <v>78</v>
      </c>
      <c r="C259" s="331" t="s">
        <v>364</v>
      </c>
      <c r="D259" s="331" t="s">
        <v>358</v>
      </c>
      <c r="E259" s="331" t="s">
        <v>805</v>
      </c>
      <c r="F259" s="331"/>
      <c r="G259" s="386"/>
      <c r="H259" s="386">
        <f>H260</f>
        <v>0</v>
      </c>
      <c r="I259" s="386">
        <f>I260</f>
        <v>23145.3</v>
      </c>
      <c r="J259" s="215">
        <f>J260</f>
        <v>400</v>
      </c>
      <c r="K259" s="215">
        <f>K260</f>
        <v>400</v>
      </c>
      <c r="L259" s="214">
        <f t="shared" si="19"/>
        <v>100</v>
      </c>
      <c r="M259" s="385">
        <f>M260</f>
        <v>0</v>
      </c>
      <c r="N259" s="227">
        <f>N260</f>
        <v>100</v>
      </c>
      <c r="O259" s="166">
        <f t="shared" si="20"/>
        <v>700</v>
      </c>
    </row>
    <row r="260" spans="1:15" ht="15">
      <c r="A260" s="219" t="s">
        <v>265</v>
      </c>
      <c r="B260" s="331" t="s">
        <v>78</v>
      </c>
      <c r="C260" s="331" t="s">
        <v>364</v>
      </c>
      <c r="D260" s="331" t="s">
        <v>358</v>
      </c>
      <c r="E260" s="331" t="s">
        <v>805</v>
      </c>
      <c r="F260" s="331" t="s">
        <v>804</v>
      </c>
      <c r="G260" s="386"/>
      <c r="H260" s="386"/>
      <c r="I260" s="386">
        <v>23145.3</v>
      </c>
      <c r="J260" s="215">
        <v>400</v>
      </c>
      <c r="K260" s="215">
        <v>400</v>
      </c>
      <c r="L260" s="214">
        <f t="shared" si="19"/>
        <v>100</v>
      </c>
      <c r="M260" s="385"/>
      <c r="N260" s="303">
        <f>L260+M260</f>
        <v>100</v>
      </c>
      <c r="O260" s="166">
        <f t="shared" si="20"/>
        <v>700</v>
      </c>
    </row>
    <row r="261" spans="1:15" ht="45">
      <c r="A261" s="226" t="s">
        <v>623</v>
      </c>
      <c r="B261" s="218" t="s">
        <v>78</v>
      </c>
      <c r="C261" s="218" t="s">
        <v>364</v>
      </c>
      <c r="D261" s="218" t="s">
        <v>358</v>
      </c>
      <c r="E261" s="218" t="s">
        <v>622</v>
      </c>
      <c r="F261" s="218"/>
      <c r="G261" s="302"/>
      <c r="H261" s="302"/>
      <c r="I261" s="302"/>
      <c r="J261" s="215">
        <f>J262</f>
        <v>306</v>
      </c>
      <c r="K261" s="215">
        <f>K262</f>
        <v>306</v>
      </c>
      <c r="L261" s="214">
        <f t="shared" si="19"/>
        <v>100</v>
      </c>
      <c r="M261" s="304"/>
      <c r="N261" s="303"/>
      <c r="O261" s="166">
        <f t="shared" si="20"/>
        <v>512</v>
      </c>
    </row>
    <row r="262" spans="1:15" ht="15">
      <c r="A262" s="219" t="s">
        <v>265</v>
      </c>
      <c r="B262" s="218" t="s">
        <v>78</v>
      </c>
      <c r="C262" s="218" t="s">
        <v>364</v>
      </c>
      <c r="D262" s="218" t="s">
        <v>358</v>
      </c>
      <c r="E262" s="218" t="s">
        <v>622</v>
      </c>
      <c r="F262" s="218" t="s">
        <v>796</v>
      </c>
      <c r="G262" s="302"/>
      <c r="H262" s="302"/>
      <c r="I262" s="302"/>
      <c r="J262" s="215">
        <v>306</v>
      </c>
      <c r="K262" s="215">
        <v>306</v>
      </c>
      <c r="L262" s="214">
        <f t="shared" si="19"/>
        <v>100</v>
      </c>
      <c r="M262" s="304"/>
      <c r="N262" s="303"/>
      <c r="O262" s="166">
        <f t="shared" si="20"/>
        <v>512</v>
      </c>
    </row>
    <row r="263" spans="1:15" ht="15">
      <c r="A263" s="293" t="s">
        <v>396</v>
      </c>
      <c r="B263" s="143" t="s">
        <v>78</v>
      </c>
      <c r="C263" s="143" t="s">
        <v>364</v>
      </c>
      <c r="D263" s="143" t="s">
        <v>360</v>
      </c>
      <c r="E263" s="143"/>
      <c r="F263" s="143"/>
      <c r="G263" s="307"/>
      <c r="H263" s="307">
        <f>H264+H266</f>
        <v>0</v>
      </c>
      <c r="I263" s="307">
        <f>I264+I266</f>
        <v>31353.699999999997</v>
      </c>
      <c r="J263" s="141">
        <f>J264+J266</f>
        <v>660</v>
      </c>
      <c r="K263" s="141">
        <f>K266+K264</f>
        <v>660</v>
      </c>
      <c r="L263" s="172">
        <f t="shared" si="19"/>
        <v>100</v>
      </c>
      <c r="M263" s="385">
        <f>M266+M264</f>
        <v>0</v>
      </c>
      <c r="N263" s="227" t="e">
        <f>N266+N264</f>
        <v>#DIV/0!</v>
      </c>
      <c r="O263" s="166">
        <f t="shared" si="20"/>
        <v>1220</v>
      </c>
    </row>
    <row r="264" spans="1:15" ht="75">
      <c r="A264" s="219" t="s">
        <v>806</v>
      </c>
      <c r="B264" s="331" t="s">
        <v>78</v>
      </c>
      <c r="C264" s="331" t="s">
        <v>364</v>
      </c>
      <c r="D264" s="331" t="s">
        <v>360</v>
      </c>
      <c r="E264" s="331" t="s">
        <v>805</v>
      </c>
      <c r="F264" s="331"/>
      <c r="G264" s="386"/>
      <c r="H264" s="386">
        <f>H265</f>
        <v>0</v>
      </c>
      <c r="I264" s="386">
        <f>I265</f>
        <v>23145.3</v>
      </c>
      <c r="J264" s="215">
        <f>J265</f>
        <v>660</v>
      </c>
      <c r="K264" s="215">
        <f>K265</f>
        <v>660</v>
      </c>
      <c r="L264" s="214">
        <f t="shared" si="19"/>
        <v>100</v>
      </c>
      <c r="M264" s="385">
        <f>M265</f>
        <v>0</v>
      </c>
      <c r="N264" s="227">
        <f>N265</f>
        <v>100</v>
      </c>
      <c r="O264" s="166">
        <f t="shared" si="20"/>
        <v>1220</v>
      </c>
    </row>
    <row r="265" spans="1:15" ht="15">
      <c r="A265" s="219" t="s">
        <v>265</v>
      </c>
      <c r="B265" s="331" t="s">
        <v>78</v>
      </c>
      <c r="C265" s="331" t="s">
        <v>364</v>
      </c>
      <c r="D265" s="331" t="s">
        <v>360</v>
      </c>
      <c r="E265" s="331" t="s">
        <v>805</v>
      </c>
      <c r="F265" s="331" t="s">
        <v>804</v>
      </c>
      <c r="G265" s="386"/>
      <c r="H265" s="386"/>
      <c r="I265" s="386">
        <v>23145.3</v>
      </c>
      <c r="J265" s="215">
        <v>660</v>
      </c>
      <c r="K265" s="215">
        <v>660</v>
      </c>
      <c r="L265" s="214">
        <f t="shared" si="19"/>
        <v>100</v>
      </c>
      <c r="M265" s="385"/>
      <c r="N265" s="303">
        <f>L265+M265</f>
        <v>100</v>
      </c>
      <c r="O265" s="166">
        <f t="shared" si="20"/>
        <v>1220</v>
      </c>
    </row>
    <row r="266" spans="1:15" ht="72.75" customHeight="1" hidden="1">
      <c r="A266" s="384" t="s">
        <v>650</v>
      </c>
      <c r="B266" s="383" t="s">
        <v>78</v>
      </c>
      <c r="C266" s="383" t="s">
        <v>364</v>
      </c>
      <c r="D266" s="383" t="s">
        <v>357</v>
      </c>
      <c r="E266" s="383" t="s">
        <v>649</v>
      </c>
      <c r="F266" s="383"/>
      <c r="G266" s="382"/>
      <c r="H266" s="382">
        <f>H267</f>
        <v>0</v>
      </c>
      <c r="I266" s="382">
        <f>I267</f>
        <v>8208.4</v>
      </c>
      <c r="J266" s="381">
        <f>J267</f>
        <v>0</v>
      </c>
      <c r="K266" s="381">
        <f>K267</f>
        <v>0</v>
      </c>
      <c r="L266" s="214" t="e">
        <f t="shared" si="19"/>
        <v>#DIV/0!</v>
      </c>
      <c r="M266" s="228">
        <f>M267</f>
        <v>0</v>
      </c>
      <c r="N266" s="227" t="e">
        <f>N267</f>
        <v>#DIV/0!</v>
      </c>
      <c r="O266" s="166" t="e">
        <f t="shared" si="20"/>
        <v>#DIV/0!</v>
      </c>
    </row>
    <row r="267" spans="1:15" ht="15.75" customHeight="1" hidden="1">
      <c r="A267" s="384" t="s">
        <v>843</v>
      </c>
      <c r="B267" s="383" t="s">
        <v>78</v>
      </c>
      <c r="C267" s="383" t="s">
        <v>364</v>
      </c>
      <c r="D267" s="383" t="s">
        <v>357</v>
      </c>
      <c r="E267" s="383" t="s">
        <v>648</v>
      </c>
      <c r="F267" s="383" t="s">
        <v>538</v>
      </c>
      <c r="G267" s="382"/>
      <c r="H267" s="382"/>
      <c r="I267" s="382">
        <v>8208.4</v>
      </c>
      <c r="J267" s="381"/>
      <c r="K267" s="381"/>
      <c r="L267" s="214" t="e">
        <f t="shared" si="19"/>
        <v>#DIV/0!</v>
      </c>
      <c r="M267" s="298"/>
      <c r="N267" s="303" t="e">
        <f>L267+M267</f>
        <v>#DIV/0!</v>
      </c>
      <c r="O267" s="166" t="e">
        <f t="shared" si="20"/>
        <v>#DIV/0!</v>
      </c>
    </row>
    <row r="268" spans="1:15" ht="15">
      <c r="A268" s="380" t="s">
        <v>398</v>
      </c>
      <c r="B268" s="222" t="s">
        <v>78</v>
      </c>
      <c r="C268" s="222" t="s">
        <v>368</v>
      </c>
      <c r="D268" s="222"/>
      <c r="E268" s="222"/>
      <c r="F268" s="222"/>
      <c r="G268" s="241">
        <f>G269</f>
        <v>-54.4</v>
      </c>
      <c r="H268" s="241">
        <f>H269</f>
        <v>44.5</v>
      </c>
      <c r="I268" s="241">
        <f>I269</f>
        <v>0</v>
      </c>
      <c r="J268" s="240">
        <f>J269</f>
        <v>115.6</v>
      </c>
      <c r="K268" s="240">
        <f>K269</f>
        <v>115.6</v>
      </c>
      <c r="L268" s="172">
        <f aca="true" t="shared" si="27" ref="L268:L331">K268/J268*100</f>
        <v>100</v>
      </c>
      <c r="M268" s="287">
        <f>M269</f>
        <v>0</v>
      </c>
      <c r="N268" s="286" t="e">
        <f>N269</f>
        <v>#DIV/0!</v>
      </c>
      <c r="O268" s="166">
        <f aca="true" t="shared" si="28" ref="O268:O331">J268+K268-L268</f>
        <v>131.2</v>
      </c>
    </row>
    <row r="269" spans="1:15" s="115" customFormat="1" ht="29.25">
      <c r="A269" s="359" t="s">
        <v>596</v>
      </c>
      <c r="B269" s="143" t="s">
        <v>78</v>
      </c>
      <c r="C269" s="143" t="s">
        <v>368</v>
      </c>
      <c r="D269" s="143" t="s">
        <v>364</v>
      </c>
      <c r="E269" s="143"/>
      <c r="F269" s="143"/>
      <c r="G269" s="168">
        <f>G270+G285</f>
        <v>-54.4</v>
      </c>
      <c r="H269" s="168">
        <f>H270+H285</f>
        <v>44.5</v>
      </c>
      <c r="I269" s="168">
        <f>I270+I285</f>
        <v>0</v>
      </c>
      <c r="J269" s="141">
        <f>J270+J273</f>
        <v>115.6</v>
      </c>
      <c r="K269" s="141">
        <f>K270+K273</f>
        <v>115.6</v>
      </c>
      <c r="L269" s="172">
        <f t="shared" si="27"/>
        <v>100</v>
      </c>
      <c r="M269" s="295">
        <f>M270+M285</f>
        <v>0</v>
      </c>
      <c r="N269" s="294" t="e">
        <f>N270+N285</f>
        <v>#DIV/0!</v>
      </c>
      <c r="O269" s="166">
        <f t="shared" si="28"/>
        <v>131.2</v>
      </c>
    </row>
    <row r="270" spans="1:15" ht="30" hidden="1">
      <c r="A270" s="342" t="s">
        <v>595</v>
      </c>
      <c r="B270" s="218" t="s">
        <v>78</v>
      </c>
      <c r="C270" s="218" t="s">
        <v>368</v>
      </c>
      <c r="D270" s="218" t="s">
        <v>364</v>
      </c>
      <c r="E270" s="218" t="s">
        <v>594</v>
      </c>
      <c r="F270" s="218"/>
      <c r="G270" s="216">
        <f aca="true" t="shared" si="29" ref="G270:K271">G271</f>
        <v>-54.4</v>
      </c>
      <c r="H270" s="216">
        <f t="shared" si="29"/>
        <v>44.5</v>
      </c>
      <c r="I270" s="216">
        <f t="shared" si="29"/>
        <v>0</v>
      </c>
      <c r="J270" s="215">
        <f t="shared" si="29"/>
        <v>0</v>
      </c>
      <c r="K270" s="215">
        <f t="shared" si="29"/>
        <v>0</v>
      </c>
      <c r="L270" s="214" t="e">
        <f t="shared" si="27"/>
        <v>#DIV/0!</v>
      </c>
      <c r="M270" s="228">
        <f>M271</f>
        <v>0</v>
      </c>
      <c r="N270" s="227" t="e">
        <f>N271</f>
        <v>#DIV/0!</v>
      </c>
      <c r="O270" s="166" t="e">
        <f t="shared" si="28"/>
        <v>#DIV/0!</v>
      </c>
    </row>
    <row r="271" spans="1:15" ht="30" hidden="1">
      <c r="A271" s="356" t="s">
        <v>501</v>
      </c>
      <c r="B271" s="218" t="s">
        <v>78</v>
      </c>
      <c r="C271" s="218" t="s">
        <v>368</v>
      </c>
      <c r="D271" s="218" t="s">
        <v>364</v>
      </c>
      <c r="E271" s="218" t="s">
        <v>593</v>
      </c>
      <c r="F271" s="218"/>
      <c r="G271" s="216">
        <f t="shared" si="29"/>
        <v>-54.4</v>
      </c>
      <c r="H271" s="216">
        <f t="shared" si="29"/>
        <v>44.5</v>
      </c>
      <c r="I271" s="216">
        <f t="shared" si="29"/>
        <v>0</v>
      </c>
      <c r="J271" s="215">
        <f t="shared" si="29"/>
        <v>0</v>
      </c>
      <c r="K271" s="215">
        <f t="shared" si="29"/>
        <v>0</v>
      </c>
      <c r="L271" s="214" t="e">
        <f t="shared" si="27"/>
        <v>#DIV/0!</v>
      </c>
      <c r="M271" s="228">
        <f>M272</f>
        <v>0</v>
      </c>
      <c r="N271" s="227" t="e">
        <f>N272</f>
        <v>#DIV/0!</v>
      </c>
      <c r="O271" s="166" t="e">
        <f t="shared" si="28"/>
        <v>#DIV/0!</v>
      </c>
    </row>
    <row r="272" spans="1:18" ht="30" hidden="1">
      <c r="A272" s="342" t="s">
        <v>500</v>
      </c>
      <c r="B272" s="218" t="s">
        <v>78</v>
      </c>
      <c r="C272" s="218" t="s">
        <v>368</v>
      </c>
      <c r="D272" s="218" t="s">
        <v>364</v>
      </c>
      <c r="E272" s="218" t="s">
        <v>593</v>
      </c>
      <c r="F272" s="218" t="s">
        <v>488</v>
      </c>
      <c r="G272" s="216">
        <f>-54.4</f>
        <v>-54.4</v>
      </c>
      <c r="H272" s="217">
        <v>44.5</v>
      </c>
      <c r="I272" s="216"/>
      <c r="J272" s="215">
        <v>0</v>
      </c>
      <c r="K272" s="215"/>
      <c r="L272" s="214" t="e">
        <f t="shared" si="27"/>
        <v>#DIV/0!</v>
      </c>
      <c r="M272" s="228"/>
      <c r="N272" s="235" t="e">
        <f>L272+M272</f>
        <v>#DIV/0!</v>
      </c>
      <c r="O272" s="166" t="e">
        <f t="shared" si="28"/>
        <v>#DIV/0!</v>
      </c>
      <c r="P272" s="379" t="e">
        <f>L272-O272</f>
        <v>#DIV/0!</v>
      </c>
      <c r="R272" s="110" t="s">
        <v>842</v>
      </c>
    </row>
    <row r="273" spans="1:15" ht="27" customHeight="1">
      <c r="A273" s="219" t="s">
        <v>806</v>
      </c>
      <c r="B273" s="218" t="s">
        <v>78</v>
      </c>
      <c r="C273" s="218" t="s">
        <v>368</v>
      </c>
      <c r="D273" s="218" t="s">
        <v>364</v>
      </c>
      <c r="E273" s="218" t="s">
        <v>805</v>
      </c>
      <c r="F273" s="218"/>
      <c r="G273" s="216">
        <f>G274</f>
        <v>0</v>
      </c>
      <c r="H273" s="216">
        <f>H274</f>
        <v>3469.8</v>
      </c>
      <c r="I273" s="216">
        <f>I274</f>
        <v>0</v>
      </c>
      <c r="J273" s="215">
        <f>J274</f>
        <v>115.6</v>
      </c>
      <c r="K273" s="215">
        <f>K274</f>
        <v>115.6</v>
      </c>
      <c r="L273" s="214">
        <f t="shared" si="27"/>
        <v>100</v>
      </c>
      <c r="M273" s="228">
        <f>M274</f>
        <v>0</v>
      </c>
      <c r="N273" s="227">
        <f>N274</f>
        <v>100</v>
      </c>
      <c r="O273" s="166">
        <f t="shared" si="28"/>
        <v>131.2</v>
      </c>
    </row>
    <row r="274" spans="1:15" ht="15">
      <c r="A274" s="219" t="s">
        <v>265</v>
      </c>
      <c r="B274" s="218" t="s">
        <v>78</v>
      </c>
      <c r="C274" s="218" t="s">
        <v>368</v>
      </c>
      <c r="D274" s="218" t="s">
        <v>364</v>
      </c>
      <c r="E274" s="218" t="s">
        <v>805</v>
      </c>
      <c r="F274" s="218" t="s">
        <v>804</v>
      </c>
      <c r="G274" s="216"/>
      <c r="H274" s="217">
        <v>3469.8</v>
      </c>
      <c r="I274" s="216"/>
      <c r="J274" s="215">
        <f>115.6</f>
        <v>115.6</v>
      </c>
      <c r="K274" s="215">
        <v>115.6</v>
      </c>
      <c r="L274" s="214">
        <f t="shared" si="27"/>
        <v>100</v>
      </c>
      <c r="M274" s="228"/>
      <c r="N274" s="235">
        <f>L274+M274</f>
        <v>100</v>
      </c>
      <c r="O274" s="166">
        <f t="shared" si="28"/>
        <v>131.2</v>
      </c>
    </row>
    <row r="275" spans="1:16" ht="15">
      <c r="A275" s="360" t="s">
        <v>841</v>
      </c>
      <c r="B275" s="273" t="s">
        <v>78</v>
      </c>
      <c r="C275" s="273" t="s">
        <v>386</v>
      </c>
      <c r="D275" s="273"/>
      <c r="E275" s="273"/>
      <c r="F275" s="273"/>
      <c r="G275" s="271"/>
      <c r="H275" s="272"/>
      <c r="I275" s="271"/>
      <c r="J275" s="221">
        <f>J276</f>
        <v>976.3785</v>
      </c>
      <c r="K275" s="221">
        <f>K276</f>
        <v>976.378</v>
      </c>
      <c r="L275" s="172">
        <f t="shared" si="27"/>
        <v>99.99994879035128</v>
      </c>
      <c r="M275" s="228"/>
      <c r="N275" s="235"/>
      <c r="O275" s="166">
        <f t="shared" si="28"/>
        <v>1852.7565512096487</v>
      </c>
      <c r="P275" s="190"/>
    </row>
    <row r="276" spans="1:16" ht="15">
      <c r="A276" s="220" t="s">
        <v>407</v>
      </c>
      <c r="B276" s="143" t="s">
        <v>78</v>
      </c>
      <c r="C276" s="143" t="s">
        <v>386</v>
      </c>
      <c r="D276" s="143" t="s">
        <v>357</v>
      </c>
      <c r="E276" s="143"/>
      <c r="F276" s="143"/>
      <c r="G276" s="128"/>
      <c r="H276" s="168"/>
      <c r="I276" s="128"/>
      <c r="J276" s="141">
        <f>J277+J279+J281</f>
        <v>976.3785</v>
      </c>
      <c r="K276" s="141">
        <f>K277+K279+K281</f>
        <v>976.378</v>
      </c>
      <c r="L276" s="214">
        <f t="shared" si="27"/>
        <v>99.99994879035128</v>
      </c>
      <c r="M276" s="228"/>
      <c r="N276" s="235"/>
      <c r="O276" s="166">
        <f t="shared" si="28"/>
        <v>1852.7565512096487</v>
      </c>
      <c r="P276" s="190"/>
    </row>
    <row r="277" spans="1:16" ht="75">
      <c r="A277" s="219" t="s">
        <v>806</v>
      </c>
      <c r="B277" s="218" t="s">
        <v>78</v>
      </c>
      <c r="C277" s="218" t="s">
        <v>386</v>
      </c>
      <c r="D277" s="218" t="s">
        <v>357</v>
      </c>
      <c r="E277" s="218" t="s">
        <v>805</v>
      </c>
      <c r="F277" s="218"/>
      <c r="G277" s="216"/>
      <c r="H277" s="217"/>
      <c r="I277" s="216"/>
      <c r="J277" s="215">
        <f>J278</f>
        <v>976.3785</v>
      </c>
      <c r="K277" s="215">
        <f>K278</f>
        <v>976.378</v>
      </c>
      <c r="L277" s="214">
        <f t="shared" si="27"/>
        <v>99.99994879035128</v>
      </c>
      <c r="M277" s="228"/>
      <c r="N277" s="235"/>
      <c r="O277" s="166">
        <f t="shared" si="28"/>
        <v>1852.7565512096487</v>
      </c>
      <c r="P277" s="190"/>
    </row>
    <row r="278" spans="1:16" ht="15">
      <c r="A278" s="219" t="s">
        <v>265</v>
      </c>
      <c r="B278" s="218" t="s">
        <v>78</v>
      </c>
      <c r="C278" s="218" t="s">
        <v>386</v>
      </c>
      <c r="D278" s="218" t="s">
        <v>357</v>
      </c>
      <c r="E278" s="218" t="s">
        <v>805</v>
      </c>
      <c r="F278" s="218" t="s">
        <v>804</v>
      </c>
      <c r="G278" s="216"/>
      <c r="H278" s="217"/>
      <c r="I278" s="216"/>
      <c r="J278" s="215">
        <v>976.3785</v>
      </c>
      <c r="K278" s="215">
        <v>976.378</v>
      </c>
      <c r="L278" s="214">
        <f t="shared" si="27"/>
        <v>99.99994879035128</v>
      </c>
      <c r="M278" s="228"/>
      <c r="N278" s="235"/>
      <c r="O278" s="166">
        <f t="shared" si="28"/>
        <v>1852.7565512096487</v>
      </c>
      <c r="P278" s="190"/>
    </row>
    <row r="279" spans="1:16" ht="30" hidden="1">
      <c r="A279" s="280" t="s">
        <v>501</v>
      </c>
      <c r="B279" s="279" t="s">
        <v>78</v>
      </c>
      <c r="C279" s="279" t="s">
        <v>386</v>
      </c>
      <c r="D279" s="279" t="s">
        <v>357</v>
      </c>
      <c r="E279" s="279" t="s">
        <v>515</v>
      </c>
      <c r="F279" s="279"/>
      <c r="G279" s="216"/>
      <c r="H279" s="217"/>
      <c r="I279" s="216"/>
      <c r="J279" s="215">
        <f>J280</f>
        <v>0</v>
      </c>
      <c r="K279" s="215">
        <f>K280</f>
        <v>0</v>
      </c>
      <c r="L279" s="214" t="e">
        <f t="shared" si="27"/>
        <v>#DIV/0!</v>
      </c>
      <c r="M279" s="228"/>
      <c r="N279" s="235"/>
      <c r="O279" s="166" t="e">
        <f t="shared" si="28"/>
        <v>#DIV/0!</v>
      </c>
      <c r="P279" s="190">
        <f>K278+K280+K282-150</f>
        <v>826.378</v>
      </c>
    </row>
    <row r="280" spans="1:16" ht="30" hidden="1">
      <c r="A280" s="280" t="s">
        <v>500</v>
      </c>
      <c r="B280" s="279" t="s">
        <v>78</v>
      </c>
      <c r="C280" s="279" t="s">
        <v>386</v>
      </c>
      <c r="D280" s="279" t="s">
        <v>357</v>
      </c>
      <c r="E280" s="279" t="s">
        <v>515</v>
      </c>
      <c r="F280" s="279" t="s">
        <v>804</v>
      </c>
      <c r="G280" s="216"/>
      <c r="H280" s="217"/>
      <c r="I280" s="216"/>
      <c r="J280" s="215"/>
      <c r="K280" s="215"/>
      <c r="L280" s="214" t="e">
        <f t="shared" si="27"/>
        <v>#DIV/0!</v>
      </c>
      <c r="M280" s="228"/>
      <c r="N280" s="235"/>
      <c r="O280" s="166" t="e">
        <f t="shared" si="28"/>
        <v>#DIV/0!</v>
      </c>
      <c r="P280" s="190"/>
    </row>
    <row r="281" spans="1:16" ht="30" hidden="1">
      <c r="A281" s="280" t="s">
        <v>501</v>
      </c>
      <c r="B281" s="279" t="s">
        <v>78</v>
      </c>
      <c r="C281" s="279" t="s">
        <v>386</v>
      </c>
      <c r="D281" s="279" t="s">
        <v>357</v>
      </c>
      <c r="E281" s="279" t="s">
        <v>840</v>
      </c>
      <c r="F281" s="279"/>
      <c r="G281" s="216"/>
      <c r="H281" s="217"/>
      <c r="I281" s="216"/>
      <c r="J281" s="215">
        <f>J282</f>
        <v>0</v>
      </c>
      <c r="K281" s="215">
        <f>K282</f>
        <v>0</v>
      </c>
      <c r="L281" s="214" t="e">
        <f t="shared" si="27"/>
        <v>#DIV/0!</v>
      </c>
      <c r="M281" s="228"/>
      <c r="N281" s="235"/>
      <c r="O281" s="166" t="e">
        <f t="shared" si="28"/>
        <v>#DIV/0!</v>
      </c>
      <c r="P281" s="190"/>
    </row>
    <row r="282" spans="1:16" ht="30" hidden="1">
      <c r="A282" s="280" t="s">
        <v>500</v>
      </c>
      <c r="B282" s="279" t="s">
        <v>78</v>
      </c>
      <c r="C282" s="279" t="s">
        <v>386</v>
      </c>
      <c r="D282" s="279" t="s">
        <v>357</v>
      </c>
      <c r="E282" s="279" t="s">
        <v>840</v>
      </c>
      <c r="F282" s="279" t="s">
        <v>804</v>
      </c>
      <c r="G282" s="216"/>
      <c r="H282" s="217"/>
      <c r="I282" s="216"/>
      <c r="J282" s="215"/>
      <c r="K282" s="215"/>
      <c r="L282" s="214" t="e">
        <f t="shared" si="27"/>
        <v>#DIV/0!</v>
      </c>
      <c r="M282" s="228"/>
      <c r="N282" s="235"/>
      <c r="O282" s="166" t="e">
        <f t="shared" si="28"/>
        <v>#DIV/0!</v>
      </c>
      <c r="P282" s="190">
        <f>K278+K280+K282-150</f>
        <v>826.378</v>
      </c>
    </row>
    <row r="283" spans="1:15" ht="15">
      <c r="A283" s="223" t="s">
        <v>839</v>
      </c>
      <c r="B283" s="222" t="s">
        <v>78</v>
      </c>
      <c r="C283" s="222" t="s">
        <v>378</v>
      </c>
      <c r="D283" s="218"/>
      <c r="E283" s="218"/>
      <c r="F283" s="218"/>
      <c r="G283" s="217" t="e">
        <f>G284+G301+G342+G325</f>
        <v>#REF!</v>
      </c>
      <c r="H283" s="217">
        <f>H284+H301+H342+H325</f>
        <v>40695.8</v>
      </c>
      <c r="I283" s="217">
        <f>I284+I301+I342+I325</f>
        <v>0</v>
      </c>
      <c r="J283" s="215">
        <f aca="true" t="shared" si="30" ref="J283:K285">J284</f>
        <v>27667.136</v>
      </c>
      <c r="K283" s="215">
        <f t="shared" si="30"/>
        <v>27667.136</v>
      </c>
      <c r="L283" s="214">
        <f t="shared" si="27"/>
        <v>100</v>
      </c>
      <c r="M283" s="228"/>
      <c r="N283" s="235"/>
      <c r="O283" s="166">
        <f t="shared" si="28"/>
        <v>55234.272</v>
      </c>
    </row>
    <row r="284" spans="1:15" ht="29.25">
      <c r="A284" s="293" t="s">
        <v>413</v>
      </c>
      <c r="B284" s="143" t="s">
        <v>78</v>
      </c>
      <c r="C284" s="143" t="s">
        <v>378</v>
      </c>
      <c r="D284" s="143" t="s">
        <v>357</v>
      </c>
      <c r="E284" s="218"/>
      <c r="F284" s="218"/>
      <c r="G284" s="323">
        <f>G288+G292+G285</f>
        <v>528</v>
      </c>
      <c r="H284" s="323">
        <f>H288+H292+H285</f>
        <v>38359.8</v>
      </c>
      <c r="I284" s="323">
        <f>I288+I292+I285</f>
        <v>0</v>
      </c>
      <c r="J284" s="240">
        <f t="shared" si="30"/>
        <v>27667.136</v>
      </c>
      <c r="K284" s="240">
        <f t="shared" si="30"/>
        <v>27667.136</v>
      </c>
      <c r="L284" s="172">
        <f t="shared" si="27"/>
        <v>100</v>
      </c>
      <c r="M284" s="228"/>
      <c r="N284" s="235"/>
      <c r="O284" s="166">
        <f t="shared" si="28"/>
        <v>55234.272</v>
      </c>
    </row>
    <row r="285" spans="1:15" ht="58.5" customHeight="1">
      <c r="A285" s="361" t="s">
        <v>838</v>
      </c>
      <c r="B285" s="218" t="s">
        <v>78</v>
      </c>
      <c r="C285" s="218" t="s">
        <v>378</v>
      </c>
      <c r="D285" s="218" t="s">
        <v>357</v>
      </c>
      <c r="E285" s="218" t="s">
        <v>836</v>
      </c>
      <c r="F285" s="218"/>
      <c r="G285" s="216"/>
      <c r="H285" s="217"/>
      <c r="I285" s="216"/>
      <c r="J285" s="215">
        <f t="shared" si="30"/>
        <v>27667.136</v>
      </c>
      <c r="K285" s="215">
        <f t="shared" si="30"/>
        <v>27667.136</v>
      </c>
      <c r="L285" s="214">
        <f t="shared" si="27"/>
        <v>100</v>
      </c>
      <c r="M285" s="276">
        <f>M286</f>
        <v>0</v>
      </c>
      <c r="N285" s="235">
        <f>N286</f>
        <v>100</v>
      </c>
      <c r="O285" s="166">
        <f t="shared" si="28"/>
        <v>55234.272</v>
      </c>
    </row>
    <row r="286" spans="1:15" ht="45.75" customHeight="1">
      <c r="A286" s="361" t="s">
        <v>837</v>
      </c>
      <c r="B286" s="218" t="s">
        <v>78</v>
      </c>
      <c r="C286" s="218" t="s">
        <v>378</v>
      </c>
      <c r="D286" s="218" t="s">
        <v>357</v>
      </c>
      <c r="E286" s="218" t="s">
        <v>836</v>
      </c>
      <c r="F286" s="218" t="s">
        <v>835</v>
      </c>
      <c r="G286" s="216"/>
      <c r="H286" s="217"/>
      <c r="I286" s="216"/>
      <c r="J286" s="215">
        <v>27667.136</v>
      </c>
      <c r="K286" s="215">
        <v>27667.136</v>
      </c>
      <c r="L286" s="214">
        <f t="shared" si="27"/>
        <v>100</v>
      </c>
      <c r="M286" s="276"/>
      <c r="N286" s="235">
        <f>L286+M286</f>
        <v>100</v>
      </c>
      <c r="O286" s="166">
        <f t="shared" si="28"/>
        <v>55234.272</v>
      </c>
    </row>
    <row r="287" spans="1:15" ht="15">
      <c r="A287" s="223" t="s">
        <v>427</v>
      </c>
      <c r="B287" s="222" t="s">
        <v>78</v>
      </c>
      <c r="C287" s="222" t="s">
        <v>389</v>
      </c>
      <c r="D287" s="222"/>
      <c r="E287" s="222"/>
      <c r="F287" s="222"/>
      <c r="G287" s="241" t="e">
        <f>G288+G293+G301+G306</f>
        <v>#REF!</v>
      </c>
      <c r="H287" s="241" t="e">
        <f>H288+H293+H301+H306</f>
        <v>#REF!</v>
      </c>
      <c r="I287" s="241" t="e">
        <f>I288+I293+I301+I306</f>
        <v>#REF!</v>
      </c>
      <c r="J287" s="240">
        <f>J288+J293+J301</f>
        <v>79.444</v>
      </c>
      <c r="K287" s="240">
        <f>K288+K293+K301</f>
        <v>79.444</v>
      </c>
      <c r="L287" s="172">
        <f t="shared" si="27"/>
        <v>100</v>
      </c>
      <c r="M287" s="287" t="e">
        <f>M288+M293+M301+M306</f>
        <v>#REF!</v>
      </c>
      <c r="N287" s="286" t="e">
        <f>N288+N293+N301+N306</f>
        <v>#DIV/0!</v>
      </c>
      <c r="O287" s="166">
        <f t="shared" si="28"/>
        <v>58.888000000000005</v>
      </c>
    </row>
    <row r="288" spans="1:15" s="115" customFormat="1" ht="15">
      <c r="A288" s="220" t="s">
        <v>495</v>
      </c>
      <c r="B288" s="143" t="s">
        <v>78</v>
      </c>
      <c r="C288" s="143" t="s">
        <v>389</v>
      </c>
      <c r="D288" s="143" t="s">
        <v>357</v>
      </c>
      <c r="E288" s="143"/>
      <c r="F288" s="143"/>
      <c r="G288" s="128">
        <f>G289+G291</f>
        <v>264</v>
      </c>
      <c r="H288" s="128">
        <f>H289+H291</f>
        <v>20914.8</v>
      </c>
      <c r="I288" s="128">
        <f>I289+I291</f>
        <v>0</v>
      </c>
      <c r="J288" s="141">
        <f>J289+J291</f>
        <v>79.444</v>
      </c>
      <c r="K288" s="141">
        <f>K289+K291</f>
        <v>79.444</v>
      </c>
      <c r="L288" s="172">
        <f t="shared" si="27"/>
        <v>100</v>
      </c>
      <c r="M288" s="230">
        <f>M289+M291</f>
        <v>8.4</v>
      </c>
      <c r="N288" s="229" t="e">
        <f>N289+N291</f>
        <v>#DIV/0!</v>
      </c>
      <c r="O288" s="166">
        <f t="shared" si="28"/>
        <v>58.888000000000005</v>
      </c>
    </row>
    <row r="289" spans="1:15" ht="27" customHeight="1">
      <c r="A289" s="219" t="s">
        <v>806</v>
      </c>
      <c r="B289" s="218" t="s">
        <v>78</v>
      </c>
      <c r="C289" s="218" t="s">
        <v>389</v>
      </c>
      <c r="D289" s="218" t="s">
        <v>357</v>
      </c>
      <c r="E289" s="218" t="s">
        <v>805</v>
      </c>
      <c r="F289" s="218"/>
      <c r="G289" s="216">
        <f>G290</f>
        <v>0</v>
      </c>
      <c r="H289" s="216">
        <f>H290</f>
        <v>3469.8</v>
      </c>
      <c r="I289" s="216">
        <f>I290</f>
        <v>0</v>
      </c>
      <c r="J289" s="215">
        <f>J290</f>
        <v>79.444</v>
      </c>
      <c r="K289" s="215">
        <f>K290</f>
        <v>79.444</v>
      </c>
      <c r="L289" s="214">
        <f t="shared" si="27"/>
        <v>100</v>
      </c>
      <c r="M289" s="228">
        <f>M290</f>
        <v>0</v>
      </c>
      <c r="N289" s="227">
        <f>N290</f>
        <v>100</v>
      </c>
      <c r="O289" s="166">
        <f t="shared" si="28"/>
        <v>58.888000000000005</v>
      </c>
    </row>
    <row r="290" spans="1:15" ht="15">
      <c r="A290" s="219" t="s">
        <v>265</v>
      </c>
      <c r="B290" s="218" t="s">
        <v>78</v>
      </c>
      <c r="C290" s="218" t="s">
        <v>389</v>
      </c>
      <c r="D290" s="218" t="s">
        <v>357</v>
      </c>
      <c r="E290" s="218" t="s">
        <v>805</v>
      </c>
      <c r="F290" s="218" t="s">
        <v>804</v>
      </c>
      <c r="G290" s="216"/>
      <c r="H290" s="217">
        <v>3469.8</v>
      </c>
      <c r="I290" s="216"/>
      <c r="J290" s="215">
        <v>79.444</v>
      </c>
      <c r="K290" s="215">
        <v>79.444</v>
      </c>
      <c r="L290" s="214">
        <f t="shared" si="27"/>
        <v>100</v>
      </c>
      <c r="M290" s="228"/>
      <c r="N290" s="235">
        <f>L290+M290</f>
        <v>100</v>
      </c>
      <c r="O290" s="166">
        <f t="shared" si="28"/>
        <v>58.888000000000005</v>
      </c>
    </row>
    <row r="291" spans="1:15" ht="45" hidden="1">
      <c r="A291" s="342" t="s">
        <v>834</v>
      </c>
      <c r="B291" s="218" t="s">
        <v>78</v>
      </c>
      <c r="C291" s="218" t="s">
        <v>389</v>
      </c>
      <c r="D291" s="218" t="s">
        <v>357</v>
      </c>
      <c r="E291" s="218" t="s">
        <v>809</v>
      </c>
      <c r="F291" s="218"/>
      <c r="G291" s="216">
        <f>G292</f>
        <v>264</v>
      </c>
      <c r="H291" s="216">
        <f>H292</f>
        <v>17445</v>
      </c>
      <c r="I291" s="216">
        <f>I292</f>
        <v>0</v>
      </c>
      <c r="J291" s="215">
        <f>J292</f>
        <v>0</v>
      </c>
      <c r="K291" s="215">
        <f>K292</f>
        <v>0</v>
      </c>
      <c r="L291" s="214" t="e">
        <f t="shared" si="27"/>
        <v>#DIV/0!</v>
      </c>
      <c r="M291" s="228">
        <f>M292</f>
        <v>8.4</v>
      </c>
      <c r="N291" s="227" t="e">
        <f>N292</f>
        <v>#DIV/0!</v>
      </c>
      <c r="O291" s="166" t="e">
        <f t="shared" si="28"/>
        <v>#DIV/0!</v>
      </c>
    </row>
    <row r="292" spans="1:15" ht="15" hidden="1">
      <c r="A292" s="342" t="s">
        <v>833</v>
      </c>
      <c r="B292" s="218" t="s">
        <v>78</v>
      </c>
      <c r="C292" s="218" t="s">
        <v>389</v>
      </c>
      <c r="D292" s="218" t="s">
        <v>357</v>
      </c>
      <c r="E292" s="218" t="s">
        <v>809</v>
      </c>
      <c r="F292" s="218" t="s">
        <v>808</v>
      </c>
      <c r="G292" s="216">
        <v>264</v>
      </c>
      <c r="H292" s="217">
        <v>17445</v>
      </c>
      <c r="I292" s="216"/>
      <c r="J292" s="215"/>
      <c r="K292" s="215"/>
      <c r="L292" s="214" t="e">
        <f t="shared" si="27"/>
        <v>#DIV/0!</v>
      </c>
      <c r="M292" s="228">
        <f>8.4</f>
        <v>8.4</v>
      </c>
      <c r="N292" s="235" t="e">
        <f>L292+M292</f>
        <v>#DIV/0!</v>
      </c>
      <c r="O292" s="166" t="e">
        <f t="shared" si="28"/>
        <v>#DIV/0!</v>
      </c>
    </row>
    <row r="293" spans="1:15" s="115" customFormat="1" ht="57.75" hidden="1">
      <c r="A293" s="371" t="s">
        <v>832</v>
      </c>
      <c r="B293" s="143" t="s">
        <v>78</v>
      </c>
      <c r="C293" s="143" t="s">
        <v>389</v>
      </c>
      <c r="D293" s="143" t="s">
        <v>358</v>
      </c>
      <c r="E293" s="143"/>
      <c r="F293" s="143"/>
      <c r="G293" s="128">
        <f>G294</f>
        <v>0</v>
      </c>
      <c r="H293" s="128">
        <f>H294</f>
        <v>9363.8</v>
      </c>
      <c r="I293" s="128">
        <f>I294</f>
        <v>0</v>
      </c>
      <c r="J293" s="141">
        <f>J294</f>
        <v>0</v>
      </c>
      <c r="K293" s="141">
        <f>K294</f>
        <v>0</v>
      </c>
      <c r="L293" s="214" t="e">
        <f t="shared" si="27"/>
        <v>#DIV/0!</v>
      </c>
      <c r="M293" s="230">
        <f>M294</f>
        <v>-768</v>
      </c>
      <c r="N293" s="229" t="e">
        <f>N294</f>
        <v>#DIV/0!</v>
      </c>
      <c r="O293" s="166" t="e">
        <f t="shared" si="28"/>
        <v>#DIV/0!</v>
      </c>
    </row>
    <row r="294" spans="1:15" ht="105" hidden="1">
      <c r="A294" s="361" t="s">
        <v>803</v>
      </c>
      <c r="B294" s="218" t="s">
        <v>78</v>
      </c>
      <c r="C294" s="218" t="s">
        <v>389</v>
      </c>
      <c r="D294" s="218" t="s">
        <v>358</v>
      </c>
      <c r="E294" s="218" t="s">
        <v>802</v>
      </c>
      <c r="F294" s="218"/>
      <c r="G294" s="216">
        <f>G297+G299+G295</f>
        <v>0</v>
      </c>
      <c r="H294" s="216">
        <f>H297+H299+H295</f>
        <v>9363.8</v>
      </c>
      <c r="I294" s="216">
        <f>I297+I299+I295</f>
        <v>0</v>
      </c>
      <c r="J294" s="215">
        <f>J297+J299+J295</f>
        <v>0</v>
      </c>
      <c r="K294" s="215">
        <f>K297+K299+K295</f>
        <v>0</v>
      </c>
      <c r="L294" s="214" t="e">
        <f t="shared" si="27"/>
        <v>#DIV/0!</v>
      </c>
      <c r="M294" s="228">
        <f>M297+M299+M295</f>
        <v>-768</v>
      </c>
      <c r="N294" s="227" t="e">
        <f>N297+N299+N295</f>
        <v>#DIV/0!</v>
      </c>
      <c r="O294" s="166" t="e">
        <f t="shared" si="28"/>
        <v>#DIV/0!</v>
      </c>
    </row>
    <row r="295" spans="1:15" ht="48" customHeight="1" hidden="1">
      <c r="A295" s="361" t="s">
        <v>801</v>
      </c>
      <c r="B295" s="218" t="s">
        <v>78</v>
      </c>
      <c r="C295" s="218" t="s">
        <v>389</v>
      </c>
      <c r="D295" s="218" t="s">
        <v>358</v>
      </c>
      <c r="E295" s="218" t="s">
        <v>800</v>
      </c>
      <c r="F295" s="218"/>
      <c r="G295" s="216">
        <f>G296</f>
        <v>0</v>
      </c>
      <c r="H295" s="216">
        <f>H296</f>
        <v>4300</v>
      </c>
      <c r="I295" s="216">
        <f>I296</f>
        <v>0</v>
      </c>
      <c r="J295" s="215">
        <f>J296</f>
        <v>0</v>
      </c>
      <c r="K295" s="215">
        <f>K296</f>
        <v>0</v>
      </c>
      <c r="L295" s="214" t="e">
        <f t="shared" si="27"/>
        <v>#DIV/0!</v>
      </c>
      <c r="M295" s="228">
        <f>M296</f>
        <v>-768</v>
      </c>
      <c r="N295" s="227" t="e">
        <f>N296</f>
        <v>#DIV/0!</v>
      </c>
      <c r="O295" s="166" t="e">
        <f t="shared" si="28"/>
        <v>#DIV/0!</v>
      </c>
    </row>
    <row r="296" spans="1:15" ht="33" customHeight="1" hidden="1">
      <c r="A296" s="361" t="s">
        <v>798</v>
      </c>
      <c r="B296" s="218" t="s">
        <v>78</v>
      </c>
      <c r="C296" s="218" t="s">
        <v>389</v>
      </c>
      <c r="D296" s="218" t="s">
        <v>358</v>
      </c>
      <c r="E296" s="218" t="s">
        <v>800</v>
      </c>
      <c r="F296" s="218" t="s">
        <v>796</v>
      </c>
      <c r="G296" s="216"/>
      <c r="H296" s="217">
        <v>4300</v>
      </c>
      <c r="I296" s="216"/>
      <c r="J296" s="215"/>
      <c r="K296" s="215"/>
      <c r="L296" s="214" t="e">
        <f t="shared" si="27"/>
        <v>#DIV/0!</v>
      </c>
      <c r="M296" s="228">
        <f>-768</f>
        <v>-768</v>
      </c>
      <c r="N296" s="235" t="e">
        <f>L296+M296</f>
        <v>#DIV/0!</v>
      </c>
      <c r="O296" s="166" t="e">
        <f t="shared" si="28"/>
        <v>#DIV/0!</v>
      </c>
    </row>
    <row r="297" spans="1:15" ht="18.75" customHeight="1" hidden="1">
      <c r="A297" s="361" t="s">
        <v>831</v>
      </c>
      <c r="B297" s="218" t="s">
        <v>78</v>
      </c>
      <c r="C297" s="218" t="s">
        <v>389</v>
      </c>
      <c r="D297" s="218" t="s">
        <v>358</v>
      </c>
      <c r="E297" s="218" t="s">
        <v>830</v>
      </c>
      <c r="F297" s="218"/>
      <c r="G297" s="216">
        <f>G298</f>
        <v>0</v>
      </c>
      <c r="H297" s="216">
        <f>H298</f>
        <v>3301.5</v>
      </c>
      <c r="I297" s="216">
        <f>I298</f>
        <v>0</v>
      </c>
      <c r="J297" s="215">
        <f>J298</f>
        <v>0</v>
      </c>
      <c r="K297" s="215">
        <f>K298</f>
        <v>0</v>
      </c>
      <c r="L297" s="214" t="e">
        <f t="shared" si="27"/>
        <v>#DIV/0!</v>
      </c>
      <c r="M297" s="228">
        <f>M298</f>
        <v>0</v>
      </c>
      <c r="N297" s="227" t="e">
        <f>N298</f>
        <v>#DIV/0!</v>
      </c>
      <c r="O297" s="166" t="e">
        <f t="shared" si="28"/>
        <v>#DIV/0!</v>
      </c>
    </row>
    <row r="298" spans="1:15" ht="23.25" customHeight="1" hidden="1">
      <c r="A298" s="361" t="s">
        <v>798</v>
      </c>
      <c r="B298" s="218" t="s">
        <v>78</v>
      </c>
      <c r="C298" s="218" t="s">
        <v>389</v>
      </c>
      <c r="D298" s="218" t="s">
        <v>358</v>
      </c>
      <c r="E298" s="218" t="s">
        <v>830</v>
      </c>
      <c r="F298" s="218" t="s">
        <v>796</v>
      </c>
      <c r="G298" s="216"/>
      <c r="H298" s="309">
        <v>3301.5</v>
      </c>
      <c r="I298" s="309"/>
      <c r="J298" s="215"/>
      <c r="K298" s="215"/>
      <c r="L298" s="214" t="e">
        <f t="shared" si="27"/>
        <v>#DIV/0!</v>
      </c>
      <c r="M298" s="228"/>
      <c r="N298" s="235" t="e">
        <f>L298+M298</f>
        <v>#DIV/0!</v>
      </c>
      <c r="O298" s="166" t="e">
        <f t="shared" si="28"/>
        <v>#DIV/0!</v>
      </c>
    </row>
    <row r="299" spans="1:15" ht="75" hidden="1">
      <c r="A299" s="361" t="s">
        <v>799</v>
      </c>
      <c r="B299" s="218" t="s">
        <v>78</v>
      </c>
      <c r="C299" s="218" t="s">
        <v>389</v>
      </c>
      <c r="D299" s="218" t="s">
        <v>358</v>
      </c>
      <c r="E299" s="218" t="s">
        <v>797</v>
      </c>
      <c r="F299" s="218"/>
      <c r="G299" s="216">
        <f>G300</f>
        <v>0</v>
      </c>
      <c r="H299" s="216">
        <f>H300</f>
        <v>1762.3</v>
      </c>
      <c r="I299" s="216">
        <f>I300</f>
        <v>0</v>
      </c>
      <c r="J299" s="215">
        <f>J300</f>
        <v>0</v>
      </c>
      <c r="K299" s="215">
        <f>K300</f>
        <v>0</v>
      </c>
      <c r="L299" s="214" t="e">
        <f t="shared" si="27"/>
        <v>#DIV/0!</v>
      </c>
      <c r="M299" s="228">
        <f>M300</f>
        <v>0</v>
      </c>
      <c r="N299" s="227" t="e">
        <f>N300</f>
        <v>#DIV/0!</v>
      </c>
      <c r="O299" s="166" t="e">
        <f t="shared" si="28"/>
        <v>#DIV/0!</v>
      </c>
    </row>
    <row r="300" spans="1:15" ht="15" hidden="1">
      <c r="A300" s="361" t="s">
        <v>798</v>
      </c>
      <c r="B300" s="218" t="s">
        <v>78</v>
      </c>
      <c r="C300" s="218" t="s">
        <v>389</v>
      </c>
      <c r="D300" s="218" t="s">
        <v>358</v>
      </c>
      <c r="E300" s="218" t="s">
        <v>797</v>
      </c>
      <c r="F300" s="218" t="s">
        <v>796</v>
      </c>
      <c r="G300" s="216"/>
      <c r="H300" s="309">
        <v>1762.3</v>
      </c>
      <c r="I300" s="309"/>
      <c r="J300" s="215"/>
      <c r="K300" s="215"/>
      <c r="L300" s="214" t="e">
        <f t="shared" si="27"/>
        <v>#DIV/0!</v>
      </c>
      <c r="M300" s="228"/>
      <c r="N300" s="235" t="e">
        <f>L300+M300</f>
        <v>#DIV/0!</v>
      </c>
      <c r="O300" s="166" t="e">
        <f t="shared" si="28"/>
        <v>#DIV/0!</v>
      </c>
    </row>
    <row r="301" spans="1:18" s="115" customFormat="1" ht="43.5" hidden="1">
      <c r="A301" s="371" t="s">
        <v>829</v>
      </c>
      <c r="B301" s="143" t="s">
        <v>78</v>
      </c>
      <c r="C301" s="143" t="s">
        <v>389</v>
      </c>
      <c r="D301" s="143" t="s">
        <v>360</v>
      </c>
      <c r="E301" s="143"/>
      <c r="F301" s="143"/>
      <c r="G301" s="128">
        <f aca="true" t="shared" si="31" ref="G301:K302">G302</f>
        <v>42.8</v>
      </c>
      <c r="H301" s="128">
        <f t="shared" si="31"/>
        <v>573.7</v>
      </c>
      <c r="I301" s="128">
        <f t="shared" si="31"/>
        <v>0</v>
      </c>
      <c r="J301" s="141">
        <f t="shared" si="31"/>
        <v>0</v>
      </c>
      <c r="K301" s="141">
        <f t="shared" si="31"/>
        <v>0</v>
      </c>
      <c r="L301" s="214" t="e">
        <f t="shared" si="27"/>
        <v>#DIV/0!</v>
      </c>
      <c r="M301" s="230">
        <f>M302</f>
        <v>0</v>
      </c>
      <c r="N301" s="229" t="e">
        <f>N302</f>
        <v>#DIV/0!</v>
      </c>
      <c r="O301" s="166" t="e">
        <f t="shared" si="28"/>
        <v>#DIV/0!</v>
      </c>
      <c r="R301" s="325"/>
    </row>
    <row r="302" spans="1:15" ht="24.75" customHeight="1" hidden="1">
      <c r="A302" s="361" t="s">
        <v>828</v>
      </c>
      <c r="B302" s="218" t="s">
        <v>78</v>
      </c>
      <c r="C302" s="218" t="s">
        <v>389</v>
      </c>
      <c r="D302" s="218" t="s">
        <v>360</v>
      </c>
      <c r="E302" s="218" t="s">
        <v>826</v>
      </c>
      <c r="F302" s="218"/>
      <c r="G302" s="216">
        <f t="shared" si="31"/>
        <v>42.8</v>
      </c>
      <c r="H302" s="216">
        <f t="shared" si="31"/>
        <v>573.7</v>
      </c>
      <c r="I302" s="216">
        <f t="shared" si="31"/>
        <v>0</v>
      </c>
      <c r="J302" s="215">
        <f t="shared" si="31"/>
        <v>0</v>
      </c>
      <c r="K302" s="215">
        <f t="shared" si="31"/>
        <v>0</v>
      </c>
      <c r="L302" s="214" t="e">
        <f t="shared" si="27"/>
        <v>#DIV/0!</v>
      </c>
      <c r="M302" s="228">
        <f>M303</f>
        <v>0</v>
      </c>
      <c r="N302" s="227" t="e">
        <f>N303</f>
        <v>#DIV/0!</v>
      </c>
      <c r="O302" s="166" t="e">
        <f t="shared" si="28"/>
        <v>#DIV/0!</v>
      </c>
    </row>
    <row r="303" spans="1:16" ht="23.25" customHeight="1" hidden="1" thickBot="1">
      <c r="A303" s="361" t="s">
        <v>827</v>
      </c>
      <c r="B303" s="218" t="s">
        <v>78</v>
      </c>
      <c r="C303" s="218" t="s">
        <v>389</v>
      </c>
      <c r="D303" s="218" t="s">
        <v>360</v>
      </c>
      <c r="E303" s="218" t="s">
        <v>826</v>
      </c>
      <c r="F303" s="218" t="s">
        <v>825</v>
      </c>
      <c r="G303" s="216">
        <v>42.8</v>
      </c>
      <c r="H303" s="216">
        <v>573.7</v>
      </c>
      <c r="I303" s="216"/>
      <c r="J303" s="215"/>
      <c r="K303" s="215"/>
      <c r="L303" s="214" t="e">
        <f t="shared" si="27"/>
        <v>#DIV/0!</v>
      </c>
      <c r="M303" s="225"/>
      <c r="N303" s="231" t="e">
        <f>L303+M303</f>
        <v>#DIV/0!</v>
      </c>
      <c r="O303" s="166" t="e">
        <f t="shared" si="28"/>
        <v>#DIV/0!</v>
      </c>
      <c r="P303" s="166">
        <f>K303</f>
        <v>0</v>
      </c>
    </row>
    <row r="304" spans="1:15" ht="29.25">
      <c r="A304" s="378" t="s">
        <v>431</v>
      </c>
      <c r="B304" s="273" t="s">
        <v>78</v>
      </c>
      <c r="C304" s="273" t="s">
        <v>370</v>
      </c>
      <c r="D304" s="273"/>
      <c r="E304" s="377"/>
      <c r="F304" s="377"/>
      <c r="G304" s="376" t="e">
        <f>#REF!</f>
        <v>#REF!</v>
      </c>
      <c r="H304" s="375" t="e">
        <f>#REF!+H306</f>
        <v>#REF!</v>
      </c>
      <c r="I304" s="375" t="e">
        <f>#REF!+I306</f>
        <v>#REF!</v>
      </c>
      <c r="J304" s="221">
        <f>J306</f>
        <v>160.44296</v>
      </c>
      <c r="K304" s="221">
        <f>K306</f>
        <v>160.44296</v>
      </c>
      <c r="L304" s="172">
        <f t="shared" si="27"/>
        <v>100</v>
      </c>
      <c r="M304" s="367"/>
      <c r="N304" s="231"/>
      <c r="O304" s="166">
        <f t="shared" si="28"/>
        <v>220.88592</v>
      </c>
    </row>
    <row r="305" spans="1:15" ht="43.5">
      <c r="A305" s="371" t="s">
        <v>433</v>
      </c>
      <c r="B305" s="143" t="s">
        <v>78</v>
      </c>
      <c r="C305" s="143" t="s">
        <v>370</v>
      </c>
      <c r="D305" s="143" t="s">
        <v>357</v>
      </c>
      <c r="E305" s="218"/>
      <c r="F305" s="218"/>
      <c r="G305" s="216"/>
      <c r="H305" s="217"/>
      <c r="I305" s="217"/>
      <c r="J305" s="141">
        <f aca="true" t="shared" si="32" ref="J305:K307">J306</f>
        <v>160.44296</v>
      </c>
      <c r="K305" s="141">
        <f t="shared" si="32"/>
        <v>160.44296</v>
      </c>
      <c r="L305" s="172">
        <f t="shared" si="27"/>
        <v>100</v>
      </c>
      <c r="M305" s="367"/>
      <c r="N305" s="231"/>
      <c r="O305" s="166">
        <f t="shared" si="28"/>
        <v>220.88592</v>
      </c>
    </row>
    <row r="306" spans="1:15" ht="26.25" customHeight="1">
      <c r="A306" s="342" t="s">
        <v>824</v>
      </c>
      <c r="B306" s="218" t="s">
        <v>78</v>
      </c>
      <c r="C306" s="218" t="s">
        <v>370</v>
      </c>
      <c r="D306" s="218" t="s">
        <v>357</v>
      </c>
      <c r="E306" s="218" t="s">
        <v>823</v>
      </c>
      <c r="F306" s="218"/>
      <c r="G306" s="216" t="e">
        <f>#REF!</f>
        <v>#REF!</v>
      </c>
      <c r="H306" s="217" t="e">
        <f>#REF!+H307</f>
        <v>#REF!</v>
      </c>
      <c r="I306" s="217" t="e">
        <f>#REF!+I307</f>
        <v>#REF!</v>
      </c>
      <c r="J306" s="215">
        <f t="shared" si="32"/>
        <v>160.44296</v>
      </c>
      <c r="K306" s="215">
        <f t="shared" si="32"/>
        <v>160.44296</v>
      </c>
      <c r="L306" s="214">
        <f t="shared" si="27"/>
        <v>100</v>
      </c>
      <c r="M306" s="374" t="e">
        <f>#REF!+M307</f>
        <v>#REF!</v>
      </c>
      <c r="N306" s="235" t="e">
        <f>#REF!+N307</f>
        <v>#REF!</v>
      </c>
      <c r="O306" s="166">
        <f t="shared" si="28"/>
        <v>220.88592</v>
      </c>
    </row>
    <row r="307" spans="1:15" ht="29.25" customHeight="1">
      <c r="A307" s="342" t="s">
        <v>822</v>
      </c>
      <c r="B307" s="218" t="s">
        <v>78</v>
      </c>
      <c r="C307" s="218" t="s">
        <v>370</v>
      </c>
      <c r="D307" s="218" t="s">
        <v>357</v>
      </c>
      <c r="E307" s="218" t="s">
        <v>820</v>
      </c>
      <c r="F307" s="218"/>
      <c r="G307" s="216"/>
      <c r="H307" s="217">
        <f>H308</f>
        <v>0</v>
      </c>
      <c r="I307" s="217">
        <f>I308</f>
        <v>0</v>
      </c>
      <c r="J307" s="215">
        <f t="shared" si="32"/>
        <v>160.44296</v>
      </c>
      <c r="K307" s="215">
        <f t="shared" si="32"/>
        <v>160.44296</v>
      </c>
      <c r="L307" s="214">
        <f t="shared" si="27"/>
        <v>100</v>
      </c>
      <c r="M307" s="276">
        <f>M308</f>
        <v>0</v>
      </c>
      <c r="N307" s="235">
        <f>N308</f>
        <v>100</v>
      </c>
      <c r="O307" s="166">
        <f t="shared" si="28"/>
        <v>220.88592</v>
      </c>
    </row>
    <row r="308" spans="1:16" ht="15.75" customHeight="1">
      <c r="A308" s="342" t="s">
        <v>821</v>
      </c>
      <c r="B308" s="218" t="s">
        <v>78</v>
      </c>
      <c r="C308" s="218" t="s">
        <v>370</v>
      </c>
      <c r="D308" s="218" t="s">
        <v>357</v>
      </c>
      <c r="E308" s="218" t="s">
        <v>820</v>
      </c>
      <c r="F308" s="218" t="s">
        <v>819</v>
      </c>
      <c r="G308" s="216"/>
      <c r="H308" s="217"/>
      <c r="I308" s="216"/>
      <c r="J308" s="215">
        <v>160.44296</v>
      </c>
      <c r="K308" s="215">
        <v>160.44296</v>
      </c>
      <c r="L308" s="214">
        <f t="shared" si="27"/>
        <v>100</v>
      </c>
      <c r="M308" s="228"/>
      <c r="N308" s="235">
        <f>L308+M308</f>
        <v>100</v>
      </c>
      <c r="O308" s="166">
        <f t="shared" si="28"/>
        <v>220.88592</v>
      </c>
      <c r="P308" s="321">
        <f>L308-O308</f>
        <v>-120.88592</v>
      </c>
    </row>
    <row r="309" spans="1:15" ht="57.75" customHeight="1">
      <c r="A309" s="373" t="s">
        <v>818</v>
      </c>
      <c r="B309" s="222" t="s">
        <v>78</v>
      </c>
      <c r="C309" s="222" t="s">
        <v>380</v>
      </c>
      <c r="D309" s="222" t="s">
        <v>817</v>
      </c>
      <c r="E309" s="222"/>
      <c r="F309" s="222"/>
      <c r="G309" s="241"/>
      <c r="H309" s="323"/>
      <c r="I309" s="241"/>
      <c r="J309" s="240">
        <f>J310+J316+J318</f>
        <v>34900.998</v>
      </c>
      <c r="K309" s="240">
        <f>K310+K316+K318</f>
        <v>34900.928</v>
      </c>
      <c r="L309" s="172">
        <f t="shared" si="27"/>
        <v>99.99979943266952</v>
      </c>
      <c r="M309" s="228"/>
      <c r="N309" s="235"/>
      <c r="O309" s="166">
        <f t="shared" si="28"/>
        <v>69701.92620056734</v>
      </c>
    </row>
    <row r="310" spans="1:15" ht="54.75" customHeight="1">
      <c r="A310" s="371" t="s">
        <v>816</v>
      </c>
      <c r="B310" s="143" t="s">
        <v>78</v>
      </c>
      <c r="C310" s="143" t="s">
        <v>380</v>
      </c>
      <c r="D310" s="143" t="s">
        <v>357</v>
      </c>
      <c r="E310" s="143"/>
      <c r="F310" s="143"/>
      <c r="G310" s="128"/>
      <c r="H310" s="168"/>
      <c r="I310" s="128"/>
      <c r="J310" s="141">
        <f>J311</f>
        <v>25131.672</v>
      </c>
      <c r="K310" s="141">
        <f>K311</f>
        <v>25131.672</v>
      </c>
      <c r="L310" s="172">
        <f t="shared" si="27"/>
        <v>100</v>
      </c>
      <c r="M310" s="228"/>
      <c r="N310" s="235"/>
      <c r="O310" s="166">
        <f t="shared" si="28"/>
        <v>50163.344</v>
      </c>
    </row>
    <row r="311" spans="1:15" ht="27.75" customHeight="1">
      <c r="A311" s="334" t="s">
        <v>815</v>
      </c>
      <c r="B311" s="218" t="s">
        <v>78</v>
      </c>
      <c r="C311" s="218" t="s">
        <v>380</v>
      </c>
      <c r="D311" s="218" t="s">
        <v>357</v>
      </c>
      <c r="E311" s="331" t="s">
        <v>814</v>
      </c>
      <c r="F311" s="218"/>
      <c r="G311" s="216"/>
      <c r="H311" s="217"/>
      <c r="I311" s="216"/>
      <c r="J311" s="215">
        <f>J312+J314</f>
        <v>25131.672</v>
      </c>
      <c r="K311" s="215">
        <f>K312+K314</f>
        <v>25131.672</v>
      </c>
      <c r="L311" s="214">
        <f t="shared" si="27"/>
        <v>100</v>
      </c>
      <c r="M311" s="228"/>
      <c r="N311" s="235"/>
      <c r="O311" s="166">
        <f t="shared" si="28"/>
        <v>50163.344</v>
      </c>
    </row>
    <row r="312" spans="1:15" ht="58.5" customHeight="1">
      <c r="A312" s="334" t="s">
        <v>813</v>
      </c>
      <c r="B312" s="218" t="s">
        <v>78</v>
      </c>
      <c r="C312" s="218" t="s">
        <v>380</v>
      </c>
      <c r="D312" s="218" t="s">
        <v>357</v>
      </c>
      <c r="E312" s="218" t="s">
        <v>812</v>
      </c>
      <c r="F312" s="218"/>
      <c r="G312" s="216"/>
      <c r="H312" s="217"/>
      <c r="I312" s="216"/>
      <c r="J312" s="215">
        <f>J313</f>
        <v>4269.5</v>
      </c>
      <c r="K312" s="215">
        <f>K313</f>
        <v>4269.5</v>
      </c>
      <c r="L312" s="214">
        <f t="shared" si="27"/>
        <v>100</v>
      </c>
      <c r="M312" s="228"/>
      <c r="N312" s="235"/>
      <c r="O312" s="166">
        <f t="shared" si="28"/>
        <v>8439</v>
      </c>
    </row>
    <row r="313" spans="1:15" ht="14.25" customHeight="1">
      <c r="A313" s="334" t="s">
        <v>810</v>
      </c>
      <c r="B313" s="218" t="s">
        <v>78</v>
      </c>
      <c r="C313" s="218" t="s">
        <v>380</v>
      </c>
      <c r="D313" s="218" t="s">
        <v>357</v>
      </c>
      <c r="E313" s="218" t="s">
        <v>812</v>
      </c>
      <c r="F313" s="218" t="s">
        <v>808</v>
      </c>
      <c r="G313" s="216"/>
      <c r="H313" s="217"/>
      <c r="I313" s="216"/>
      <c r="J313" s="215">
        <v>4269.5</v>
      </c>
      <c r="K313" s="215">
        <v>4269.5</v>
      </c>
      <c r="L313" s="214">
        <f t="shared" si="27"/>
        <v>100</v>
      </c>
      <c r="M313" s="228"/>
      <c r="N313" s="235"/>
      <c r="O313" s="166">
        <f t="shared" si="28"/>
        <v>8439</v>
      </c>
    </row>
    <row r="314" spans="1:15" ht="57.75" customHeight="1">
      <c r="A314" s="334" t="s">
        <v>811</v>
      </c>
      <c r="B314" s="218" t="s">
        <v>78</v>
      </c>
      <c r="C314" s="218" t="s">
        <v>380</v>
      </c>
      <c r="D314" s="218" t="s">
        <v>357</v>
      </c>
      <c r="E314" s="218" t="s">
        <v>809</v>
      </c>
      <c r="F314" s="218"/>
      <c r="G314" s="216"/>
      <c r="H314" s="217"/>
      <c r="I314" s="216"/>
      <c r="J314" s="215">
        <f>J315</f>
        <v>20862.172</v>
      </c>
      <c r="K314" s="215">
        <f>K315</f>
        <v>20862.172</v>
      </c>
      <c r="L314" s="214">
        <f t="shared" si="27"/>
        <v>100</v>
      </c>
      <c r="M314" s="228"/>
      <c r="N314" s="235"/>
      <c r="O314" s="166">
        <f t="shared" si="28"/>
        <v>41624.344</v>
      </c>
    </row>
    <row r="315" spans="1:16" ht="16.5" customHeight="1">
      <c r="A315" s="334" t="s">
        <v>810</v>
      </c>
      <c r="B315" s="218" t="s">
        <v>78</v>
      </c>
      <c r="C315" s="218" t="s">
        <v>380</v>
      </c>
      <c r="D315" s="218" t="s">
        <v>357</v>
      </c>
      <c r="E315" s="218" t="s">
        <v>809</v>
      </c>
      <c r="F315" s="218" t="s">
        <v>808</v>
      </c>
      <c r="G315" s="216"/>
      <c r="H315" s="217"/>
      <c r="I315" s="216"/>
      <c r="J315" s="215">
        <v>20862.172</v>
      </c>
      <c r="K315" s="215">
        <v>20862.172</v>
      </c>
      <c r="L315" s="214">
        <f t="shared" si="27"/>
        <v>100</v>
      </c>
      <c r="M315" s="228"/>
      <c r="N315" s="235"/>
      <c r="O315" s="166">
        <f t="shared" si="28"/>
        <v>41624.344</v>
      </c>
      <c r="P315" s="190">
        <f>K315-O315</f>
        <v>-20762.172</v>
      </c>
    </row>
    <row r="316" spans="1:15" ht="15" customHeight="1" hidden="1">
      <c r="A316" s="371" t="s">
        <v>437</v>
      </c>
      <c r="B316" s="143" t="s">
        <v>78</v>
      </c>
      <c r="C316" s="143" t="s">
        <v>380</v>
      </c>
      <c r="D316" s="143" t="s">
        <v>358</v>
      </c>
      <c r="E316" s="143"/>
      <c r="F316" s="143"/>
      <c r="G316" s="128"/>
      <c r="H316" s="168"/>
      <c r="I316" s="128"/>
      <c r="J316" s="141">
        <f>J317</f>
        <v>0</v>
      </c>
      <c r="K316" s="141">
        <f>K317</f>
        <v>0</v>
      </c>
      <c r="L316" s="214" t="e">
        <f t="shared" si="27"/>
        <v>#DIV/0!</v>
      </c>
      <c r="M316" s="228"/>
      <c r="N316" s="235"/>
      <c r="O316" s="166" t="e">
        <f t="shared" si="28"/>
        <v>#DIV/0!</v>
      </c>
    </row>
    <row r="317" spans="1:15" ht="18" customHeight="1" hidden="1">
      <c r="A317" s="372" t="s">
        <v>437</v>
      </c>
      <c r="B317" s="279" t="s">
        <v>78</v>
      </c>
      <c r="C317" s="279" t="s">
        <v>380</v>
      </c>
      <c r="D317" s="279" t="s">
        <v>358</v>
      </c>
      <c r="E317" s="279" t="s">
        <v>807</v>
      </c>
      <c r="F317" s="279"/>
      <c r="G317" s="277"/>
      <c r="H317" s="278"/>
      <c r="I317" s="277"/>
      <c r="J317" s="275">
        <f>H317+I317</f>
        <v>0</v>
      </c>
      <c r="K317" s="275"/>
      <c r="L317" s="214" t="e">
        <f t="shared" si="27"/>
        <v>#DIV/0!</v>
      </c>
      <c r="M317" s="228"/>
      <c r="N317" s="235"/>
      <c r="O317" s="166" t="e">
        <f t="shared" si="28"/>
        <v>#DIV/0!</v>
      </c>
    </row>
    <row r="318" spans="1:15" ht="56.25" customHeight="1">
      <c r="A318" s="371" t="s">
        <v>438</v>
      </c>
      <c r="B318" s="143" t="s">
        <v>78</v>
      </c>
      <c r="C318" s="143" t="s">
        <v>380</v>
      </c>
      <c r="D318" s="143" t="s">
        <v>360</v>
      </c>
      <c r="E318" s="143"/>
      <c r="F318" s="143"/>
      <c r="G318" s="128"/>
      <c r="H318" s="168"/>
      <c r="I318" s="128"/>
      <c r="J318" s="141">
        <f>J321+J319</f>
        <v>9769.326000000001</v>
      </c>
      <c r="K318" s="141">
        <f>K321+K319</f>
        <v>9769.256000000001</v>
      </c>
      <c r="L318" s="172">
        <f t="shared" si="27"/>
        <v>99.99928347155166</v>
      </c>
      <c r="M318" s="228"/>
      <c r="N318" s="235"/>
      <c r="O318" s="166">
        <f t="shared" si="28"/>
        <v>19438.58271652845</v>
      </c>
    </row>
    <row r="319" spans="1:15" ht="75">
      <c r="A319" s="219" t="s">
        <v>806</v>
      </c>
      <c r="B319" s="218" t="s">
        <v>78</v>
      </c>
      <c r="C319" s="218" t="s">
        <v>380</v>
      </c>
      <c r="D319" s="218" t="s">
        <v>360</v>
      </c>
      <c r="E319" s="218" t="s">
        <v>805</v>
      </c>
      <c r="F319" s="218"/>
      <c r="G319" s="128"/>
      <c r="H319" s="168"/>
      <c r="I319" s="128"/>
      <c r="J319" s="215">
        <f>J320</f>
        <v>1867.326</v>
      </c>
      <c r="K319" s="215">
        <f>K320</f>
        <v>1867.326</v>
      </c>
      <c r="L319" s="214">
        <f t="shared" si="27"/>
        <v>100</v>
      </c>
      <c r="M319" s="228"/>
      <c r="N319" s="235"/>
      <c r="O319" s="166">
        <f t="shared" si="28"/>
        <v>3634.652</v>
      </c>
    </row>
    <row r="320" spans="1:15" ht="15">
      <c r="A320" s="219" t="s">
        <v>265</v>
      </c>
      <c r="B320" s="218" t="s">
        <v>78</v>
      </c>
      <c r="C320" s="218" t="s">
        <v>380</v>
      </c>
      <c r="D320" s="218" t="s">
        <v>360</v>
      </c>
      <c r="E320" s="218" t="s">
        <v>805</v>
      </c>
      <c r="F320" s="218" t="s">
        <v>804</v>
      </c>
      <c r="G320" s="128"/>
      <c r="H320" s="168"/>
      <c r="I320" s="128"/>
      <c r="J320" s="215">
        <v>1867.326</v>
      </c>
      <c r="K320" s="215">
        <v>1867.326</v>
      </c>
      <c r="L320" s="214">
        <f t="shared" si="27"/>
        <v>100</v>
      </c>
      <c r="M320" s="228"/>
      <c r="N320" s="235"/>
      <c r="O320" s="166">
        <f t="shared" si="28"/>
        <v>3634.652</v>
      </c>
    </row>
    <row r="321" spans="1:15" ht="58.5" customHeight="1">
      <c r="A321" s="361" t="s">
        <v>803</v>
      </c>
      <c r="B321" s="331" t="s">
        <v>78</v>
      </c>
      <c r="C321" s="331" t="s">
        <v>380</v>
      </c>
      <c r="D321" s="331" t="s">
        <v>360</v>
      </c>
      <c r="E321" s="331" t="s">
        <v>802</v>
      </c>
      <c r="F321" s="370"/>
      <c r="G321" s="368"/>
      <c r="H321" s="369"/>
      <c r="I321" s="368"/>
      <c r="J321" s="215">
        <f>J324+J322</f>
        <v>7902</v>
      </c>
      <c r="K321" s="215">
        <f>K324+K322</f>
        <v>7901.93</v>
      </c>
      <c r="L321" s="214">
        <f t="shared" si="27"/>
        <v>99.99911414831688</v>
      </c>
      <c r="M321" s="228"/>
      <c r="N321" s="235"/>
      <c r="O321" s="166">
        <f t="shared" si="28"/>
        <v>15703.930885851683</v>
      </c>
    </row>
    <row r="322" spans="1:15" ht="42.75" customHeight="1">
      <c r="A322" s="361" t="s">
        <v>801</v>
      </c>
      <c r="B322" s="331" t="s">
        <v>78</v>
      </c>
      <c r="C322" s="331" t="s">
        <v>380</v>
      </c>
      <c r="D322" s="331" t="s">
        <v>360</v>
      </c>
      <c r="E322" s="331" t="s">
        <v>800</v>
      </c>
      <c r="F322" s="331"/>
      <c r="G322" s="309">
        <f>G323</f>
        <v>0</v>
      </c>
      <c r="H322" s="309">
        <f>H323</f>
        <v>4300</v>
      </c>
      <c r="I322" s="309">
        <f>I323</f>
        <v>0</v>
      </c>
      <c r="J322" s="215">
        <f>J323</f>
        <v>2088.2</v>
      </c>
      <c r="K322" s="215">
        <f>K323</f>
        <v>2088.13</v>
      </c>
      <c r="L322" s="214">
        <f t="shared" si="27"/>
        <v>99.99664783066757</v>
      </c>
      <c r="M322" s="367"/>
      <c r="N322" s="366"/>
      <c r="O322" s="166">
        <f t="shared" si="28"/>
        <v>4076.3333521693326</v>
      </c>
    </row>
    <row r="323" spans="1:15" ht="15" customHeight="1">
      <c r="A323" s="361" t="s">
        <v>798</v>
      </c>
      <c r="B323" s="331" t="s">
        <v>78</v>
      </c>
      <c r="C323" s="331" t="s">
        <v>380</v>
      </c>
      <c r="D323" s="331" t="s">
        <v>360</v>
      </c>
      <c r="E323" s="331" t="s">
        <v>800</v>
      </c>
      <c r="F323" s="331" t="s">
        <v>796</v>
      </c>
      <c r="G323" s="309"/>
      <c r="H323" s="214">
        <v>4300</v>
      </c>
      <c r="I323" s="309"/>
      <c r="J323" s="215">
        <v>2088.2</v>
      </c>
      <c r="K323" s="215">
        <v>2088.13</v>
      </c>
      <c r="L323" s="214">
        <f t="shared" si="27"/>
        <v>99.99664783066757</v>
      </c>
      <c r="M323" s="367"/>
      <c r="N323" s="366"/>
      <c r="O323" s="166">
        <f t="shared" si="28"/>
        <v>4076.3333521693326</v>
      </c>
    </row>
    <row r="324" spans="1:15" ht="57" customHeight="1">
      <c r="A324" s="361" t="s">
        <v>799</v>
      </c>
      <c r="B324" s="331" t="s">
        <v>78</v>
      </c>
      <c r="C324" s="331" t="s">
        <v>380</v>
      </c>
      <c r="D324" s="331" t="s">
        <v>360</v>
      </c>
      <c r="E324" s="331" t="s">
        <v>797</v>
      </c>
      <c r="F324" s="331"/>
      <c r="G324" s="368"/>
      <c r="H324" s="369"/>
      <c r="I324" s="368"/>
      <c r="J324" s="215">
        <f>J325</f>
        <v>5813.8</v>
      </c>
      <c r="K324" s="215">
        <f>K325</f>
        <v>5813.8</v>
      </c>
      <c r="L324" s="214">
        <f t="shared" si="27"/>
        <v>100</v>
      </c>
      <c r="M324" s="367"/>
      <c r="N324" s="366"/>
      <c r="O324" s="166">
        <f t="shared" si="28"/>
        <v>11527.6</v>
      </c>
    </row>
    <row r="325" spans="1:15" ht="18" customHeight="1">
      <c r="A325" s="361" t="s">
        <v>798</v>
      </c>
      <c r="B325" s="331" t="s">
        <v>78</v>
      </c>
      <c r="C325" s="331" t="s">
        <v>380</v>
      </c>
      <c r="D325" s="331" t="s">
        <v>360</v>
      </c>
      <c r="E325" s="331" t="s">
        <v>797</v>
      </c>
      <c r="F325" s="331" t="s">
        <v>796</v>
      </c>
      <c r="G325" s="309"/>
      <c r="H325" s="309">
        <v>1762.3</v>
      </c>
      <c r="I325" s="309"/>
      <c r="J325" s="215">
        <v>5813.8</v>
      </c>
      <c r="K325" s="215">
        <v>5813.8</v>
      </c>
      <c r="L325" s="214">
        <f t="shared" si="27"/>
        <v>100</v>
      </c>
      <c r="M325" s="367"/>
      <c r="N325" s="366"/>
      <c r="O325" s="166">
        <f t="shared" si="28"/>
        <v>11527.6</v>
      </c>
    </row>
    <row r="326" spans="1:15" ht="30" thickBot="1">
      <c r="A326" s="354" t="s">
        <v>795</v>
      </c>
      <c r="B326" s="160" t="s">
        <v>725</v>
      </c>
      <c r="C326" s="160"/>
      <c r="D326" s="160"/>
      <c r="E326" s="160"/>
      <c r="F326" s="160"/>
      <c r="G326" s="164" t="e">
        <f>G327+G338</f>
        <v>#REF!</v>
      </c>
      <c r="H326" s="164">
        <f>H327+H338</f>
        <v>42203.4</v>
      </c>
      <c r="I326" s="164">
        <f>I327+I338</f>
        <v>0</v>
      </c>
      <c r="J326" s="268">
        <f>J327+J338</f>
        <v>61643.79201999999</v>
      </c>
      <c r="K326" s="268">
        <f>K327+K338</f>
        <v>61153.96699</v>
      </c>
      <c r="L326" s="172">
        <f t="shared" si="27"/>
        <v>99.20539438936353</v>
      </c>
      <c r="M326" s="267">
        <f>M327+M338</f>
        <v>135.5</v>
      </c>
      <c r="N326" s="266" t="e">
        <f>N327+N338</f>
        <v>#DIV/0!</v>
      </c>
      <c r="O326" s="166">
        <f t="shared" si="28"/>
        <v>122698.55361561062</v>
      </c>
    </row>
    <row r="327" spans="1:15" ht="15" hidden="1">
      <c r="A327" s="365" t="s">
        <v>398</v>
      </c>
      <c r="B327" s="222" t="s">
        <v>725</v>
      </c>
      <c r="C327" s="222" t="s">
        <v>368</v>
      </c>
      <c r="D327" s="218"/>
      <c r="E327" s="218"/>
      <c r="F327" s="218"/>
      <c r="G327" s="241">
        <f>G328</f>
        <v>0</v>
      </c>
      <c r="H327" s="323">
        <f>H328+H334</f>
        <v>50</v>
      </c>
      <c r="I327" s="323">
        <f>I328+I334</f>
        <v>0</v>
      </c>
      <c r="J327" s="240">
        <f>J328+J334</f>
        <v>732.4675</v>
      </c>
      <c r="K327" s="240">
        <f>K328+K334</f>
        <v>673.674</v>
      </c>
      <c r="L327" s="214">
        <f t="shared" si="27"/>
        <v>91.97322748108277</v>
      </c>
      <c r="M327" s="364">
        <f>M328+M334</f>
        <v>0</v>
      </c>
      <c r="N327" s="363" t="e">
        <f>N328+N334</f>
        <v>#DIV/0!</v>
      </c>
      <c r="O327" s="166">
        <f t="shared" si="28"/>
        <v>1314.168272518917</v>
      </c>
    </row>
    <row r="328" spans="1:15" s="115" customFormat="1" ht="15" hidden="1">
      <c r="A328" s="362" t="s">
        <v>596</v>
      </c>
      <c r="B328" s="143" t="s">
        <v>725</v>
      </c>
      <c r="C328" s="143" t="s">
        <v>368</v>
      </c>
      <c r="D328" s="143" t="s">
        <v>364</v>
      </c>
      <c r="E328" s="143"/>
      <c r="F328" s="143"/>
      <c r="G328" s="168">
        <f>G329+G332</f>
        <v>0</v>
      </c>
      <c r="H328" s="168">
        <f>H329+H332</f>
        <v>50</v>
      </c>
      <c r="I328" s="168">
        <f>I329+I332</f>
        <v>0</v>
      </c>
      <c r="J328" s="141">
        <f>J329+J332</f>
        <v>0</v>
      </c>
      <c r="K328" s="141">
        <f>K329+K332</f>
        <v>0</v>
      </c>
      <c r="L328" s="214" t="e">
        <f t="shared" si="27"/>
        <v>#DIV/0!</v>
      </c>
      <c r="M328" s="295">
        <f>M329+M332</f>
        <v>0</v>
      </c>
      <c r="N328" s="294" t="e">
        <f>N329+N332</f>
        <v>#DIV/0!</v>
      </c>
      <c r="O328" s="166" t="e">
        <f t="shared" si="28"/>
        <v>#DIV/0!</v>
      </c>
    </row>
    <row r="329" spans="1:15" ht="30" hidden="1">
      <c r="A329" s="361" t="s">
        <v>595</v>
      </c>
      <c r="B329" s="218" t="s">
        <v>725</v>
      </c>
      <c r="C329" s="218" t="s">
        <v>368</v>
      </c>
      <c r="D329" s="218" t="s">
        <v>364</v>
      </c>
      <c r="E329" s="218" t="s">
        <v>594</v>
      </c>
      <c r="F329" s="218"/>
      <c r="G329" s="216">
        <f aca="true" t="shared" si="33" ref="G329:K330">G330</f>
        <v>-50</v>
      </c>
      <c r="H329" s="216">
        <f t="shared" si="33"/>
        <v>50</v>
      </c>
      <c r="I329" s="216">
        <f t="shared" si="33"/>
        <v>0</v>
      </c>
      <c r="J329" s="215">
        <f t="shared" si="33"/>
        <v>0</v>
      </c>
      <c r="K329" s="215">
        <f t="shared" si="33"/>
        <v>0</v>
      </c>
      <c r="L329" s="214" t="e">
        <f t="shared" si="27"/>
        <v>#DIV/0!</v>
      </c>
      <c r="M329" s="228">
        <f>M330</f>
        <v>0</v>
      </c>
      <c r="N329" s="227" t="e">
        <f>N330</f>
        <v>#DIV/0!</v>
      </c>
      <c r="O329" s="166" t="e">
        <f t="shared" si="28"/>
        <v>#DIV/0!</v>
      </c>
    </row>
    <row r="330" spans="1:15" ht="30" hidden="1">
      <c r="A330" s="361" t="s">
        <v>794</v>
      </c>
      <c r="B330" s="218" t="s">
        <v>725</v>
      </c>
      <c r="C330" s="218" t="s">
        <v>368</v>
      </c>
      <c r="D330" s="218" t="s">
        <v>364</v>
      </c>
      <c r="E330" s="218" t="s">
        <v>593</v>
      </c>
      <c r="F330" s="218"/>
      <c r="G330" s="216">
        <f t="shared" si="33"/>
        <v>-50</v>
      </c>
      <c r="H330" s="216">
        <f t="shared" si="33"/>
        <v>50</v>
      </c>
      <c r="I330" s="216">
        <f t="shared" si="33"/>
        <v>0</v>
      </c>
      <c r="J330" s="215">
        <f t="shared" si="33"/>
        <v>0</v>
      </c>
      <c r="K330" s="215">
        <f t="shared" si="33"/>
        <v>0</v>
      </c>
      <c r="L330" s="214" t="e">
        <f t="shared" si="27"/>
        <v>#DIV/0!</v>
      </c>
      <c r="M330" s="228">
        <f>M331</f>
        <v>0</v>
      </c>
      <c r="N330" s="227" t="e">
        <f>N331</f>
        <v>#DIV/0!</v>
      </c>
      <c r="O330" s="166" t="e">
        <f t="shared" si="28"/>
        <v>#DIV/0!</v>
      </c>
    </row>
    <row r="331" spans="1:15" ht="29.25" customHeight="1" hidden="1">
      <c r="A331" s="361" t="s">
        <v>500</v>
      </c>
      <c r="B331" s="218" t="s">
        <v>725</v>
      </c>
      <c r="C331" s="218" t="s">
        <v>368</v>
      </c>
      <c r="D331" s="218" t="s">
        <v>364</v>
      </c>
      <c r="E331" s="218" t="s">
        <v>593</v>
      </c>
      <c r="F331" s="218" t="s">
        <v>699</v>
      </c>
      <c r="G331" s="216">
        <v>-50</v>
      </c>
      <c r="H331" s="217">
        <v>50</v>
      </c>
      <c r="I331" s="216"/>
      <c r="J331" s="215"/>
      <c r="K331" s="215"/>
      <c r="L331" s="214" t="e">
        <f t="shared" si="27"/>
        <v>#DIV/0!</v>
      </c>
      <c r="M331" s="228"/>
      <c r="N331" s="235" t="e">
        <f>L331+M331</f>
        <v>#DIV/0!</v>
      </c>
      <c r="O331" s="166" t="e">
        <f t="shared" si="28"/>
        <v>#DIV/0!</v>
      </c>
    </row>
    <row r="332" spans="1:15" ht="27" customHeight="1" hidden="1">
      <c r="A332" s="106" t="s">
        <v>592</v>
      </c>
      <c r="B332" s="218" t="s">
        <v>725</v>
      </c>
      <c r="C332" s="218" t="s">
        <v>368</v>
      </c>
      <c r="D332" s="218" t="s">
        <v>364</v>
      </c>
      <c r="E332" s="218" t="s">
        <v>591</v>
      </c>
      <c r="F332" s="218"/>
      <c r="G332" s="217">
        <f>G333</f>
        <v>50</v>
      </c>
      <c r="H332" s="217">
        <f>H333</f>
        <v>0</v>
      </c>
      <c r="I332" s="217">
        <f>I333</f>
        <v>0</v>
      </c>
      <c r="J332" s="215">
        <f>J333</f>
        <v>0</v>
      </c>
      <c r="K332" s="215">
        <f>K333</f>
        <v>0</v>
      </c>
      <c r="L332" s="214" t="e">
        <f aca="true" t="shared" si="34" ref="L332:L395">K332/J332*100</f>
        <v>#DIV/0!</v>
      </c>
      <c r="M332" s="276">
        <f>M333</f>
        <v>0</v>
      </c>
      <c r="N332" s="235" t="e">
        <f>N333</f>
        <v>#DIV/0!</v>
      </c>
      <c r="O332" s="166" t="e">
        <f aca="true" t="shared" si="35" ref="O332:O395">J332+K332-L332</f>
        <v>#DIV/0!</v>
      </c>
    </row>
    <row r="333" spans="1:15" ht="26.25" customHeight="1" hidden="1">
      <c r="A333" s="106" t="s">
        <v>491</v>
      </c>
      <c r="B333" s="218" t="s">
        <v>725</v>
      </c>
      <c r="C333" s="218" t="s">
        <v>368</v>
      </c>
      <c r="D333" s="218" t="s">
        <v>364</v>
      </c>
      <c r="E333" s="218" t="s">
        <v>591</v>
      </c>
      <c r="F333" s="218" t="s">
        <v>488</v>
      </c>
      <c r="G333" s="217">
        <v>50</v>
      </c>
      <c r="H333" s="217"/>
      <c r="I333" s="217"/>
      <c r="J333" s="215">
        <f>H333+I333</f>
        <v>0</v>
      </c>
      <c r="K333" s="215"/>
      <c r="L333" s="214" t="e">
        <f t="shared" si="34"/>
        <v>#DIV/0!</v>
      </c>
      <c r="M333" s="276"/>
      <c r="N333" s="235" t="e">
        <f>L333+M333</f>
        <v>#DIV/0!</v>
      </c>
      <c r="O333" s="166" t="e">
        <f t="shared" si="35"/>
        <v>#DIV/0!</v>
      </c>
    </row>
    <row r="334" spans="1:15" ht="28.5" customHeight="1">
      <c r="A334" s="293" t="s">
        <v>403</v>
      </c>
      <c r="B334" s="143" t="s">
        <v>725</v>
      </c>
      <c r="C334" s="143" t="s">
        <v>368</v>
      </c>
      <c r="D334" s="143" t="s">
        <v>368</v>
      </c>
      <c r="E334" s="143"/>
      <c r="F334" s="143"/>
      <c r="G334" s="128" t="e">
        <f aca="true" t="shared" si="36" ref="G334:K335">G335</f>
        <v>#REF!</v>
      </c>
      <c r="H334" s="128">
        <f t="shared" si="36"/>
        <v>0</v>
      </c>
      <c r="I334" s="128">
        <f t="shared" si="36"/>
        <v>0</v>
      </c>
      <c r="J334" s="141">
        <f t="shared" si="36"/>
        <v>732.4675</v>
      </c>
      <c r="K334" s="141">
        <f t="shared" si="36"/>
        <v>673.674</v>
      </c>
      <c r="L334" s="172">
        <f t="shared" si="34"/>
        <v>91.97322748108277</v>
      </c>
      <c r="M334" s="230">
        <f aca="true" t="shared" si="37" ref="M334:N336">M335</f>
        <v>0</v>
      </c>
      <c r="N334" s="229">
        <f t="shared" si="37"/>
        <v>91.97322748108277</v>
      </c>
      <c r="O334" s="166">
        <f t="shared" si="35"/>
        <v>1314.168272518917</v>
      </c>
    </row>
    <row r="335" spans="1:15" ht="30" customHeight="1">
      <c r="A335" s="106" t="s">
        <v>793</v>
      </c>
      <c r="B335" s="218" t="s">
        <v>725</v>
      </c>
      <c r="C335" s="218" t="s">
        <v>368</v>
      </c>
      <c r="D335" s="218" t="s">
        <v>368</v>
      </c>
      <c r="E335" s="218" t="s">
        <v>792</v>
      </c>
      <c r="F335" s="218"/>
      <c r="G335" s="216" t="e">
        <f t="shared" si="36"/>
        <v>#REF!</v>
      </c>
      <c r="H335" s="216">
        <f t="shared" si="36"/>
        <v>0</v>
      </c>
      <c r="I335" s="216">
        <f t="shared" si="36"/>
        <v>0</v>
      </c>
      <c r="J335" s="215">
        <f t="shared" si="36"/>
        <v>732.4675</v>
      </c>
      <c r="K335" s="215">
        <f t="shared" si="36"/>
        <v>673.674</v>
      </c>
      <c r="L335" s="214">
        <f t="shared" si="34"/>
        <v>91.97322748108277</v>
      </c>
      <c r="M335" s="228">
        <f t="shared" si="37"/>
        <v>0</v>
      </c>
      <c r="N335" s="227">
        <f t="shared" si="37"/>
        <v>91.97322748108277</v>
      </c>
      <c r="O335" s="166">
        <f t="shared" si="35"/>
        <v>1314.168272518917</v>
      </c>
    </row>
    <row r="336" spans="1:15" ht="15" customHeight="1">
      <c r="A336" s="106" t="s">
        <v>791</v>
      </c>
      <c r="B336" s="218" t="s">
        <v>725</v>
      </c>
      <c r="C336" s="218" t="s">
        <v>368</v>
      </c>
      <c r="D336" s="218" t="s">
        <v>368</v>
      </c>
      <c r="E336" s="218" t="s">
        <v>790</v>
      </c>
      <c r="F336" s="218"/>
      <c r="G336" s="216" t="e">
        <f>G337+#REF!</f>
        <v>#REF!</v>
      </c>
      <c r="H336" s="217">
        <f>H337</f>
        <v>0</v>
      </c>
      <c r="I336" s="216">
        <f>I337</f>
        <v>0</v>
      </c>
      <c r="J336" s="215">
        <f>J337</f>
        <v>732.4675</v>
      </c>
      <c r="K336" s="215">
        <f>K337</f>
        <v>673.674</v>
      </c>
      <c r="L336" s="214">
        <f t="shared" si="34"/>
        <v>91.97322748108277</v>
      </c>
      <c r="M336" s="228">
        <f t="shared" si="37"/>
        <v>0</v>
      </c>
      <c r="N336" s="227">
        <f t="shared" si="37"/>
        <v>91.97322748108277</v>
      </c>
      <c r="O336" s="166">
        <f t="shared" si="35"/>
        <v>1314.168272518917</v>
      </c>
    </row>
    <row r="337" spans="1:16" ht="27.75" customHeight="1">
      <c r="A337" s="106" t="s">
        <v>514</v>
      </c>
      <c r="B337" s="218" t="s">
        <v>725</v>
      </c>
      <c r="C337" s="218" t="s">
        <v>368</v>
      </c>
      <c r="D337" s="218" t="s">
        <v>368</v>
      </c>
      <c r="E337" s="218" t="s">
        <v>790</v>
      </c>
      <c r="F337" s="218" t="s">
        <v>498</v>
      </c>
      <c r="G337" s="216">
        <v>321</v>
      </c>
      <c r="H337" s="217"/>
      <c r="I337" s="216"/>
      <c r="J337" s="215">
        <v>732.4675</v>
      </c>
      <c r="K337" s="215">
        <v>673.674</v>
      </c>
      <c r="L337" s="214">
        <f t="shared" si="34"/>
        <v>91.97322748108277</v>
      </c>
      <c r="M337" s="228"/>
      <c r="N337" s="235">
        <f>L337+M337</f>
        <v>91.97322748108277</v>
      </c>
      <c r="O337" s="166">
        <f t="shared" si="35"/>
        <v>1314.168272518917</v>
      </c>
      <c r="P337" s="166">
        <f>K337</f>
        <v>673.674</v>
      </c>
    </row>
    <row r="338" spans="1:15" ht="15">
      <c r="A338" s="360" t="s">
        <v>417</v>
      </c>
      <c r="B338" s="222" t="s">
        <v>725</v>
      </c>
      <c r="C338" s="222" t="s">
        <v>420</v>
      </c>
      <c r="D338" s="222"/>
      <c r="E338" s="222"/>
      <c r="F338" s="222"/>
      <c r="G338" s="248" t="e">
        <f>G339+G346+G356+G408</f>
        <v>#REF!</v>
      </c>
      <c r="H338" s="248">
        <f>H339+H346+H356+H408</f>
        <v>42153.4</v>
      </c>
      <c r="I338" s="248">
        <f>I339+I346+I356+I408</f>
        <v>0</v>
      </c>
      <c r="J338" s="240">
        <f>J339+J346+J356+J408</f>
        <v>60911.324519999995</v>
      </c>
      <c r="K338" s="240">
        <f>K339+K346+K356+K408</f>
        <v>60480.29299</v>
      </c>
      <c r="L338" s="172">
        <f t="shared" si="34"/>
        <v>99.29236224397245</v>
      </c>
      <c r="M338" s="247">
        <f>M339+M346+M356+M408</f>
        <v>135.5</v>
      </c>
      <c r="N338" s="246" t="e">
        <f>N339+N346+N356+N408</f>
        <v>#DIV/0!</v>
      </c>
      <c r="O338" s="166">
        <f t="shared" si="35"/>
        <v>121292.32514775603</v>
      </c>
    </row>
    <row r="339" spans="1:15" ht="15">
      <c r="A339" s="219" t="s">
        <v>419</v>
      </c>
      <c r="B339" s="143" t="s">
        <v>725</v>
      </c>
      <c r="C339" s="143" t="s">
        <v>420</v>
      </c>
      <c r="D339" s="143" t="s">
        <v>357</v>
      </c>
      <c r="E339" s="143"/>
      <c r="F339" s="143"/>
      <c r="G339" s="128" t="e">
        <f>G340+G342</f>
        <v>#REF!</v>
      </c>
      <c r="H339" s="168">
        <f>H340+H342</f>
        <v>1925.2</v>
      </c>
      <c r="I339" s="128">
        <f>I340+I342</f>
        <v>0</v>
      </c>
      <c r="J339" s="141">
        <f>J340+J342+J344</f>
        <v>1494.68</v>
      </c>
      <c r="K339" s="141">
        <f>K340+K342+K344</f>
        <v>1416.6019600000002</v>
      </c>
      <c r="L339" s="172">
        <f t="shared" si="34"/>
        <v>94.77627050606151</v>
      </c>
      <c r="M339" s="230">
        <f>M340+M342</f>
        <v>0</v>
      </c>
      <c r="N339" s="294" t="e">
        <f>N340+N342</f>
        <v>#DIV/0!</v>
      </c>
      <c r="O339" s="166">
        <f t="shared" si="35"/>
        <v>2816.505689493939</v>
      </c>
    </row>
    <row r="340" spans="1:15" ht="75" hidden="1">
      <c r="A340" s="219" t="s">
        <v>786</v>
      </c>
      <c r="B340" s="218" t="s">
        <v>725</v>
      </c>
      <c r="C340" s="218" t="s">
        <v>420</v>
      </c>
      <c r="D340" s="218" t="s">
        <v>357</v>
      </c>
      <c r="E340" s="218" t="s">
        <v>785</v>
      </c>
      <c r="F340" s="218"/>
      <c r="G340" s="216">
        <f>G341</f>
        <v>-227</v>
      </c>
      <c r="H340" s="216">
        <f>H341</f>
        <v>1925.2</v>
      </c>
      <c r="I340" s="216">
        <f>I341</f>
        <v>0</v>
      </c>
      <c r="J340" s="215">
        <f>J341</f>
        <v>0</v>
      </c>
      <c r="K340" s="215">
        <f>K341</f>
        <v>0</v>
      </c>
      <c r="L340" s="214" t="e">
        <f t="shared" si="34"/>
        <v>#DIV/0!</v>
      </c>
      <c r="M340" s="228">
        <f>M341</f>
        <v>0</v>
      </c>
      <c r="N340" s="227" t="e">
        <f>N341</f>
        <v>#DIV/0!</v>
      </c>
      <c r="O340" s="166" t="e">
        <f t="shared" si="35"/>
        <v>#DIV/0!</v>
      </c>
    </row>
    <row r="341" spans="1:15" ht="15" hidden="1">
      <c r="A341" s="219" t="s">
        <v>547</v>
      </c>
      <c r="B341" s="218" t="s">
        <v>725</v>
      </c>
      <c r="C341" s="218" t="s">
        <v>420</v>
      </c>
      <c r="D341" s="218" t="s">
        <v>357</v>
      </c>
      <c r="E341" s="218" t="s">
        <v>785</v>
      </c>
      <c r="F341" s="218" t="s">
        <v>545</v>
      </c>
      <c r="G341" s="216">
        <f>-227</f>
        <v>-227</v>
      </c>
      <c r="H341" s="217">
        <v>1925.2</v>
      </c>
      <c r="I341" s="216"/>
      <c r="J341" s="215"/>
      <c r="K341" s="215"/>
      <c r="L341" s="214" t="e">
        <f t="shared" si="34"/>
        <v>#DIV/0!</v>
      </c>
      <c r="M341" s="228"/>
      <c r="N341" s="235" t="e">
        <f>L341+M341</f>
        <v>#DIV/0!</v>
      </c>
      <c r="O341" s="166" t="e">
        <f t="shared" si="35"/>
        <v>#DIV/0!</v>
      </c>
    </row>
    <row r="342" spans="1:15" ht="60">
      <c r="A342" s="219" t="s">
        <v>789</v>
      </c>
      <c r="B342" s="218" t="s">
        <v>725</v>
      </c>
      <c r="C342" s="218" t="s">
        <v>420</v>
      </c>
      <c r="D342" s="218" t="s">
        <v>357</v>
      </c>
      <c r="E342" s="218" t="s">
        <v>788</v>
      </c>
      <c r="F342" s="218"/>
      <c r="G342" s="216" t="e">
        <f>G343</f>
        <v>#REF!</v>
      </c>
      <c r="H342" s="217">
        <f>H343</f>
        <v>0</v>
      </c>
      <c r="I342" s="216">
        <f>I343</f>
        <v>0</v>
      </c>
      <c r="J342" s="215">
        <f>J343</f>
        <v>83.18</v>
      </c>
      <c r="K342" s="215">
        <f>K343</f>
        <v>42.92486</v>
      </c>
      <c r="L342" s="214">
        <f t="shared" si="34"/>
        <v>51.604784804039426</v>
      </c>
      <c r="M342" s="228">
        <f>M343</f>
        <v>0</v>
      </c>
      <c r="N342" s="235">
        <f>N343</f>
        <v>51.604784804039426</v>
      </c>
      <c r="O342" s="166">
        <f t="shared" si="35"/>
        <v>74.50007519596058</v>
      </c>
    </row>
    <row r="343" spans="1:16" ht="15">
      <c r="A343" s="219" t="s">
        <v>547</v>
      </c>
      <c r="B343" s="218" t="s">
        <v>725</v>
      </c>
      <c r="C343" s="218" t="s">
        <v>420</v>
      </c>
      <c r="D343" s="218" t="s">
        <v>357</v>
      </c>
      <c r="E343" s="218" t="s">
        <v>788</v>
      </c>
      <c r="F343" s="218" t="s">
        <v>545</v>
      </c>
      <c r="G343" s="217" t="e">
        <f>H343-#REF!</f>
        <v>#REF!</v>
      </c>
      <c r="H343" s="217"/>
      <c r="I343" s="217"/>
      <c r="J343" s="215">
        <v>83.18</v>
      </c>
      <c r="K343" s="215">
        <v>42.92486</v>
      </c>
      <c r="L343" s="214">
        <f t="shared" si="34"/>
        <v>51.604784804039426</v>
      </c>
      <c r="M343" s="276"/>
      <c r="N343" s="235">
        <f>L343+M343</f>
        <v>51.604784804039426</v>
      </c>
      <c r="O343" s="166">
        <f t="shared" si="35"/>
        <v>74.50007519596058</v>
      </c>
      <c r="P343" s="321">
        <f>L343-O343</f>
        <v>-22.89529039192115</v>
      </c>
    </row>
    <row r="344" spans="1:15" ht="75">
      <c r="A344" s="219" t="s">
        <v>786</v>
      </c>
      <c r="B344" s="218" t="s">
        <v>725</v>
      </c>
      <c r="C344" s="218" t="s">
        <v>420</v>
      </c>
      <c r="D344" s="218" t="s">
        <v>357</v>
      </c>
      <c r="E344" s="218" t="s">
        <v>787</v>
      </c>
      <c r="F344" s="218"/>
      <c r="G344" s="217"/>
      <c r="H344" s="217"/>
      <c r="I344" s="217"/>
      <c r="J344" s="215">
        <f>J345</f>
        <v>1411.5</v>
      </c>
      <c r="K344" s="215">
        <f>K345</f>
        <v>1373.6771</v>
      </c>
      <c r="L344" s="214">
        <f t="shared" si="34"/>
        <v>97.32037548707049</v>
      </c>
      <c r="M344" s="276"/>
      <c r="N344" s="235"/>
      <c r="O344" s="166">
        <f t="shared" si="35"/>
        <v>2687.8567245129293</v>
      </c>
    </row>
    <row r="345" spans="1:16" ht="15">
      <c r="A345" s="219" t="s">
        <v>547</v>
      </c>
      <c r="B345" s="218" t="s">
        <v>725</v>
      </c>
      <c r="C345" s="218" t="s">
        <v>420</v>
      </c>
      <c r="D345" s="218" t="s">
        <v>357</v>
      </c>
      <c r="E345" s="331" t="s">
        <v>787</v>
      </c>
      <c r="F345" s="331" t="s">
        <v>545</v>
      </c>
      <c r="G345" s="217"/>
      <c r="H345" s="217"/>
      <c r="I345" s="217"/>
      <c r="J345" s="215">
        <v>1411.5</v>
      </c>
      <c r="K345" s="215">
        <v>1373.6771</v>
      </c>
      <c r="L345" s="214">
        <f t="shared" si="34"/>
        <v>97.32037548707049</v>
      </c>
      <c r="M345" s="276"/>
      <c r="N345" s="235"/>
      <c r="O345" s="166">
        <f t="shared" si="35"/>
        <v>2687.8567245129293</v>
      </c>
      <c r="P345" s="166">
        <f>K345</f>
        <v>1373.6771</v>
      </c>
    </row>
    <row r="346" spans="1:15" ht="29.25">
      <c r="A346" s="359" t="s">
        <v>421</v>
      </c>
      <c r="B346" s="143" t="s">
        <v>725</v>
      </c>
      <c r="C346" s="143" t="s">
        <v>420</v>
      </c>
      <c r="D346" s="143" t="s">
        <v>358</v>
      </c>
      <c r="E346" s="143"/>
      <c r="F346" s="143"/>
      <c r="G346" s="128">
        <f>G351+G347+G349</f>
        <v>6</v>
      </c>
      <c r="H346" s="128">
        <f>H351+H347+H349</f>
        <v>4331.9</v>
      </c>
      <c r="I346" s="128">
        <f>I351+I347+I349</f>
        <v>0</v>
      </c>
      <c r="J346" s="141">
        <f>J351+J347+J349+J354</f>
        <v>8644.28877</v>
      </c>
      <c r="K346" s="141">
        <f>K351+K347+K349+K354</f>
        <v>8497.36262</v>
      </c>
      <c r="L346" s="172">
        <f t="shared" si="34"/>
        <v>98.30030955802972</v>
      </c>
      <c r="M346" s="230">
        <f>M351+M347+M349</f>
        <v>182.5</v>
      </c>
      <c r="N346" s="229" t="e">
        <f>N351+N347+N349</f>
        <v>#DIV/0!</v>
      </c>
      <c r="O346" s="166">
        <f t="shared" si="35"/>
        <v>17043.35108044197</v>
      </c>
    </row>
    <row r="347" spans="1:15" ht="75">
      <c r="A347" s="313" t="s">
        <v>731</v>
      </c>
      <c r="B347" s="218" t="s">
        <v>725</v>
      </c>
      <c r="C347" s="218" t="s">
        <v>420</v>
      </c>
      <c r="D347" s="218" t="s">
        <v>358</v>
      </c>
      <c r="E347" s="218" t="s">
        <v>730</v>
      </c>
      <c r="F347" s="218"/>
      <c r="G347" s="216">
        <f>G348</f>
        <v>4570.299999999999</v>
      </c>
      <c r="H347" s="216">
        <f>H348</f>
        <v>0</v>
      </c>
      <c r="I347" s="216">
        <f>I348</f>
        <v>0</v>
      </c>
      <c r="J347" s="215">
        <f>J348</f>
        <v>8259.99413</v>
      </c>
      <c r="K347" s="215">
        <f>K348</f>
        <v>8122.0423</v>
      </c>
      <c r="L347" s="214">
        <f t="shared" si="34"/>
        <v>98.3298798058589</v>
      </c>
      <c r="M347" s="228">
        <f>M348</f>
        <v>250</v>
      </c>
      <c r="N347" s="227">
        <f>N348</f>
        <v>348.3298798058589</v>
      </c>
      <c r="O347" s="166">
        <f t="shared" si="35"/>
        <v>16283.706550194142</v>
      </c>
    </row>
    <row r="348" spans="1:15" ht="30">
      <c r="A348" s="342" t="s">
        <v>500</v>
      </c>
      <c r="B348" s="218" t="s">
        <v>725</v>
      </c>
      <c r="C348" s="218" t="s">
        <v>420</v>
      </c>
      <c r="D348" s="218" t="s">
        <v>358</v>
      </c>
      <c r="E348" s="218" t="s">
        <v>730</v>
      </c>
      <c r="F348" s="218" t="s">
        <v>498</v>
      </c>
      <c r="G348" s="216">
        <f>4569.9+0.4</f>
        <v>4570.299999999999</v>
      </c>
      <c r="H348" s="217"/>
      <c r="I348" s="216"/>
      <c r="J348" s="215">
        <v>8259.99413</v>
      </c>
      <c r="K348" s="215">
        <v>8122.0423</v>
      </c>
      <c r="L348" s="214">
        <f t="shared" si="34"/>
        <v>98.3298798058589</v>
      </c>
      <c r="M348" s="228">
        <v>250</v>
      </c>
      <c r="N348" s="235">
        <f>L348+M348</f>
        <v>348.3298798058589</v>
      </c>
      <c r="O348" s="166">
        <f t="shared" si="35"/>
        <v>16283.706550194142</v>
      </c>
    </row>
    <row r="349" spans="1:15" ht="80.25" customHeight="1" hidden="1">
      <c r="A349" s="219" t="s">
        <v>786</v>
      </c>
      <c r="B349" s="218" t="s">
        <v>725</v>
      </c>
      <c r="C349" s="218" t="s">
        <v>420</v>
      </c>
      <c r="D349" s="218" t="s">
        <v>358</v>
      </c>
      <c r="E349" s="218" t="s">
        <v>785</v>
      </c>
      <c r="F349" s="218"/>
      <c r="G349" s="216">
        <f>G350</f>
        <v>0</v>
      </c>
      <c r="H349" s="216">
        <f>H350</f>
        <v>0</v>
      </c>
      <c r="I349" s="216">
        <f>I350</f>
        <v>0</v>
      </c>
      <c r="J349" s="215">
        <f>J350</f>
        <v>0</v>
      </c>
      <c r="K349" s="215">
        <f>K350</f>
        <v>0</v>
      </c>
      <c r="L349" s="214" t="e">
        <f t="shared" si="34"/>
        <v>#DIV/0!</v>
      </c>
      <c r="M349" s="228">
        <f>M350</f>
        <v>0</v>
      </c>
      <c r="N349" s="227" t="e">
        <f>N350</f>
        <v>#DIV/0!</v>
      </c>
      <c r="O349" s="166" t="e">
        <f t="shared" si="35"/>
        <v>#DIV/0!</v>
      </c>
    </row>
    <row r="350" spans="1:15" ht="12.75" customHeight="1" hidden="1">
      <c r="A350" s="219" t="s">
        <v>547</v>
      </c>
      <c r="B350" s="218" t="s">
        <v>725</v>
      </c>
      <c r="C350" s="218" t="s">
        <v>420</v>
      </c>
      <c r="D350" s="218" t="s">
        <v>358</v>
      </c>
      <c r="E350" s="218" t="s">
        <v>785</v>
      </c>
      <c r="F350" s="218" t="s">
        <v>545</v>
      </c>
      <c r="G350" s="216">
        <v>0</v>
      </c>
      <c r="H350" s="217"/>
      <c r="I350" s="216">
        <v>0</v>
      </c>
      <c r="J350" s="215">
        <f>H350+I350</f>
        <v>0</v>
      </c>
      <c r="K350" s="215">
        <v>0</v>
      </c>
      <c r="L350" s="214" t="e">
        <f t="shared" si="34"/>
        <v>#DIV/0!</v>
      </c>
      <c r="M350" s="228">
        <v>0</v>
      </c>
      <c r="N350" s="235" t="e">
        <f>L350+M350</f>
        <v>#DIV/0!</v>
      </c>
      <c r="O350" s="166" t="e">
        <f t="shared" si="35"/>
        <v>#DIV/0!</v>
      </c>
    </row>
    <row r="351" spans="1:15" ht="30" hidden="1">
      <c r="A351" s="342" t="s">
        <v>784</v>
      </c>
      <c r="B351" s="218" t="s">
        <v>725</v>
      </c>
      <c r="C351" s="218" t="s">
        <v>420</v>
      </c>
      <c r="D351" s="218" t="s">
        <v>358</v>
      </c>
      <c r="E351" s="218" t="s">
        <v>783</v>
      </c>
      <c r="F351" s="218"/>
      <c r="G351" s="216">
        <f aca="true" t="shared" si="38" ref="G351:K352">G352</f>
        <v>-4564.299999999999</v>
      </c>
      <c r="H351" s="216">
        <f t="shared" si="38"/>
        <v>4331.9</v>
      </c>
      <c r="I351" s="216">
        <f t="shared" si="38"/>
        <v>0</v>
      </c>
      <c r="J351" s="215">
        <f t="shared" si="38"/>
        <v>0</v>
      </c>
      <c r="K351" s="215">
        <f t="shared" si="38"/>
        <v>0</v>
      </c>
      <c r="L351" s="214" t="e">
        <f t="shared" si="34"/>
        <v>#DIV/0!</v>
      </c>
      <c r="M351" s="228">
        <f>M352</f>
        <v>-67.5</v>
      </c>
      <c r="N351" s="227" t="e">
        <f>N352</f>
        <v>#DIV/0!</v>
      </c>
      <c r="O351" s="166" t="e">
        <f t="shared" si="35"/>
        <v>#DIV/0!</v>
      </c>
    </row>
    <row r="352" spans="1:15" ht="30" hidden="1">
      <c r="A352" s="342" t="s">
        <v>501</v>
      </c>
      <c r="B352" s="218" t="s">
        <v>725</v>
      </c>
      <c r="C352" s="218" t="s">
        <v>420</v>
      </c>
      <c r="D352" s="218" t="s">
        <v>358</v>
      </c>
      <c r="E352" s="218" t="s">
        <v>782</v>
      </c>
      <c r="F352" s="218"/>
      <c r="G352" s="216">
        <f t="shared" si="38"/>
        <v>-4564.299999999999</v>
      </c>
      <c r="H352" s="216">
        <f t="shared" si="38"/>
        <v>4331.9</v>
      </c>
      <c r="I352" s="216">
        <f t="shared" si="38"/>
        <v>0</v>
      </c>
      <c r="J352" s="215">
        <f t="shared" si="38"/>
        <v>0</v>
      </c>
      <c r="K352" s="215">
        <f t="shared" si="38"/>
        <v>0</v>
      </c>
      <c r="L352" s="214" t="e">
        <f t="shared" si="34"/>
        <v>#DIV/0!</v>
      </c>
      <c r="M352" s="228">
        <f>M353</f>
        <v>-67.5</v>
      </c>
      <c r="N352" s="227" t="e">
        <f>N353</f>
        <v>#DIV/0!</v>
      </c>
      <c r="O352" s="166" t="e">
        <f t="shared" si="35"/>
        <v>#DIV/0!</v>
      </c>
    </row>
    <row r="353" spans="1:15" ht="30" hidden="1">
      <c r="A353" s="342" t="s">
        <v>500</v>
      </c>
      <c r="B353" s="218" t="s">
        <v>725</v>
      </c>
      <c r="C353" s="218" t="s">
        <v>420</v>
      </c>
      <c r="D353" s="218" t="s">
        <v>358</v>
      </c>
      <c r="E353" s="218" t="s">
        <v>782</v>
      </c>
      <c r="F353" s="218" t="s">
        <v>498</v>
      </c>
      <c r="G353" s="216">
        <f>6-15.4-4569.9+15</f>
        <v>-4564.299999999999</v>
      </c>
      <c r="H353" s="217">
        <v>4331.9</v>
      </c>
      <c r="I353" s="216"/>
      <c r="J353" s="215"/>
      <c r="K353" s="215"/>
      <c r="L353" s="214" t="e">
        <f t="shared" si="34"/>
        <v>#DIV/0!</v>
      </c>
      <c r="M353" s="228">
        <f>-17.5-50</f>
        <v>-67.5</v>
      </c>
      <c r="N353" s="235" t="e">
        <f>L353+M353</f>
        <v>#DIV/0!</v>
      </c>
      <c r="O353" s="166" t="e">
        <f t="shared" si="35"/>
        <v>#DIV/0!</v>
      </c>
    </row>
    <row r="354" spans="1:15" ht="30">
      <c r="A354" s="342" t="s">
        <v>501</v>
      </c>
      <c r="B354" s="218" t="s">
        <v>725</v>
      </c>
      <c r="C354" s="218" t="s">
        <v>420</v>
      </c>
      <c r="D354" s="218" t="s">
        <v>358</v>
      </c>
      <c r="E354" s="218" t="s">
        <v>781</v>
      </c>
      <c r="F354" s="218"/>
      <c r="G354" s="216"/>
      <c r="H354" s="217"/>
      <c r="I354" s="216"/>
      <c r="J354" s="215">
        <f>J355</f>
        <v>384.29464</v>
      </c>
      <c r="K354" s="215">
        <f>K355</f>
        <v>375.32032</v>
      </c>
      <c r="L354" s="214">
        <f t="shared" si="34"/>
        <v>97.66472933372164</v>
      </c>
      <c r="M354" s="228"/>
      <c r="N354" s="235"/>
      <c r="O354" s="166">
        <f t="shared" si="35"/>
        <v>661.9502306662783</v>
      </c>
    </row>
    <row r="355" spans="1:16" ht="30">
      <c r="A355" s="342" t="s">
        <v>500</v>
      </c>
      <c r="B355" s="218" t="s">
        <v>725</v>
      </c>
      <c r="C355" s="218" t="s">
        <v>420</v>
      </c>
      <c r="D355" s="218" t="s">
        <v>358</v>
      </c>
      <c r="E355" s="218" t="s">
        <v>781</v>
      </c>
      <c r="F355" s="218" t="s">
        <v>498</v>
      </c>
      <c r="G355" s="216"/>
      <c r="H355" s="217"/>
      <c r="I355" s="216"/>
      <c r="J355" s="215">
        <v>384.29464</v>
      </c>
      <c r="K355" s="215">
        <v>375.32032</v>
      </c>
      <c r="L355" s="214">
        <f t="shared" si="34"/>
        <v>97.66472933372164</v>
      </c>
      <c r="M355" s="228"/>
      <c r="N355" s="235"/>
      <c r="O355" s="166">
        <f t="shared" si="35"/>
        <v>661.9502306662783</v>
      </c>
      <c r="P355" s="190">
        <f>L355-O355</f>
        <v>-564.2855013325567</v>
      </c>
    </row>
    <row r="356" spans="1:15" ht="29.25">
      <c r="A356" s="358" t="s">
        <v>780</v>
      </c>
      <c r="B356" s="143" t="s">
        <v>725</v>
      </c>
      <c r="C356" s="143" t="s">
        <v>420</v>
      </c>
      <c r="D356" s="143" t="s">
        <v>360</v>
      </c>
      <c r="E356" s="143"/>
      <c r="F356" s="143"/>
      <c r="G356" s="167">
        <f>G359+G405+G357</f>
        <v>3317.9229300000006</v>
      </c>
      <c r="H356" s="167">
        <f>H359+H405+H357</f>
        <v>34738.200000000004</v>
      </c>
      <c r="I356" s="167">
        <f>I359+I405+I357</f>
        <v>0</v>
      </c>
      <c r="J356" s="141">
        <f>J359+J405+J357</f>
        <v>48809.16211</v>
      </c>
      <c r="K356" s="141">
        <f>K359+K405+K357</f>
        <v>48608.09897</v>
      </c>
      <c r="L356" s="172">
        <f t="shared" si="34"/>
        <v>99.58806270931908</v>
      </c>
      <c r="M356" s="314">
        <f>M359+M405+M357</f>
        <v>122</v>
      </c>
      <c r="N356" s="343" t="e">
        <f>N359+N405+N357</f>
        <v>#DIV/0!</v>
      </c>
      <c r="O356" s="166">
        <f t="shared" si="35"/>
        <v>97317.67301729068</v>
      </c>
    </row>
    <row r="357" spans="1:15" ht="75" customHeight="1" hidden="1">
      <c r="A357" s="357" t="s">
        <v>779</v>
      </c>
      <c r="B357" s="143" t="s">
        <v>725</v>
      </c>
      <c r="C357" s="143" t="s">
        <v>420</v>
      </c>
      <c r="D357" s="143" t="s">
        <v>360</v>
      </c>
      <c r="E357" s="143" t="s">
        <v>778</v>
      </c>
      <c r="F357" s="143"/>
      <c r="G357" s="128">
        <f>G358</f>
        <v>3</v>
      </c>
      <c r="H357" s="128">
        <f>H358</f>
        <v>0</v>
      </c>
      <c r="I357" s="128">
        <f>I358</f>
        <v>0</v>
      </c>
      <c r="J357" s="141">
        <f>J358</f>
        <v>0</v>
      </c>
      <c r="K357" s="141">
        <f>K358</f>
        <v>0</v>
      </c>
      <c r="L357" s="214" t="e">
        <f t="shared" si="34"/>
        <v>#DIV/0!</v>
      </c>
      <c r="M357" s="230">
        <f>M358</f>
        <v>0</v>
      </c>
      <c r="N357" s="229" t="e">
        <f>N358</f>
        <v>#DIV/0!</v>
      </c>
      <c r="O357" s="166" t="e">
        <f t="shared" si="35"/>
        <v>#DIV/0!</v>
      </c>
    </row>
    <row r="358" spans="1:15" ht="15" customHeight="1" hidden="1">
      <c r="A358" s="219" t="s">
        <v>547</v>
      </c>
      <c r="B358" s="143" t="s">
        <v>725</v>
      </c>
      <c r="C358" s="143" t="s">
        <v>420</v>
      </c>
      <c r="D358" s="143" t="s">
        <v>360</v>
      </c>
      <c r="E358" s="143" t="s">
        <v>778</v>
      </c>
      <c r="F358" s="143" t="s">
        <v>545</v>
      </c>
      <c r="G358" s="128">
        <v>3</v>
      </c>
      <c r="H358" s="217"/>
      <c r="I358" s="128"/>
      <c r="J358" s="215">
        <f>H358+I358</f>
        <v>0</v>
      </c>
      <c r="K358" s="141"/>
      <c r="L358" s="214" t="e">
        <f t="shared" si="34"/>
        <v>#DIV/0!</v>
      </c>
      <c r="M358" s="230"/>
      <c r="N358" s="235" t="e">
        <f>L358+M358</f>
        <v>#DIV/0!</v>
      </c>
      <c r="O358" s="166" t="e">
        <f t="shared" si="35"/>
        <v>#DIV/0!</v>
      </c>
    </row>
    <row r="359" spans="1:15" ht="15">
      <c r="A359" s="356" t="s">
        <v>777</v>
      </c>
      <c r="B359" s="218" t="s">
        <v>725</v>
      </c>
      <c r="C359" s="218" t="s">
        <v>420</v>
      </c>
      <c r="D359" s="218" t="s">
        <v>360</v>
      </c>
      <c r="E359" s="218" t="s">
        <v>776</v>
      </c>
      <c r="F359" s="218"/>
      <c r="G359" s="299">
        <f>G360+G362+G365++G367+G369+G371+G374+G377+G379+G381++G384+G397+G399+G401+G403+G395</f>
        <v>6827.922930000001</v>
      </c>
      <c r="H359" s="299">
        <f>H360+H362+H365++H367+H369+H371+H374+H377+H379+H381++H384+H397+H399+H401+H403+H395</f>
        <v>31056.600000000002</v>
      </c>
      <c r="I359" s="299">
        <f>I360+I362+I365++I367+I369+I371+I374+I377+I379+I381++I384+I397+I399+I401+I403+I395</f>
        <v>0</v>
      </c>
      <c r="J359" s="215">
        <f>J360+J362+J365++J367+J369+J371+J374+J377+J379+J381++J384+J397+J399+J401+J403+J395+J388+J390+J392</f>
        <v>48809.16211</v>
      </c>
      <c r="K359" s="215">
        <f>K360+K362+K365++K367+K369+K371+K374+K377+K379+K381++K384+K397+K399+K401+K403+K395+K388+K390+K392</f>
        <v>48608.09897</v>
      </c>
      <c r="L359" s="214">
        <f t="shared" si="34"/>
        <v>99.58806270931908</v>
      </c>
      <c r="M359" s="298">
        <f>M360+M362+M365++M367+M369+M371+M374+M377+M379+M381++M384+M397+M399+M401+M403+M395</f>
        <v>122</v>
      </c>
      <c r="N359" s="300" t="e">
        <f>N360+N362+N365++N367+N369+N371+N374+N377+N379+N381++N384+N397+N399+N401+N403+N395</f>
        <v>#DIV/0!</v>
      </c>
      <c r="O359" s="166">
        <f t="shared" si="35"/>
        <v>97317.67301729068</v>
      </c>
    </row>
    <row r="360" spans="1:15" ht="90" hidden="1">
      <c r="A360" s="219" t="s">
        <v>775</v>
      </c>
      <c r="B360" s="218" t="s">
        <v>725</v>
      </c>
      <c r="C360" s="218" t="s">
        <v>420</v>
      </c>
      <c r="D360" s="218" t="s">
        <v>360</v>
      </c>
      <c r="E360" s="218" t="s">
        <v>774</v>
      </c>
      <c r="F360" s="218"/>
      <c r="G360" s="216">
        <f>G361</f>
        <v>-206</v>
      </c>
      <c r="H360" s="216">
        <f>H361</f>
        <v>215.9</v>
      </c>
      <c r="I360" s="216">
        <f>I361</f>
        <v>0</v>
      </c>
      <c r="J360" s="215">
        <f>J361</f>
        <v>0</v>
      </c>
      <c r="K360" s="215">
        <f>K361</f>
        <v>0</v>
      </c>
      <c r="L360" s="214" t="e">
        <f t="shared" si="34"/>
        <v>#DIV/0!</v>
      </c>
      <c r="M360" s="228">
        <f>M361</f>
        <v>0</v>
      </c>
      <c r="N360" s="227" t="e">
        <f>N361</f>
        <v>#DIV/0!</v>
      </c>
      <c r="O360" s="166" t="e">
        <f t="shared" si="35"/>
        <v>#DIV/0!</v>
      </c>
    </row>
    <row r="361" spans="1:15" ht="15" hidden="1">
      <c r="A361" s="219" t="s">
        <v>547</v>
      </c>
      <c r="B361" s="218" t="s">
        <v>725</v>
      </c>
      <c r="C361" s="218" t="s">
        <v>420</v>
      </c>
      <c r="D361" s="218" t="s">
        <v>360</v>
      </c>
      <c r="E361" s="218" t="s">
        <v>774</v>
      </c>
      <c r="F361" s="218" t="s">
        <v>545</v>
      </c>
      <c r="G361" s="216">
        <v>-206</v>
      </c>
      <c r="H361" s="217">
        <v>215.9</v>
      </c>
      <c r="I361" s="216"/>
      <c r="J361" s="215"/>
      <c r="K361" s="215"/>
      <c r="L361" s="214" t="e">
        <f t="shared" si="34"/>
        <v>#DIV/0!</v>
      </c>
      <c r="M361" s="228"/>
      <c r="N361" s="235" t="e">
        <f>L361+M361</f>
        <v>#DIV/0!</v>
      </c>
      <c r="O361" s="166" t="e">
        <f t="shared" si="35"/>
        <v>#DIV/0!</v>
      </c>
    </row>
    <row r="362" spans="1:15" ht="45">
      <c r="A362" s="219" t="s">
        <v>773</v>
      </c>
      <c r="B362" s="218" t="s">
        <v>725</v>
      </c>
      <c r="C362" s="218" t="s">
        <v>420</v>
      </c>
      <c r="D362" s="218" t="s">
        <v>360</v>
      </c>
      <c r="E362" s="218" t="s">
        <v>772</v>
      </c>
      <c r="F362" s="218"/>
      <c r="G362" s="299">
        <f>G363+G364</f>
        <v>27.99813</v>
      </c>
      <c r="H362" s="299">
        <f>H363+H364</f>
        <v>87.7</v>
      </c>
      <c r="I362" s="299">
        <f>I363+I364</f>
        <v>0</v>
      </c>
      <c r="J362" s="215">
        <f>J363+J364</f>
        <v>139.07611</v>
      </c>
      <c r="K362" s="215">
        <f>K363+K364</f>
        <v>138.63463</v>
      </c>
      <c r="L362" s="214">
        <f t="shared" si="34"/>
        <v>99.68256230347541</v>
      </c>
      <c r="M362" s="298">
        <f>M363+M364</f>
        <v>0</v>
      </c>
      <c r="N362" s="300" t="e">
        <f>N363+N364</f>
        <v>#DIV/0!</v>
      </c>
      <c r="O362" s="166">
        <f t="shared" si="35"/>
        <v>178.02817769652458</v>
      </c>
    </row>
    <row r="363" spans="1:15" ht="30" hidden="1">
      <c r="A363" s="219" t="s">
        <v>500</v>
      </c>
      <c r="B363" s="218" t="s">
        <v>725</v>
      </c>
      <c r="C363" s="218" t="s">
        <v>420</v>
      </c>
      <c r="D363" s="218" t="s">
        <v>360</v>
      </c>
      <c r="E363" s="218" t="s">
        <v>772</v>
      </c>
      <c r="F363" s="218" t="s">
        <v>498</v>
      </c>
      <c r="G363" s="216"/>
      <c r="H363" s="217">
        <v>87.7</v>
      </c>
      <c r="I363" s="216"/>
      <c r="J363" s="215"/>
      <c r="K363" s="215"/>
      <c r="L363" s="214" t="e">
        <f t="shared" si="34"/>
        <v>#DIV/0!</v>
      </c>
      <c r="M363" s="228"/>
      <c r="N363" s="235" t="e">
        <f>L363+M363</f>
        <v>#DIV/0!</v>
      </c>
      <c r="O363" s="166" t="e">
        <f t="shared" si="35"/>
        <v>#DIV/0!</v>
      </c>
    </row>
    <row r="364" spans="1:16" ht="15">
      <c r="A364" s="219" t="s">
        <v>547</v>
      </c>
      <c r="B364" s="218" t="s">
        <v>725</v>
      </c>
      <c r="C364" s="218" t="s">
        <v>420</v>
      </c>
      <c r="D364" s="218" t="s">
        <v>360</v>
      </c>
      <c r="E364" s="218" t="s">
        <v>772</v>
      </c>
      <c r="F364" s="218" t="s">
        <v>545</v>
      </c>
      <c r="G364" s="216">
        <v>27.99813</v>
      </c>
      <c r="H364" s="217"/>
      <c r="I364" s="216"/>
      <c r="J364" s="215">
        <v>139.07611</v>
      </c>
      <c r="K364" s="215">
        <v>138.63463</v>
      </c>
      <c r="L364" s="214">
        <f t="shared" si="34"/>
        <v>99.68256230347541</v>
      </c>
      <c r="M364" s="228"/>
      <c r="N364" s="235">
        <f>L364+M364</f>
        <v>99.68256230347541</v>
      </c>
      <c r="O364" s="166">
        <f t="shared" si="35"/>
        <v>178.02817769652458</v>
      </c>
      <c r="P364" s="166">
        <f>K364</f>
        <v>138.63463</v>
      </c>
    </row>
    <row r="365" spans="1:15" ht="30" hidden="1">
      <c r="A365" s="226" t="s">
        <v>751</v>
      </c>
      <c r="B365" s="218" t="s">
        <v>725</v>
      </c>
      <c r="C365" s="218" t="s">
        <v>420</v>
      </c>
      <c r="D365" s="218" t="s">
        <v>360</v>
      </c>
      <c r="E365" s="218" t="s">
        <v>771</v>
      </c>
      <c r="F365" s="218"/>
      <c r="G365" s="216">
        <f>G366</f>
        <v>0</v>
      </c>
      <c r="H365" s="216">
        <f>H366</f>
        <v>7457.6</v>
      </c>
      <c r="I365" s="216">
        <f>I366</f>
        <v>0</v>
      </c>
      <c r="J365" s="215">
        <f>J366</f>
        <v>0</v>
      </c>
      <c r="K365" s="215">
        <f>K366</f>
        <v>0</v>
      </c>
      <c r="L365" s="214" t="e">
        <f t="shared" si="34"/>
        <v>#DIV/0!</v>
      </c>
      <c r="M365" s="228">
        <f>M366</f>
        <v>0</v>
      </c>
      <c r="N365" s="227" t="e">
        <f>N366</f>
        <v>#DIV/0!</v>
      </c>
      <c r="O365" s="166" t="e">
        <f t="shared" si="35"/>
        <v>#DIV/0!</v>
      </c>
    </row>
    <row r="366" spans="1:15" ht="15" hidden="1">
      <c r="A366" s="226" t="s">
        <v>750</v>
      </c>
      <c r="B366" s="218" t="s">
        <v>725</v>
      </c>
      <c r="C366" s="218" t="s">
        <v>420</v>
      </c>
      <c r="D366" s="218" t="s">
        <v>360</v>
      </c>
      <c r="E366" s="218" t="s">
        <v>771</v>
      </c>
      <c r="F366" s="218" t="s">
        <v>545</v>
      </c>
      <c r="G366" s="216">
        <f>-2752.3+2752.3</f>
        <v>0</v>
      </c>
      <c r="H366" s="217">
        <v>7457.6</v>
      </c>
      <c r="I366" s="216"/>
      <c r="J366" s="215"/>
      <c r="K366" s="215"/>
      <c r="L366" s="214" t="e">
        <f t="shared" si="34"/>
        <v>#DIV/0!</v>
      </c>
      <c r="M366" s="228"/>
      <c r="N366" s="235" t="e">
        <f>L366+M366</f>
        <v>#DIV/0!</v>
      </c>
      <c r="O366" s="166" t="e">
        <f t="shared" si="35"/>
        <v>#DIV/0!</v>
      </c>
    </row>
    <row r="367" spans="1:15" ht="15" hidden="1">
      <c r="A367" s="313" t="s">
        <v>750</v>
      </c>
      <c r="B367" s="218" t="s">
        <v>725</v>
      </c>
      <c r="C367" s="218" t="s">
        <v>420</v>
      </c>
      <c r="D367" s="218" t="s">
        <v>360</v>
      </c>
      <c r="E367" s="218" t="s">
        <v>770</v>
      </c>
      <c r="F367" s="218"/>
      <c r="G367" s="299">
        <f>G368</f>
        <v>353.22045</v>
      </c>
      <c r="H367" s="299">
        <f>H368</f>
        <v>0</v>
      </c>
      <c r="I367" s="299">
        <f>I368</f>
        <v>0</v>
      </c>
      <c r="J367" s="215">
        <f>J368</f>
        <v>0</v>
      </c>
      <c r="K367" s="215">
        <f>K368</f>
        <v>0</v>
      </c>
      <c r="L367" s="214" t="e">
        <f t="shared" si="34"/>
        <v>#DIV/0!</v>
      </c>
      <c r="M367" s="298">
        <f>M368</f>
        <v>0</v>
      </c>
      <c r="N367" s="300" t="e">
        <f>N368</f>
        <v>#DIV/0!</v>
      </c>
      <c r="O367" s="166" t="e">
        <f t="shared" si="35"/>
        <v>#DIV/0!</v>
      </c>
    </row>
    <row r="368" spans="1:15" ht="15" hidden="1">
      <c r="A368" s="219" t="s">
        <v>547</v>
      </c>
      <c r="B368" s="218" t="s">
        <v>725</v>
      </c>
      <c r="C368" s="218" t="s">
        <v>420</v>
      </c>
      <c r="D368" s="218" t="s">
        <v>360</v>
      </c>
      <c r="E368" s="218" t="s">
        <v>770</v>
      </c>
      <c r="F368" s="218" t="s">
        <v>545</v>
      </c>
      <c r="G368" s="299">
        <v>353.22045</v>
      </c>
      <c r="H368" s="217"/>
      <c r="I368" s="299"/>
      <c r="J368" s="215"/>
      <c r="K368" s="215"/>
      <c r="L368" s="214" t="e">
        <f t="shared" si="34"/>
        <v>#DIV/0!</v>
      </c>
      <c r="M368" s="298"/>
      <c r="N368" s="235" t="e">
        <f>L368+M368</f>
        <v>#DIV/0!</v>
      </c>
      <c r="O368" s="166" t="e">
        <f t="shared" si="35"/>
        <v>#DIV/0!</v>
      </c>
    </row>
    <row r="369" spans="1:15" ht="45" hidden="1">
      <c r="A369" s="313" t="s">
        <v>748</v>
      </c>
      <c r="B369" s="218" t="s">
        <v>725</v>
      </c>
      <c r="C369" s="218" t="s">
        <v>420</v>
      </c>
      <c r="D369" s="218" t="s">
        <v>360</v>
      </c>
      <c r="E369" s="218" t="s">
        <v>769</v>
      </c>
      <c r="F369" s="218"/>
      <c r="G369" s="299">
        <f>G370</f>
        <v>909.37545</v>
      </c>
      <c r="H369" s="216">
        <f>H370</f>
        <v>0</v>
      </c>
      <c r="I369" s="299">
        <f>I370</f>
        <v>0</v>
      </c>
      <c r="J369" s="215">
        <f>J370</f>
        <v>0</v>
      </c>
      <c r="K369" s="215">
        <f>K370</f>
        <v>0</v>
      </c>
      <c r="L369" s="214" t="e">
        <f t="shared" si="34"/>
        <v>#DIV/0!</v>
      </c>
      <c r="M369" s="298">
        <f>M370</f>
        <v>0</v>
      </c>
      <c r="N369" s="227" t="e">
        <f>N370</f>
        <v>#DIV/0!</v>
      </c>
      <c r="O369" s="166" t="e">
        <f t="shared" si="35"/>
        <v>#DIV/0!</v>
      </c>
    </row>
    <row r="370" spans="1:15" ht="15" hidden="1">
      <c r="A370" s="219" t="s">
        <v>547</v>
      </c>
      <c r="B370" s="218" t="s">
        <v>725</v>
      </c>
      <c r="C370" s="218" t="s">
        <v>420</v>
      </c>
      <c r="D370" s="218" t="s">
        <v>360</v>
      </c>
      <c r="E370" s="218" t="s">
        <v>769</v>
      </c>
      <c r="F370" s="218" t="s">
        <v>545</v>
      </c>
      <c r="G370" s="299">
        <f>0.17545+909.2</f>
        <v>909.37545</v>
      </c>
      <c r="H370" s="217"/>
      <c r="I370" s="299"/>
      <c r="J370" s="215"/>
      <c r="K370" s="215"/>
      <c r="L370" s="214" t="e">
        <f t="shared" si="34"/>
        <v>#DIV/0!</v>
      </c>
      <c r="M370" s="298"/>
      <c r="N370" s="235" t="e">
        <f>L370+M370</f>
        <v>#DIV/0!</v>
      </c>
      <c r="O370" s="166" t="e">
        <f t="shared" si="35"/>
        <v>#DIV/0!</v>
      </c>
    </row>
    <row r="371" spans="1:15" ht="45" hidden="1">
      <c r="A371" s="226" t="s">
        <v>748</v>
      </c>
      <c r="B371" s="218" t="s">
        <v>725</v>
      </c>
      <c r="C371" s="218" t="s">
        <v>420</v>
      </c>
      <c r="D371" s="218" t="s">
        <v>360</v>
      </c>
      <c r="E371" s="218" t="s">
        <v>768</v>
      </c>
      <c r="F371" s="218"/>
      <c r="G371" s="299">
        <f>G372+G373</f>
        <v>-997.68505</v>
      </c>
      <c r="H371" s="299">
        <f>H372+H373</f>
        <v>1557.3</v>
      </c>
      <c r="I371" s="299">
        <f>I372+I373</f>
        <v>0</v>
      </c>
      <c r="J371" s="215">
        <f>J372+J373</f>
        <v>0</v>
      </c>
      <c r="K371" s="215">
        <f>K372+K373</f>
        <v>0</v>
      </c>
      <c r="L371" s="214" t="e">
        <f t="shared" si="34"/>
        <v>#DIV/0!</v>
      </c>
      <c r="M371" s="298">
        <f>M372+M373</f>
        <v>0</v>
      </c>
      <c r="N371" s="300" t="e">
        <f>N372+N373</f>
        <v>#DIV/0!</v>
      </c>
      <c r="O371" s="166" t="e">
        <f t="shared" si="35"/>
        <v>#DIV/0!</v>
      </c>
    </row>
    <row r="372" spans="1:15" ht="30" hidden="1">
      <c r="A372" s="226" t="s">
        <v>767</v>
      </c>
      <c r="B372" s="218" t="s">
        <v>725</v>
      </c>
      <c r="C372" s="218" t="s">
        <v>420</v>
      </c>
      <c r="D372" s="218" t="s">
        <v>360</v>
      </c>
      <c r="E372" s="218" t="s">
        <v>765</v>
      </c>
      <c r="F372" s="218" t="s">
        <v>545</v>
      </c>
      <c r="G372" s="299">
        <f>1.51495-90+486.8</f>
        <v>398.31495</v>
      </c>
      <c r="H372" s="217">
        <v>1557.3</v>
      </c>
      <c r="I372" s="299"/>
      <c r="J372" s="215"/>
      <c r="K372" s="215"/>
      <c r="L372" s="214" t="e">
        <f t="shared" si="34"/>
        <v>#DIV/0!</v>
      </c>
      <c r="M372" s="298"/>
      <c r="N372" s="235" t="e">
        <f>L372+M372</f>
        <v>#DIV/0!</v>
      </c>
      <c r="O372" s="166" t="e">
        <f t="shared" si="35"/>
        <v>#DIV/0!</v>
      </c>
    </row>
    <row r="373" spans="1:15" ht="30" hidden="1">
      <c r="A373" s="226" t="s">
        <v>766</v>
      </c>
      <c r="B373" s="218" t="s">
        <v>725</v>
      </c>
      <c r="C373" s="218" t="s">
        <v>420</v>
      </c>
      <c r="D373" s="218" t="s">
        <v>360</v>
      </c>
      <c r="E373" s="218" t="s">
        <v>765</v>
      </c>
      <c r="F373" s="218" t="s">
        <v>545</v>
      </c>
      <c r="G373" s="216">
        <v>-1396</v>
      </c>
      <c r="H373" s="217"/>
      <c r="I373" s="216"/>
      <c r="J373" s="215"/>
      <c r="K373" s="215"/>
      <c r="L373" s="214" t="e">
        <f t="shared" si="34"/>
        <v>#DIV/0!</v>
      </c>
      <c r="M373" s="228"/>
      <c r="N373" s="235" t="e">
        <f>L373+M373</f>
        <v>#DIV/0!</v>
      </c>
      <c r="O373" s="166" t="e">
        <f t="shared" si="35"/>
        <v>#DIV/0!</v>
      </c>
    </row>
    <row r="374" spans="1:15" ht="150" customHeight="1">
      <c r="A374" s="219" t="s">
        <v>764</v>
      </c>
      <c r="B374" s="218" t="s">
        <v>725</v>
      </c>
      <c r="C374" s="218" t="s">
        <v>420</v>
      </c>
      <c r="D374" s="218" t="s">
        <v>360</v>
      </c>
      <c r="E374" s="218" t="s">
        <v>763</v>
      </c>
      <c r="F374" s="218"/>
      <c r="G374" s="216">
        <f>G376</f>
        <v>0</v>
      </c>
      <c r="H374" s="216">
        <f>H376</f>
        <v>809.6</v>
      </c>
      <c r="I374" s="216">
        <f>I376</f>
        <v>0</v>
      </c>
      <c r="J374" s="215">
        <f>J376+J375</f>
        <v>2232</v>
      </c>
      <c r="K374" s="215">
        <f>K376+K375</f>
        <v>2232</v>
      </c>
      <c r="L374" s="214">
        <f t="shared" si="34"/>
        <v>100</v>
      </c>
      <c r="M374" s="228">
        <f>M376</f>
        <v>0</v>
      </c>
      <c r="N374" s="227">
        <f>N376</f>
        <v>100</v>
      </c>
      <c r="O374" s="166">
        <f t="shared" si="35"/>
        <v>4364</v>
      </c>
    </row>
    <row r="375" spans="1:15" ht="15">
      <c r="A375" s="219" t="s">
        <v>547</v>
      </c>
      <c r="B375" s="218" t="s">
        <v>725</v>
      </c>
      <c r="C375" s="218" t="s">
        <v>420</v>
      </c>
      <c r="D375" s="218" t="s">
        <v>360</v>
      </c>
      <c r="E375" s="218" t="s">
        <v>762</v>
      </c>
      <c r="F375" s="218" t="s">
        <v>545</v>
      </c>
      <c r="G375" s="216"/>
      <c r="H375" s="216"/>
      <c r="I375" s="216"/>
      <c r="J375" s="215">
        <v>1116</v>
      </c>
      <c r="K375" s="215">
        <v>1116</v>
      </c>
      <c r="L375" s="214">
        <f t="shared" si="34"/>
        <v>100</v>
      </c>
      <c r="M375" s="228"/>
      <c r="N375" s="227"/>
      <c r="O375" s="166">
        <f t="shared" si="35"/>
        <v>2132</v>
      </c>
    </row>
    <row r="376" spans="1:16" ht="15">
      <c r="A376" s="219" t="s">
        <v>547</v>
      </c>
      <c r="B376" s="218" t="s">
        <v>725</v>
      </c>
      <c r="C376" s="218" t="s">
        <v>420</v>
      </c>
      <c r="D376" s="218" t="s">
        <v>360</v>
      </c>
      <c r="E376" s="218" t="s">
        <v>761</v>
      </c>
      <c r="F376" s="218" t="s">
        <v>545</v>
      </c>
      <c r="G376" s="216"/>
      <c r="H376" s="217">
        <v>809.6</v>
      </c>
      <c r="I376" s="216"/>
      <c r="J376" s="215">
        <v>1116</v>
      </c>
      <c r="K376" s="215">
        <v>1116</v>
      </c>
      <c r="L376" s="214">
        <f t="shared" si="34"/>
        <v>100</v>
      </c>
      <c r="M376" s="228"/>
      <c r="N376" s="235">
        <f>L376+M376</f>
        <v>100</v>
      </c>
      <c r="O376" s="166">
        <f t="shared" si="35"/>
        <v>2132</v>
      </c>
      <c r="P376" s="166">
        <f>K376</f>
        <v>1116</v>
      </c>
    </row>
    <row r="377" spans="1:15" ht="12" customHeight="1" hidden="1">
      <c r="A377" s="219" t="s">
        <v>760</v>
      </c>
      <c r="B377" s="218" t="s">
        <v>725</v>
      </c>
      <c r="C377" s="218" t="s">
        <v>420</v>
      </c>
      <c r="D377" s="218" t="s">
        <v>360</v>
      </c>
      <c r="E377" s="218" t="s">
        <v>759</v>
      </c>
      <c r="F377" s="218"/>
      <c r="G377" s="299">
        <f>G378</f>
        <v>12.43358</v>
      </c>
      <c r="H377" s="299">
        <f>H378</f>
        <v>63.5</v>
      </c>
      <c r="I377" s="299">
        <f>I378</f>
        <v>0</v>
      </c>
      <c r="J377" s="215">
        <f>J378</f>
        <v>0</v>
      </c>
      <c r="K377" s="215">
        <f>K378</f>
        <v>0</v>
      </c>
      <c r="L377" s="214" t="e">
        <f t="shared" si="34"/>
        <v>#DIV/0!</v>
      </c>
      <c r="M377" s="298">
        <f>M378</f>
        <v>0</v>
      </c>
      <c r="N377" s="300" t="e">
        <f>N378</f>
        <v>#DIV/0!</v>
      </c>
      <c r="O377" s="166" t="e">
        <f t="shared" si="35"/>
        <v>#DIV/0!</v>
      </c>
    </row>
    <row r="378" spans="1:15" ht="17.25" customHeight="1" hidden="1">
      <c r="A378" s="219" t="s">
        <v>547</v>
      </c>
      <c r="B378" s="218" t="s">
        <v>725</v>
      </c>
      <c r="C378" s="218" t="s">
        <v>420</v>
      </c>
      <c r="D378" s="218" t="s">
        <v>360</v>
      </c>
      <c r="E378" s="218" t="s">
        <v>759</v>
      </c>
      <c r="F378" s="218" t="s">
        <v>545</v>
      </c>
      <c r="G378" s="299">
        <v>12.43358</v>
      </c>
      <c r="H378" s="217">
        <v>63.5</v>
      </c>
      <c r="I378" s="299"/>
      <c r="J378" s="215"/>
      <c r="K378" s="215"/>
      <c r="L378" s="214" t="e">
        <f t="shared" si="34"/>
        <v>#DIV/0!</v>
      </c>
      <c r="M378" s="298"/>
      <c r="N378" s="235" t="e">
        <f>L378+M378</f>
        <v>#DIV/0!</v>
      </c>
      <c r="O378" s="166" t="e">
        <f t="shared" si="35"/>
        <v>#DIV/0!</v>
      </c>
    </row>
    <row r="379" spans="1:15" ht="29.25" customHeight="1">
      <c r="A379" s="219" t="s">
        <v>758</v>
      </c>
      <c r="B379" s="218" t="s">
        <v>725</v>
      </c>
      <c r="C379" s="218" t="s">
        <v>420</v>
      </c>
      <c r="D379" s="218" t="s">
        <v>360</v>
      </c>
      <c r="E379" s="218" t="s">
        <v>757</v>
      </c>
      <c r="F379" s="218"/>
      <c r="G379" s="217">
        <f>G380</f>
        <v>2180.98653</v>
      </c>
      <c r="H379" s="217">
        <f>H380</f>
        <v>19158.8</v>
      </c>
      <c r="I379" s="217">
        <f>I380</f>
        <v>0</v>
      </c>
      <c r="J379" s="215">
        <f>J380</f>
        <v>16700</v>
      </c>
      <c r="K379" s="215">
        <f>K380</f>
        <v>16686.316</v>
      </c>
      <c r="L379" s="214">
        <f t="shared" si="34"/>
        <v>99.91805988023953</v>
      </c>
      <c r="M379" s="276">
        <f>M380</f>
        <v>0</v>
      </c>
      <c r="N379" s="235">
        <f>N380</f>
        <v>99.91805988023953</v>
      </c>
      <c r="O379" s="166">
        <f t="shared" si="35"/>
        <v>33286.39794011976</v>
      </c>
    </row>
    <row r="380" spans="1:16" ht="15">
      <c r="A380" s="219" t="s">
        <v>547</v>
      </c>
      <c r="B380" s="218" t="s">
        <v>725</v>
      </c>
      <c r="C380" s="218" t="s">
        <v>420</v>
      </c>
      <c r="D380" s="218" t="s">
        <v>360</v>
      </c>
      <c r="E380" s="218" t="s">
        <v>757</v>
      </c>
      <c r="F380" s="218" t="s">
        <v>545</v>
      </c>
      <c r="G380" s="217">
        <f>2180.98653</f>
        <v>2180.98653</v>
      </c>
      <c r="H380" s="217">
        <v>19158.8</v>
      </c>
      <c r="I380" s="217"/>
      <c r="J380" s="215">
        <v>16700</v>
      </c>
      <c r="K380" s="215">
        <v>16686.316</v>
      </c>
      <c r="L380" s="214">
        <f t="shared" si="34"/>
        <v>99.91805988023953</v>
      </c>
      <c r="M380" s="276"/>
      <c r="N380" s="235">
        <f>L380+M380</f>
        <v>99.91805988023953</v>
      </c>
      <c r="O380" s="166">
        <f t="shared" si="35"/>
        <v>33286.39794011976</v>
      </c>
      <c r="P380" s="166">
        <f>K380</f>
        <v>16686.316</v>
      </c>
    </row>
    <row r="381" spans="1:15" ht="60" hidden="1">
      <c r="A381" s="219" t="s">
        <v>746</v>
      </c>
      <c r="B381" s="218" t="s">
        <v>725</v>
      </c>
      <c r="C381" s="218" t="s">
        <v>420</v>
      </c>
      <c r="D381" s="218" t="s">
        <v>360</v>
      </c>
      <c r="E381" s="218" t="s">
        <v>756</v>
      </c>
      <c r="F381" s="218"/>
      <c r="G381" s="299">
        <f>G382+G383</f>
        <v>13.745500000000002</v>
      </c>
      <c r="H381" s="299">
        <f>H382+H383</f>
        <v>95.4</v>
      </c>
      <c r="I381" s="299">
        <f>I382+I383</f>
        <v>0</v>
      </c>
      <c r="J381" s="215">
        <f>J382+J383</f>
        <v>0</v>
      </c>
      <c r="K381" s="215">
        <f>K382+K383</f>
        <v>0</v>
      </c>
      <c r="L381" s="214" t="e">
        <f t="shared" si="34"/>
        <v>#DIV/0!</v>
      </c>
      <c r="M381" s="298">
        <f>M382+M383</f>
        <v>0</v>
      </c>
      <c r="N381" s="300" t="e">
        <f>N382+N383</f>
        <v>#DIV/0!</v>
      </c>
      <c r="O381" s="166" t="e">
        <f t="shared" si="35"/>
        <v>#DIV/0!</v>
      </c>
    </row>
    <row r="382" spans="1:15" ht="15" hidden="1">
      <c r="A382" s="219" t="s">
        <v>547</v>
      </c>
      <c r="B382" s="218" t="s">
        <v>725</v>
      </c>
      <c r="C382" s="218" t="s">
        <v>420</v>
      </c>
      <c r="D382" s="218" t="s">
        <v>360</v>
      </c>
      <c r="E382" s="218" t="s">
        <v>756</v>
      </c>
      <c r="F382" s="218" t="s">
        <v>545</v>
      </c>
      <c r="G382" s="299">
        <f>5.3945-47.9+47.9</f>
        <v>5.394500000000001</v>
      </c>
      <c r="H382" s="217">
        <v>95.4</v>
      </c>
      <c r="I382" s="299"/>
      <c r="J382" s="215"/>
      <c r="K382" s="215"/>
      <c r="L382" s="214" t="e">
        <f t="shared" si="34"/>
        <v>#DIV/0!</v>
      </c>
      <c r="M382" s="298"/>
      <c r="N382" s="235" t="e">
        <f>L382+M382</f>
        <v>#DIV/0!</v>
      </c>
      <c r="O382" s="166" t="e">
        <f t="shared" si="35"/>
        <v>#DIV/0!</v>
      </c>
    </row>
    <row r="383" spans="1:15" ht="15" customHeight="1" hidden="1">
      <c r="A383" s="219" t="s">
        <v>547</v>
      </c>
      <c r="B383" s="218" t="s">
        <v>725</v>
      </c>
      <c r="C383" s="218" t="s">
        <v>420</v>
      </c>
      <c r="D383" s="218" t="s">
        <v>360</v>
      </c>
      <c r="E383" s="218" t="s">
        <v>755</v>
      </c>
      <c r="F383" s="218" t="s">
        <v>545</v>
      </c>
      <c r="G383" s="216">
        <f>8.351</f>
        <v>8.351</v>
      </c>
      <c r="H383" s="217"/>
      <c r="I383" s="216"/>
      <c r="J383" s="215">
        <f>H383+I383</f>
        <v>0</v>
      </c>
      <c r="K383" s="215"/>
      <c r="L383" s="214" t="e">
        <f t="shared" si="34"/>
        <v>#DIV/0!</v>
      </c>
      <c r="M383" s="228"/>
      <c r="N383" s="235" t="e">
        <f>L383+M383</f>
        <v>#DIV/0!</v>
      </c>
      <c r="O383" s="166" t="e">
        <f t="shared" si="35"/>
        <v>#DIV/0!</v>
      </c>
    </row>
    <row r="384" spans="1:15" ht="45">
      <c r="A384" s="219" t="s">
        <v>753</v>
      </c>
      <c r="B384" s="218" t="s">
        <v>725</v>
      </c>
      <c r="C384" s="218" t="s">
        <v>420</v>
      </c>
      <c r="D384" s="218" t="s">
        <v>360</v>
      </c>
      <c r="E384" s="218" t="s">
        <v>754</v>
      </c>
      <c r="F384" s="218"/>
      <c r="G384" s="299">
        <f>G385+G386</f>
        <v>701.88177</v>
      </c>
      <c r="H384" s="217">
        <f>H385+H386</f>
        <v>556.5</v>
      </c>
      <c r="I384" s="299">
        <f>I385+I386</f>
        <v>0</v>
      </c>
      <c r="J384" s="215">
        <f>J385+J386</f>
        <v>6929.1</v>
      </c>
      <c r="K384" s="215">
        <f>K385+K386</f>
        <v>6929.1</v>
      </c>
      <c r="L384" s="214">
        <f t="shared" si="34"/>
        <v>100</v>
      </c>
      <c r="M384" s="298">
        <f>M385+M386</f>
        <v>0</v>
      </c>
      <c r="N384" s="235" t="e">
        <f>N385+N386</f>
        <v>#DIV/0!</v>
      </c>
      <c r="O384" s="166">
        <f t="shared" si="35"/>
        <v>13758.2</v>
      </c>
    </row>
    <row r="385" spans="1:15" ht="15" hidden="1">
      <c r="A385" s="219" t="s">
        <v>547</v>
      </c>
      <c r="B385" s="218" t="s">
        <v>725</v>
      </c>
      <c r="C385" s="218" t="s">
        <v>420</v>
      </c>
      <c r="D385" s="218" t="s">
        <v>360</v>
      </c>
      <c r="E385" s="218" t="s">
        <v>754</v>
      </c>
      <c r="F385" s="218" t="s">
        <v>545</v>
      </c>
      <c r="G385" s="299">
        <f>561.12977+140.752-531</f>
        <v>170.88176999999996</v>
      </c>
      <c r="H385" s="217">
        <v>556.5</v>
      </c>
      <c r="I385" s="299"/>
      <c r="J385" s="215"/>
      <c r="K385" s="215"/>
      <c r="L385" s="214" t="e">
        <f t="shared" si="34"/>
        <v>#DIV/0!</v>
      </c>
      <c r="M385" s="298"/>
      <c r="N385" s="235" t="e">
        <f>L385+M385</f>
        <v>#DIV/0!</v>
      </c>
      <c r="O385" s="166" t="e">
        <f t="shared" si="35"/>
        <v>#DIV/0!</v>
      </c>
    </row>
    <row r="386" spans="1:15" ht="45">
      <c r="A386" s="313" t="s">
        <v>753</v>
      </c>
      <c r="B386" s="218" t="s">
        <v>725</v>
      </c>
      <c r="C386" s="218" t="s">
        <v>420</v>
      </c>
      <c r="D386" s="218" t="s">
        <v>360</v>
      </c>
      <c r="E386" s="218" t="s">
        <v>752</v>
      </c>
      <c r="F386" s="218"/>
      <c r="G386" s="216">
        <f>G387</f>
        <v>531</v>
      </c>
      <c r="H386" s="216">
        <f>H387</f>
        <v>0</v>
      </c>
      <c r="I386" s="216">
        <f>I387</f>
        <v>0</v>
      </c>
      <c r="J386" s="215">
        <f>J387</f>
        <v>6929.1</v>
      </c>
      <c r="K386" s="215">
        <f>K387</f>
        <v>6929.1</v>
      </c>
      <c r="L386" s="214">
        <f t="shared" si="34"/>
        <v>100</v>
      </c>
      <c r="M386" s="228">
        <f>M387</f>
        <v>0</v>
      </c>
      <c r="N386" s="227">
        <f>N387</f>
        <v>100</v>
      </c>
      <c r="O386" s="166">
        <f t="shared" si="35"/>
        <v>13758.2</v>
      </c>
    </row>
    <row r="387" spans="1:16" ht="15">
      <c r="A387" s="219" t="s">
        <v>547</v>
      </c>
      <c r="B387" s="218" t="s">
        <v>725</v>
      </c>
      <c r="C387" s="218" t="s">
        <v>420</v>
      </c>
      <c r="D387" s="218" t="s">
        <v>360</v>
      </c>
      <c r="E387" s="218" t="s">
        <v>752</v>
      </c>
      <c r="F387" s="218" t="s">
        <v>545</v>
      </c>
      <c r="G387" s="216">
        <v>531</v>
      </c>
      <c r="H387" s="217"/>
      <c r="I387" s="216"/>
      <c r="J387" s="215">
        <v>6929.1</v>
      </c>
      <c r="K387" s="215">
        <v>6929.1</v>
      </c>
      <c r="L387" s="214">
        <f t="shared" si="34"/>
        <v>100</v>
      </c>
      <c r="M387" s="228"/>
      <c r="N387" s="235">
        <f>L387+M387</f>
        <v>100</v>
      </c>
      <c r="O387" s="166">
        <f t="shared" si="35"/>
        <v>13758.2</v>
      </c>
      <c r="P387" s="166">
        <f>K387</f>
        <v>6929.1</v>
      </c>
    </row>
    <row r="388" spans="1:15" ht="30">
      <c r="A388" s="226" t="s">
        <v>751</v>
      </c>
      <c r="B388" s="218" t="s">
        <v>725</v>
      </c>
      <c r="C388" s="218" t="s">
        <v>420</v>
      </c>
      <c r="D388" s="218" t="s">
        <v>360</v>
      </c>
      <c r="E388" s="218" t="s">
        <v>749</v>
      </c>
      <c r="F388" s="218"/>
      <c r="G388" s="216"/>
      <c r="H388" s="217"/>
      <c r="I388" s="216"/>
      <c r="J388" s="215">
        <f>J389</f>
        <v>7021</v>
      </c>
      <c r="K388" s="215">
        <f>K389</f>
        <v>7014.763</v>
      </c>
      <c r="L388" s="214">
        <f t="shared" si="34"/>
        <v>99.91116650049851</v>
      </c>
      <c r="M388" s="228"/>
      <c r="N388" s="235"/>
      <c r="O388" s="166">
        <f t="shared" si="35"/>
        <v>13935.8518334995</v>
      </c>
    </row>
    <row r="389" spans="1:16" ht="15">
      <c r="A389" s="226" t="s">
        <v>750</v>
      </c>
      <c r="B389" s="218" t="s">
        <v>725</v>
      </c>
      <c r="C389" s="218" t="s">
        <v>420</v>
      </c>
      <c r="D389" s="218" t="s">
        <v>360</v>
      </c>
      <c r="E389" s="218" t="s">
        <v>749</v>
      </c>
      <c r="F389" s="218" t="s">
        <v>545</v>
      </c>
      <c r="G389" s="216"/>
      <c r="H389" s="217"/>
      <c r="I389" s="216"/>
      <c r="J389" s="215">
        <v>7021</v>
      </c>
      <c r="K389" s="215">
        <v>7014.763</v>
      </c>
      <c r="L389" s="214">
        <f t="shared" si="34"/>
        <v>99.91116650049851</v>
      </c>
      <c r="M389" s="228"/>
      <c r="N389" s="235"/>
      <c r="O389" s="166">
        <f t="shared" si="35"/>
        <v>13935.8518334995</v>
      </c>
      <c r="P389" s="166">
        <f>K389</f>
        <v>7014.763</v>
      </c>
    </row>
    <row r="390" spans="1:15" ht="45">
      <c r="A390" s="313" t="s">
        <v>748</v>
      </c>
      <c r="B390" s="218" t="s">
        <v>725</v>
      </c>
      <c r="C390" s="218" t="s">
        <v>420</v>
      </c>
      <c r="D390" s="218" t="s">
        <v>360</v>
      </c>
      <c r="E390" s="218" t="s">
        <v>747</v>
      </c>
      <c r="F390" s="218"/>
      <c r="G390" s="216"/>
      <c r="H390" s="217"/>
      <c r="I390" s="216"/>
      <c r="J390" s="215">
        <f>J391</f>
        <v>3520</v>
      </c>
      <c r="K390" s="215">
        <f>K391</f>
        <v>3518.08394</v>
      </c>
      <c r="L390" s="214">
        <f t="shared" si="34"/>
        <v>99.94556647727273</v>
      </c>
      <c r="M390" s="228"/>
      <c r="N390" s="235"/>
      <c r="O390" s="166">
        <f t="shared" si="35"/>
        <v>6938.138373522727</v>
      </c>
    </row>
    <row r="391" spans="1:16" ht="15">
      <c r="A391" s="219" t="s">
        <v>547</v>
      </c>
      <c r="B391" s="218" t="s">
        <v>725</v>
      </c>
      <c r="C391" s="218" t="s">
        <v>420</v>
      </c>
      <c r="D391" s="218" t="s">
        <v>360</v>
      </c>
      <c r="E391" s="218" t="s">
        <v>747</v>
      </c>
      <c r="F391" s="218" t="s">
        <v>545</v>
      </c>
      <c r="G391" s="216"/>
      <c r="H391" s="217"/>
      <c r="I391" s="216"/>
      <c r="J391" s="215">
        <v>3520</v>
      </c>
      <c r="K391" s="215">
        <v>3518.08394</v>
      </c>
      <c r="L391" s="214">
        <f t="shared" si="34"/>
        <v>99.94556647727273</v>
      </c>
      <c r="M391" s="228"/>
      <c r="N391" s="235"/>
      <c r="O391" s="166">
        <f t="shared" si="35"/>
        <v>6938.138373522727</v>
      </c>
      <c r="P391" s="166">
        <f>K391</f>
        <v>3518.08394</v>
      </c>
    </row>
    <row r="392" spans="1:15" ht="60">
      <c r="A392" s="219" t="s">
        <v>746</v>
      </c>
      <c r="B392" s="218" t="s">
        <v>725</v>
      </c>
      <c r="C392" s="218" t="s">
        <v>420</v>
      </c>
      <c r="D392" s="218" t="s">
        <v>360</v>
      </c>
      <c r="E392" s="218" t="s">
        <v>745</v>
      </c>
      <c r="F392" s="218"/>
      <c r="G392" s="216"/>
      <c r="H392" s="217"/>
      <c r="I392" s="216"/>
      <c r="J392" s="215">
        <f>J394+J393</f>
        <v>230</v>
      </c>
      <c r="K392" s="215">
        <f>K394+K393</f>
        <v>230</v>
      </c>
      <c r="L392" s="214">
        <f t="shared" si="34"/>
        <v>100</v>
      </c>
      <c r="M392" s="228"/>
      <c r="N392" s="235"/>
      <c r="O392" s="166">
        <f t="shared" si="35"/>
        <v>360</v>
      </c>
    </row>
    <row r="393" spans="1:15" ht="15">
      <c r="A393" s="219" t="s">
        <v>547</v>
      </c>
      <c r="B393" s="218" t="s">
        <v>725</v>
      </c>
      <c r="C393" s="218" t="s">
        <v>420</v>
      </c>
      <c r="D393" s="218" t="s">
        <v>360</v>
      </c>
      <c r="E393" s="218" t="s">
        <v>745</v>
      </c>
      <c r="F393" s="218" t="s">
        <v>545</v>
      </c>
      <c r="G393" s="216"/>
      <c r="H393" s="217"/>
      <c r="I393" s="216"/>
      <c r="J393" s="215">
        <f>134.9</f>
        <v>134.9</v>
      </c>
      <c r="K393" s="215">
        <v>134.9</v>
      </c>
      <c r="L393" s="214">
        <f t="shared" si="34"/>
        <v>100</v>
      </c>
      <c r="M393" s="228"/>
      <c r="N393" s="235"/>
      <c r="O393" s="166">
        <f t="shared" si="35"/>
        <v>169.8</v>
      </c>
    </row>
    <row r="394" spans="1:16" ht="15">
      <c r="A394" s="219" t="s">
        <v>547</v>
      </c>
      <c r="B394" s="218" t="s">
        <v>725</v>
      </c>
      <c r="C394" s="218" t="s">
        <v>420</v>
      </c>
      <c r="D394" s="218" t="s">
        <v>360</v>
      </c>
      <c r="E394" s="218" t="s">
        <v>744</v>
      </c>
      <c r="F394" s="218" t="s">
        <v>545</v>
      </c>
      <c r="G394" s="216"/>
      <c r="H394" s="217"/>
      <c r="I394" s="216"/>
      <c r="J394" s="215">
        <f>230-134.9</f>
        <v>95.1</v>
      </c>
      <c r="K394" s="215">
        <v>95.1</v>
      </c>
      <c r="L394" s="214">
        <f t="shared" si="34"/>
        <v>100</v>
      </c>
      <c r="M394" s="228"/>
      <c r="N394" s="235"/>
      <c r="O394" s="166">
        <f t="shared" si="35"/>
        <v>90.19999999999999</v>
      </c>
      <c r="P394" s="166">
        <f>K394</f>
        <v>95.1</v>
      </c>
    </row>
    <row r="395" spans="1:15" ht="30">
      <c r="A395" s="313" t="s">
        <v>743</v>
      </c>
      <c r="B395" s="218" t="s">
        <v>725</v>
      </c>
      <c r="C395" s="218" t="s">
        <v>420</v>
      </c>
      <c r="D395" s="218" t="s">
        <v>360</v>
      </c>
      <c r="E395" s="218" t="s">
        <v>742</v>
      </c>
      <c r="F395" s="218"/>
      <c r="G395" s="216">
        <f>G396</f>
        <v>206</v>
      </c>
      <c r="H395" s="216">
        <f>H396</f>
        <v>0</v>
      </c>
      <c r="I395" s="216">
        <f>I396</f>
        <v>0</v>
      </c>
      <c r="J395" s="215">
        <f>J396</f>
        <v>299.75</v>
      </c>
      <c r="K395" s="215">
        <f>K396</f>
        <v>193.063</v>
      </c>
      <c r="L395" s="214">
        <f t="shared" si="34"/>
        <v>64.40800667222685</v>
      </c>
      <c r="M395" s="228">
        <f>M396</f>
        <v>0</v>
      </c>
      <c r="N395" s="227">
        <f>N396</f>
        <v>64.40800667222685</v>
      </c>
      <c r="O395" s="166">
        <f t="shared" si="35"/>
        <v>428.4049933277731</v>
      </c>
    </row>
    <row r="396" spans="1:16" ht="15">
      <c r="A396" s="219" t="s">
        <v>547</v>
      </c>
      <c r="B396" s="218" t="s">
        <v>725</v>
      </c>
      <c r="C396" s="218" t="s">
        <v>420</v>
      </c>
      <c r="D396" s="218" t="s">
        <v>360</v>
      </c>
      <c r="E396" s="218" t="s">
        <v>742</v>
      </c>
      <c r="F396" s="218" t="s">
        <v>545</v>
      </c>
      <c r="G396" s="216">
        <f>206</f>
        <v>206</v>
      </c>
      <c r="H396" s="217"/>
      <c r="I396" s="216"/>
      <c r="J396" s="215">
        <v>299.75</v>
      </c>
      <c r="K396" s="215">
        <v>193.063</v>
      </c>
      <c r="L396" s="214">
        <f aca="true" t="shared" si="39" ref="L396:L459">K396/J396*100</f>
        <v>64.40800667222685</v>
      </c>
      <c r="M396" s="228"/>
      <c r="N396" s="235">
        <f>L396+M396</f>
        <v>64.40800667222685</v>
      </c>
      <c r="O396" s="166">
        <f aca="true" t="shared" si="40" ref="O396:O438">J396+K396-L396</f>
        <v>428.4049933277731</v>
      </c>
      <c r="P396" s="166">
        <f>K396</f>
        <v>193.063</v>
      </c>
    </row>
    <row r="397" spans="1:15" ht="42" customHeight="1">
      <c r="A397" s="106" t="s">
        <v>741</v>
      </c>
      <c r="B397" s="218" t="s">
        <v>725</v>
      </c>
      <c r="C397" s="218" t="s">
        <v>420</v>
      </c>
      <c r="D397" s="218" t="s">
        <v>360</v>
      </c>
      <c r="E397" s="218" t="s">
        <v>740</v>
      </c>
      <c r="F397" s="218"/>
      <c r="G397" s="299">
        <f>G398</f>
        <v>99.15607</v>
      </c>
      <c r="H397" s="299">
        <f>H398</f>
        <v>0</v>
      </c>
      <c r="I397" s="299">
        <f>I398</f>
        <v>0</v>
      </c>
      <c r="J397" s="215">
        <f>J398</f>
        <v>822.25</v>
      </c>
      <c r="K397" s="215">
        <f>K398</f>
        <v>816.02903</v>
      </c>
      <c r="L397" s="214">
        <f t="shared" si="39"/>
        <v>99.2434211006385</v>
      </c>
      <c r="M397" s="298">
        <f>M398</f>
        <v>0</v>
      </c>
      <c r="N397" s="300">
        <f>N398</f>
        <v>99.2434211006385</v>
      </c>
      <c r="O397" s="166">
        <f t="shared" si="40"/>
        <v>1539.0356088993617</v>
      </c>
    </row>
    <row r="398" spans="1:16" ht="16.5" customHeight="1">
      <c r="A398" s="219" t="s">
        <v>547</v>
      </c>
      <c r="B398" s="218" t="s">
        <v>725</v>
      </c>
      <c r="C398" s="218" t="s">
        <v>420</v>
      </c>
      <c r="D398" s="218" t="s">
        <v>360</v>
      </c>
      <c r="E398" s="218" t="s">
        <v>740</v>
      </c>
      <c r="F398" s="218" t="s">
        <v>545</v>
      </c>
      <c r="G398" s="299">
        <f>9.15607+90</f>
        <v>99.15607</v>
      </c>
      <c r="H398" s="217"/>
      <c r="I398" s="299"/>
      <c r="J398" s="215">
        <v>822.25</v>
      </c>
      <c r="K398" s="215">
        <v>816.02903</v>
      </c>
      <c r="L398" s="214">
        <f t="shared" si="39"/>
        <v>99.2434211006385</v>
      </c>
      <c r="M398" s="298"/>
      <c r="N398" s="235">
        <f>L398+M398</f>
        <v>99.2434211006385</v>
      </c>
      <c r="O398" s="166">
        <f t="shared" si="40"/>
        <v>1539.0356088993617</v>
      </c>
      <c r="P398" s="166">
        <f>K398</f>
        <v>816.02903</v>
      </c>
    </row>
    <row r="399" spans="1:15" ht="78" customHeight="1">
      <c r="A399" s="313" t="s">
        <v>739</v>
      </c>
      <c r="B399" s="218" t="s">
        <v>725</v>
      </c>
      <c r="C399" s="218" t="s">
        <v>420</v>
      </c>
      <c r="D399" s="218" t="s">
        <v>360</v>
      </c>
      <c r="E399" s="218" t="s">
        <v>738</v>
      </c>
      <c r="F399" s="218"/>
      <c r="G399" s="217">
        <f>G400</f>
        <v>3526.34117</v>
      </c>
      <c r="H399" s="217">
        <f>H400</f>
        <v>0</v>
      </c>
      <c r="I399" s="217">
        <f>I400</f>
        <v>0</v>
      </c>
      <c r="J399" s="215">
        <f>J400</f>
        <v>8044</v>
      </c>
      <c r="K399" s="215">
        <f>K400</f>
        <v>8003.3935</v>
      </c>
      <c r="L399" s="214">
        <f t="shared" si="39"/>
        <v>99.4951951765291</v>
      </c>
      <c r="M399" s="276">
        <f>M400</f>
        <v>0</v>
      </c>
      <c r="N399" s="235">
        <f>N400</f>
        <v>99.4951951765291</v>
      </c>
      <c r="O399" s="166">
        <f t="shared" si="40"/>
        <v>15947.898304823471</v>
      </c>
    </row>
    <row r="400" spans="1:16" ht="16.5" customHeight="1">
      <c r="A400" s="219" t="s">
        <v>547</v>
      </c>
      <c r="B400" s="218" t="s">
        <v>725</v>
      </c>
      <c r="C400" s="218" t="s">
        <v>420</v>
      </c>
      <c r="D400" s="218" t="s">
        <v>360</v>
      </c>
      <c r="E400" s="218" t="s">
        <v>738</v>
      </c>
      <c r="F400" s="218" t="s">
        <v>545</v>
      </c>
      <c r="G400" s="217">
        <f>13.34117+3513</f>
        <v>3526.34117</v>
      </c>
      <c r="H400" s="217"/>
      <c r="I400" s="217"/>
      <c r="J400" s="215">
        <v>8044</v>
      </c>
      <c r="K400" s="215">
        <v>8003.3935</v>
      </c>
      <c r="L400" s="214">
        <f t="shared" si="39"/>
        <v>99.4951951765291</v>
      </c>
      <c r="M400" s="276"/>
      <c r="N400" s="235">
        <f>L400+M400</f>
        <v>99.4951951765291</v>
      </c>
      <c r="O400" s="166">
        <f t="shared" si="40"/>
        <v>15947.898304823471</v>
      </c>
      <c r="P400" s="166">
        <f>K400</f>
        <v>8003.3935</v>
      </c>
    </row>
    <row r="401" spans="1:15" ht="29.25" customHeight="1">
      <c r="A401" s="106" t="s">
        <v>737</v>
      </c>
      <c r="B401" s="218" t="s">
        <v>725</v>
      </c>
      <c r="C401" s="218" t="s">
        <v>420</v>
      </c>
      <c r="D401" s="218" t="s">
        <v>360</v>
      </c>
      <c r="E401" s="218" t="s">
        <v>736</v>
      </c>
      <c r="F401" s="218"/>
      <c r="G401" s="299">
        <f>G402</f>
        <v>796.46933</v>
      </c>
      <c r="H401" s="299">
        <f>H402</f>
        <v>0</v>
      </c>
      <c r="I401" s="299">
        <f>I402</f>
        <v>0</v>
      </c>
      <c r="J401" s="215">
        <f>J402</f>
        <v>2376</v>
      </c>
      <c r="K401" s="215">
        <f>K402</f>
        <v>2350.72987</v>
      </c>
      <c r="L401" s="214">
        <f t="shared" si="39"/>
        <v>98.93644234006734</v>
      </c>
      <c r="M401" s="298">
        <f>M402</f>
        <v>0</v>
      </c>
      <c r="N401" s="300">
        <f>N402</f>
        <v>98.93644234006734</v>
      </c>
      <c r="O401" s="166">
        <f t="shared" si="40"/>
        <v>4627.793427659933</v>
      </c>
    </row>
    <row r="402" spans="1:16" ht="15">
      <c r="A402" s="219" t="s">
        <v>547</v>
      </c>
      <c r="B402" s="218" t="s">
        <v>725</v>
      </c>
      <c r="C402" s="218" t="s">
        <v>420</v>
      </c>
      <c r="D402" s="218" t="s">
        <v>360</v>
      </c>
      <c r="E402" s="218" t="s">
        <v>736</v>
      </c>
      <c r="F402" s="218" t="s">
        <v>545</v>
      </c>
      <c r="G402" s="299">
        <f>0.46933+796</f>
        <v>796.46933</v>
      </c>
      <c r="H402" s="217"/>
      <c r="I402" s="299"/>
      <c r="J402" s="215">
        <v>2376</v>
      </c>
      <c r="K402" s="215">
        <v>2350.72987</v>
      </c>
      <c r="L402" s="214">
        <f t="shared" si="39"/>
        <v>98.93644234006734</v>
      </c>
      <c r="M402" s="298"/>
      <c r="N402" s="235">
        <f>L402+M402</f>
        <v>98.93644234006734</v>
      </c>
      <c r="O402" s="166">
        <f t="shared" si="40"/>
        <v>4627.793427659933</v>
      </c>
      <c r="P402" s="166">
        <f>K402</f>
        <v>2350.72987</v>
      </c>
    </row>
    <row r="403" spans="1:15" ht="30">
      <c r="A403" s="219" t="s">
        <v>548</v>
      </c>
      <c r="B403" s="218" t="s">
        <v>725</v>
      </c>
      <c r="C403" s="218" t="s">
        <v>420</v>
      </c>
      <c r="D403" s="218" t="s">
        <v>360</v>
      </c>
      <c r="E403" s="218" t="s">
        <v>735</v>
      </c>
      <c r="F403" s="218"/>
      <c r="G403" s="216">
        <f>G404</f>
        <v>-796</v>
      </c>
      <c r="H403" s="216">
        <f>H404</f>
        <v>1054.3</v>
      </c>
      <c r="I403" s="216">
        <f>I404</f>
        <v>0</v>
      </c>
      <c r="J403" s="215">
        <f>J404</f>
        <v>495.986</v>
      </c>
      <c r="K403" s="215">
        <f>K404+K406</f>
        <v>495.986</v>
      </c>
      <c r="L403" s="214">
        <f t="shared" si="39"/>
        <v>100</v>
      </c>
      <c r="M403" s="228">
        <f>M404</f>
        <v>122</v>
      </c>
      <c r="N403" s="227">
        <f>N404</f>
        <v>222</v>
      </c>
      <c r="O403" s="166">
        <f t="shared" si="40"/>
        <v>891.972</v>
      </c>
    </row>
    <row r="404" spans="1:16" ht="15">
      <c r="A404" s="219" t="s">
        <v>547</v>
      </c>
      <c r="B404" s="218" t="s">
        <v>725</v>
      </c>
      <c r="C404" s="218" t="s">
        <v>420</v>
      </c>
      <c r="D404" s="218" t="s">
        <v>360</v>
      </c>
      <c r="E404" s="218" t="s">
        <v>735</v>
      </c>
      <c r="F404" s="218" t="s">
        <v>545</v>
      </c>
      <c r="G404" s="216">
        <v>-796</v>
      </c>
      <c r="H404" s="217">
        <v>1054.3</v>
      </c>
      <c r="I404" s="216"/>
      <c r="J404" s="215">
        <v>495.986</v>
      </c>
      <c r="K404" s="215">
        <v>495.986</v>
      </c>
      <c r="L404" s="214">
        <f t="shared" si="39"/>
        <v>100</v>
      </c>
      <c r="M404" s="228">
        <f>122</f>
        <v>122</v>
      </c>
      <c r="N404" s="235">
        <f>L404+M404</f>
        <v>222</v>
      </c>
      <c r="O404" s="166">
        <f t="shared" si="40"/>
        <v>891.972</v>
      </c>
      <c r="P404" s="166">
        <f>L404-O404</f>
        <v>-791.972</v>
      </c>
    </row>
    <row r="405" spans="1:15" ht="27.75" customHeight="1" hidden="1">
      <c r="A405" s="219" t="s">
        <v>734</v>
      </c>
      <c r="B405" s="218" t="s">
        <v>725</v>
      </c>
      <c r="C405" s="218" t="s">
        <v>420</v>
      </c>
      <c r="D405" s="218" t="s">
        <v>360</v>
      </c>
      <c r="E405" s="218" t="s">
        <v>733</v>
      </c>
      <c r="F405" s="218"/>
      <c r="G405" s="216">
        <f aca="true" t="shared" si="41" ref="G405:J406">G406</f>
        <v>-3513</v>
      </c>
      <c r="H405" s="216">
        <f t="shared" si="41"/>
        <v>3681.6</v>
      </c>
      <c r="I405" s="216">
        <f t="shared" si="41"/>
        <v>0</v>
      </c>
      <c r="J405" s="215">
        <f t="shared" si="41"/>
        <v>0</v>
      </c>
      <c r="K405" s="215"/>
      <c r="L405" s="214" t="e">
        <f t="shared" si="39"/>
        <v>#DIV/0!</v>
      </c>
      <c r="M405" s="228">
        <f>M406</f>
        <v>0</v>
      </c>
      <c r="N405" s="227" t="e">
        <f>N406</f>
        <v>#DIV/0!</v>
      </c>
      <c r="O405" s="166" t="e">
        <f t="shared" si="40"/>
        <v>#DIV/0!</v>
      </c>
    </row>
    <row r="406" spans="1:15" ht="29.25" customHeight="1" hidden="1">
      <c r="A406" s="219" t="s">
        <v>548</v>
      </c>
      <c r="B406" s="218" t="s">
        <v>725</v>
      </c>
      <c r="C406" s="218" t="s">
        <v>420</v>
      </c>
      <c r="D406" s="218" t="s">
        <v>360</v>
      </c>
      <c r="E406" s="218" t="s">
        <v>732</v>
      </c>
      <c r="F406" s="218"/>
      <c r="G406" s="216">
        <f t="shared" si="41"/>
        <v>-3513</v>
      </c>
      <c r="H406" s="216">
        <f t="shared" si="41"/>
        <v>3681.6</v>
      </c>
      <c r="I406" s="216">
        <f t="shared" si="41"/>
        <v>0</v>
      </c>
      <c r="J406" s="215">
        <f t="shared" si="41"/>
        <v>0</v>
      </c>
      <c r="K406" s="215">
        <f>K407</f>
        <v>0</v>
      </c>
      <c r="L406" s="214" t="e">
        <f t="shared" si="39"/>
        <v>#DIV/0!</v>
      </c>
      <c r="M406" s="228">
        <f>M407</f>
        <v>0</v>
      </c>
      <c r="N406" s="227" t="e">
        <f>N407</f>
        <v>#DIV/0!</v>
      </c>
      <c r="O406" s="166" t="e">
        <f t="shared" si="40"/>
        <v>#DIV/0!</v>
      </c>
    </row>
    <row r="407" spans="1:15" ht="15.75" customHeight="1" hidden="1">
      <c r="A407" s="219" t="s">
        <v>547</v>
      </c>
      <c r="B407" s="218" t="s">
        <v>725</v>
      </c>
      <c r="C407" s="218" t="s">
        <v>420</v>
      </c>
      <c r="D407" s="218" t="s">
        <v>360</v>
      </c>
      <c r="E407" s="218" t="s">
        <v>732</v>
      </c>
      <c r="F407" s="218" t="s">
        <v>545</v>
      </c>
      <c r="G407" s="216">
        <v>-3513</v>
      </c>
      <c r="H407" s="217">
        <v>3681.6</v>
      </c>
      <c r="I407" s="216"/>
      <c r="J407" s="215">
        <v>0</v>
      </c>
      <c r="K407" s="215"/>
      <c r="L407" s="214" t="e">
        <f t="shared" si="39"/>
        <v>#DIV/0!</v>
      </c>
      <c r="M407" s="228"/>
      <c r="N407" s="235" t="e">
        <f>L407+M407</f>
        <v>#DIV/0!</v>
      </c>
      <c r="O407" s="166" t="e">
        <f t="shared" si="40"/>
        <v>#DIV/0!</v>
      </c>
    </row>
    <row r="408" spans="1:15" s="115" customFormat="1" ht="29.25">
      <c r="A408" s="245" t="s">
        <v>424</v>
      </c>
      <c r="B408" s="143" t="s">
        <v>725</v>
      </c>
      <c r="C408" s="143" t="s">
        <v>420</v>
      </c>
      <c r="D408" s="143" t="s">
        <v>366</v>
      </c>
      <c r="E408" s="143"/>
      <c r="F408" s="143"/>
      <c r="G408" s="128">
        <f>G411+G415+G409</f>
        <v>75</v>
      </c>
      <c r="H408" s="128">
        <f>H411+H415+H409</f>
        <v>1158.1000000000001</v>
      </c>
      <c r="I408" s="128">
        <f>I411+I415+I409</f>
        <v>0</v>
      </c>
      <c r="J408" s="141">
        <f>J411+J415+J409</f>
        <v>1963.19364</v>
      </c>
      <c r="K408" s="141">
        <f>K411+K415+K409</f>
        <v>1958.22944</v>
      </c>
      <c r="L408" s="172">
        <f t="shared" si="39"/>
        <v>99.74713650763456</v>
      </c>
      <c r="M408" s="230">
        <f>M411+M415+M409</f>
        <v>-169</v>
      </c>
      <c r="N408" s="229" t="e">
        <f>N411+N415+N409</f>
        <v>#DIV/0!</v>
      </c>
      <c r="O408" s="166">
        <f t="shared" si="40"/>
        <v>3821.6759434923656</v>
      </c>
    </row>
    <row r="409" spans="1:15" s="115" customFormat="1" ht="78.75" customHeight="1">
      <c r="A409" s="106" t="s">
        <v>731</v>
      </c>
      <c r="B409" s="218" t="s">
        <v>725</v>
      </c>
      <c r="C409" s="218" t="s">
        <v>420</v>
      </c>
      <c r="D409" s="218" t="s">
        <v>366</v>
      </c>
      <c r="E409" s="218" t="s">
        <v>730</v>
      </c>
      <c r="F409" s="218"/>
      <c r="G409" s="216">
        <f>G410</f>
        <v>912</v>
      </c>
      <c r="H409" s="216">
        <f>H410</f>
        <v>0</v>
      </c>
      <c r="I409" s="216">
        <f>I410</f>
        <v>0</v>
      </c>
      <c r="J409" s="215">
        <f>J410</f>
        <v>1263.56587</v>
      </c>
      <c r="K409" s="215">
        <f>K410</f>
        <v>1263.56587</v>
      </c>
      <c r="L409" s="214">
        <f t="shared" si="39"/>
        <v>100</v>
      </c>
      <c r="M409" s="228">
        <f>M410</f>
        <v>-250</v>
      </c>
      <c r="N409" s="227">
        <f>N410</f>
        <v>-150</v>
      </c>
      <c r="O409" s="166">
        <f t="shared" si="40"/>
        <v>2427.13174</v>
      </c>
    </row>
    <row r="410" spans="1:18" s="115" customFormat="1" ht="30">
      <c r="A410" s="106" t="s">
        <v>491</v>
      </c>
      <c r="B410" s="218" t="s">
        <v>725</v>
      </c>
      <c r="C410" s="218" t="s">
        <v>420</v>
      </c>
      <c r="D410" s="218" t="s">
        <v>366</v>
      </c>
      <c r="E410" s="218" t="s">
        <v>730</v>
      </c>
      <c r="F410" s="218" t="s">
        <v>488</v>
      </c>
      <c r="G410" s="216">
        <f>950-38</f>
        <v>912</v>
      </c>
      <c r="H410" s="217"/>
      <c r="I410" s="216"/>
      <c r="J410" s="215">
        <v>1263.56587</v>
      </c>
      <c r="K410" s="215">
        <v>1263.56587</v>
      </c>
      <c r="L410" s="214">
        <f t="shared" si="39"/>
        <v>100</v>
      </c>
      <c r="M410" s="228">
        <f>-250</f>
        <v>-250</v>
      </c>
      <c r="N410" s="235">
        <f>L410+M410</f>
        <v>-150</v>
      </c>
      <c r="O410" s="166">
        <f t="shared" si="40"/>
        <v>2427.13174</v>
      </c>
      <c r="P410" s="325">
        <f>K348</f>
        <v>8122.0423</v>
      </c>
      <c r="R410" s="325">
        <f>L410+L348</f>
        <v>198.3298798058589</v>
      </c>
    </row>
    <row r="411" spans="1:15" ht="30">
      <c r="A411" s="226" t="s">
        <v>535</v>
      </c>
      <c r="B411" s="218" t="s">
        <v>725</v>
      </c>
      <c r="C411" s="218" t="s">
        <v>420</v>
      </c>
      <c r="D411" s="218" t="s">
        <v>366</v>
      </c>
      <c r="E411" s="218" t="s">
        <v>534</v>
      </c>
      <c r="F411" s="218"/>
      <c r="G411" s="216">
        <f>G412</f>
        <v>-912</v>
      </c>
      <c r="H411" s="216">
        <f>H412</f>
        <v>1095.22</v>
      </c>
      <c r="I411" s="216">
        <f>I412</f>
        <v>0</v>
      </c>
      <c r="J411" s="215">
        <f>J412</f>
        <v>202.12777</v>
      </c>
      <c r="K411" s="215">
        <f>K412</f>
        <v>197.33057</v>
      </c>
      <c r="L411" s="214">
        <f t="shared" si="39"/>
        <v>97.62664971765136</v>
      </c>
      <c r="M411" s="228">
        <f>M412</f>
        <v>41</v>
      </c>
      <c r="N411" s="227" t="e">
        <f>N412</f>
        <v>#DIV/0!</v>
      </c>
      <c r="O411" s="166">
        <f t="shared" si="40"/>
        <v>301.83169028234863</v>
      </c>
    </row>
    <row r="412" spans="1:15" ht="15">
      <c r="A412" s="226" t="s">
        <v>533</v>
      </c>
      <c r="B412" s="218" t="s">
        <v>725</v>
      </c>
      <c r="C412" s="218" t="s">
        <v>420</v>
      </c>
      <c r="D412" s="218" t="s">
        <v>366</v>
      </c>
      <c r="E412" s="218" t="s">
        <v>532</v>
      </c>
      <c r="F412" s="218"/>
      <c r="G412" s="216">
        <f>G413</f>
        <v>-912</v>
      </c>
      <c r="H412" s="216">
        <f>H413</f>
        <v>1095.22</v>
      </c>
      <c r="I412" s="216">
        <f>I413</f>
        <v>0</v>
      </c>
      <c r="J412" s="215">
        <f>J413+J414</f>
        <v>202.12777</v>
      </c>
      <c r="K412" s="215">
        <f>K413+K414</f>
        <v>197.33057</v>
      </c>
      <c r="L412" s="214">
        <f t="shared" si="39"/>
        <v>97.62664971765136</v>
      </c>
      <c r="M412" s="228">
        <f>M413</f>
        <v>41</v>
      </c>
      <c r="N412" s="227" t="e">
        <f>N413</f>
        <v>#DIV/0!</v>
      </c>
      <c r="O412" s="166">
        <f t="shared" si="40"/>
        <v>301.83169028234863</v>
      </c>
    </row>
    <row r="413" spans="1:15" ht="30" hidden="1">
      <c r="A413" s="219" t="s">
        <v>500</v>
      </c>
      <c r="B413" s="218" t="s">
        <v>725</v>
      </c>
      <c r="C413" s="218" t="s">
        <v>420</v>
      </c>
      <c r="D413" s="218" t="s">
        <v>366</v>
      </c>
      <c r="E413" s="218" t="s">
        <v>532</v>
      </c>
      <c r="F413" s="218" t="s">
        <v>699</v>
      </c>
      <c r="G413" s="216">
        <f>-950+38</f>
        <v>-912</v>
      </c>
      <c r="H413" s="217">
        <v>1095.22</v>
      </c>
      <c r="I413" s="216"/>
      <c r="J413" s="215"/>
      <c r="K413" s="215"/>
      <c r="L413" s="214" t="e">
        <f t="shared" si="39"/>
        <v>#DIV/0!</v>
      </c>
      <c r="M413" s="228">
        <f>-9+50</f>
        <v>41</v>
      </c>
      <c r="N413" s="235" t="e">
        <f>L413+M413</f>
        <v>#DIV/0!</v>
      </c>
      <c r="O413" s="166" t="e">
        <f t="shared" si="40"/>
        <v>#DIV/0!</v>
      </c>
    </row>
    <row r="414" spans="1:20" ht="30">
      <c r="A414" s="106" t="s">
        <v>491</v>
      </c>
      <c r="B414" s="218" t="s">
        <v>725</v>
      </c>
      <c r="C414" s="218" t="s">
        <v>420</v>
      </c>
      <c r="D414" s="218" t="s">
        <v>366</v>
      </c>
      <c r="E414" s="218" t="s">
        <v>532</v>
      </c>
      <c r="F414" s="218" t="s">
        <v>488</v>
      </c>
      <c r="G414" s="216"/>
      <c r="H414" s="217"/>
      <c r="I414" s="216"/>
      <c r="J414" s="215">
        <v>202.12777</v>
      </c>
      <c r="K414" s="215">
        <v>197.33057</v>
      </c>
      <c r="L414" s="214">
        <f t="shared" si="39"/>
        <v>97.62664971765136</v>
      </c>
      <c r="M414" s="228"/>
      <c r="N414" s="235"/>
      <c r="O414" s="166">
        <f t="shared" si="40"/>
        <v>301.83169028234863</v>
      </c>
      <c r="P414" s="190">
        <f>L414-O414</f>
        <v>-204.20504056469727</v>
      </c>
      <c r="S414" s="110">
        <v>174.11</v>
      </c>
      <c r="T414" s="108">
        <f>L414+L355</f>
        <v>195.29137905137299</v>
      </c>
    </row>
    <row r="415" spans="1:15" ht="30">
      <c r="A415" s="219" t="s">
        <v>525</v>
      </c>
      <c r="B415" s="218" t="s">
        <v>725</v>
      </c>
      <c r="C415" s="218" t="s">
        <v>420</v>
      </c>
      <c r="D415" s="218" t="s">
        <v>366</v>
      </c>
      <c r="E415" s="218" t="s">
        <v>524</v>
      </c>
      <c r="F415" s="218"/>
      <c r="G415" s="216">
        <f>G416+G418</f>
        <v>75</v>
      </c>
      <c r="H415" s="216">
        <f>H416+H418</f>
        <v>62.88</v>
      </c>
      <c r="I415" s="216">
        <f>I416+I418</f>
        <v>0</v>
      </c>
      <c r="J415" s="215">
        <f>J416+J418</f>
        <v>497.5</v>
      </c>
      <c r="K415" s="215">
        <f>K416+K418</f>
        <v>497.333</v>
      </c>
      <c r="L415" s="214">
        <f t="shared" si="39"/>
        <v>99.96643216080403</v>
      </c>
      <c r="M415" s="228">
        <f>M416+M418</f>
        <v>40</v>
      </c>
      <c r="N415" s="235">
        <f>N416+N418</f>
        <v>239.96</v>
      </c>
      <c r="O415" s="166">
        <f t="shared" si="40"/>
        <v>894.866567839196</v>
      </c>
    </row>
    <row r="416" spans="1:15" ht="39">
      <c r="A416" s="355" t="s">
        <v>729</v>
      </c>
      <c r="B416" s="218" t="s">
        <v>725</v>
      </c>
      <c r="C416" s="218" t="s">
        <v>420</v>
      </c>
      <c r="D416" s="218" t="s">
        <v>366</v>
      </c>
      <c r="E416" s="218" t="s">
        <v>728</v>
      </c>
      <c r="F416" s="218"/>
      <c r="G416" s="216">
        <f>G417</f>
        <v>35</v>
      </c>
      <c r="H416" s="216">
        <f>H417</f>
        <v>62.88</v>
      </c>
      <c r="I416" s="216">
        <f>I417</f>
        <v>0</v>
      </c>
      <c r="J416" s="215">
        <f>J417</f>
        <v>417.5</v>
      </c>
      <c r="K416" s="215">
        <f>K417</f>
        <v>417.333</v>
      </c>
      <c r="L416" s="214">
        <f t="shared" si="39"/>
        <v>99.96000000000001</v>
      </c>
      <c r="M416" s="228">
        <f>M417</f>
        <v>40</v>
      </c>
      <c r="N416" s="227">
        <f>N417</f>
        <v>139.96</v>
      </c>
      <c r="O416" s="166">
        <f t="shared" si="40"/>
        <v>734.873</v>
      </c>
    </row>
    <row r="417" spans="1:15" ht="30">
      <c r="A417" s="219" t="s">
        <v>726</v>
      </c>
      <c r="B417" s="218" t="s">
        <v>725</v>
      </c>
      <c r="C417" s="218" t="s">
        <v>420</v>
      </c>
      <c r="D417" s="218" t="s">
        <v>366</v>
      </c>
      <c r="E417" s="218" t="s">
        <v>728</v>
      </c>
      <c r="F417" s="218" t="s">
        <v>723</v>
      </c>
      <c r="G417" s="216">
        <f>15.4+19.6</f>
        <v>35</v>
      </c>
      <c r="H417" s="217">
        <v>62.88</v>
      </c>
      <c r="I417" s="216"/>
      <c r="J417" s="215">
        <v>417.5</v>
      </c>
      <c r="K417" s="215">
        <v>417.333</v>
      </c>
      <c r="L417" s="214">
        <f t="shared" si="39"/>
        <v>99.96000000000001</v>
      </c>
      <c r="M417" s="228">
        <f>40</f>
        <v>40</v>
      </c>
      <c r="N417" s="235">
        <f>L417+M417</f>
        <v>139.96</v>
      </c>
      <c r="O417" s="166">
        <f t="shared" si="40"/>
        <v>734.873</v>
      </c>
    </row>
    <row r="418" spans="1:15" ht="42" customHeight="1">
      <c r="A418" s="219" t="s">
        <v>727</v>
      </c>
      <c r="B418" s="218" t="s">
        <v>725</v>
      </c>
      <c r="C418" s="218" t="s">
        <v>420</v>
      </c>
      <c r="D418" s="218" t="s">
        <v>366</v>
      </c>
      <c r="E418" s="218" t="s">
        <v>724</v>
      </c>
      <c r="F418" s="218"/>
      <c r="G418" s="216">
        <f>G419</f>
        <v>40</v>
      </c>
      <c r="H418" s="217">
        <f>H419</f>
        <v>0</v>
      </c>
      <c r="I418" s="216">
        <f>I419</f>
        <v>0</v>
      </c>
      <c r="J418" s="215">
        <f>J419</f>
        <v>80</v>
      </c>
      <c r="K418" s="215">
        <f>K419</f>
        <v>80</v>
      </c>
      <c r="L418" s="214">
        <f t="shared" si="39"/>
        <v>100</v>
      </c>
      <c r="M418" s="228">
        <f>M419</f>
        <v>0</v>
      </c>
      <c r="N418" s="235">
        <f>N419</f>
        <v>100</v>
      </c>
      <c r="O418" s="166">
        <f t="shared" si="40"/>
        <v>60</v>
      </c>
    </row>
    <row r="419" spans="1:15" ht="30">
      <c r="A419" s="219" t="s">
        <v>726</v>
      </c>
      <c r="B419" s="218" t="s">
        <v>725</v>
      </c>
      <c r="C419" s="218" t="s">
        <v>420</v>
      </c>
      <c r="D419" s="218" t="s">
        <v>366</v>
      </c>
      <c r="E419" s="218" t="s">
        <v>724</v>
      </c>
      <c r="F419" s="218" t="s">
        <v>723</v>
      </c>
      <c r="G419" s="216">
        <v>40</v>
      </c>
      <c r="H419" s="217"/>
      <c r="I419" s="216"/>
      <c r="J419" s="215">
        <v>80</v>
      </c>
      <c r="K419" s="215">
        <v>80</v>
      </c>
      <c r="L419" s="214">
        <f t="shared" si="39"/>
        <v>100</v>
      </c>
      <c r="M419" s="228"/>
      <c r="N419" s="235">
        <f>L419+M419</f>
        <v>100</v>
      </c>
      <c r="O419" s="166">
        <f t="shared" si="40"/>
        <v>60</v>
      </c>
    </row>
    <row r="420" spans="1:15" ht="15.75" hidden="1" thickBot="1">
      <c r="A420" s="354" t="s">
        <v>722</v>
      </c>
      <c r="B420" s="160" t="s">
        <v>718</v>
      </c>
      <c r="C420" s="160"/>
      <c r="D420" s="160"/>
      <c r="E420" s="160"/>
      <c r="F420" s="160"/>
      <c r="G420" s="164">
        <f aca="true" t="shared" si="42" ref="G420:K421">G421</f>
        <v>0</v>
      </c>
      <c r="H420" s="164">
        <f t="shared" si="42"/>
        <v>526.1</v>
      </c>
      <c r="I420" s="164">
        <f t="shared" si="42"/>
        <v>0</v>
      </c>
      <c r="J420" s="268">
        <f t="shared" si="42"/>
        <v>0</v>
      </c>
      <c r="K420" s="268">
        <f t="shared" si="42"/>
        <v>0</v>
      </c>
      <c r="L420" s="214" t="e">
        <f t="shared" si="39"/>
        <v>#DIV/0!</v>
      </c>
      <c r="M420" s="267">
        <f>M421</f>
        <v>0</v>
      </c>
      <c r="N420" s="266" t="e">
        <f>N421</f>
        <v>#DIV/0!</v>
      </c>
      <c r="O420" s="166" t="e">
        <f t="shared" si="40"/>
        <v>#DIV/0!</v>
      </c>
    </row>
    <row r="421" spans="1:15" ht="43.5" hidden="1">
      <c r="A421" s="242" t="s">
        <v>374</v>
      </c>
      <c r="B421" s="222" t="s">
        <v>718</v>
      </c>
      <c r="C421" s="222" t="s">
        <v>360</v>
      </c>
      <c r="D421" s="218"/>
      <c r="E421" s="218"/>
      <c r="F421" s="218"/>
      <c r="G421" s="241">
        <f t="shared" si="42"/>
        <v>0</v>
      </c>
      <c r="H421" s="241">
        <f t="shared" si="42"/>
        <v>526.1</v>
      </c>
      <c r="I421" s="241">
        <f t="shared" si="42"/>
        <v>0</v>
      </c>
      <c r="J421" s="240">
        <f t="shared" si="42"/>
        <v>0</v>
      </c>
      <c r="K421" s="240">
        <f t="shared" si="42"/>
        <v>0</v>
      </c>
      <c r="L421" s="214" t="e">
        <f t="shared" si="39"/>
        <v>#DIV/0!</v>
      </c>
      <c r="M421" s="265">
        <f>M422</f>
        <v>0</v>
      </c>
      <c r="N421" s="264" t="e">
        <f>N422</f>
        <v>#DIV/0!</v>
      </c>
      <c r="O421" s="166" t="e">
        <f t="shared" si="40"/>
        <v>#DIV/0!</v>
      </c>
    </row>
    <row r="422" spans="1:15" s="115" customFormat="1" ht="15" hidden="1">
      <c r="A422" s="245" t="s">
        <v>376</v>
      </c>
      <c r="B422" s="143" t="s">
        <v>718</v>
      </c>
      <c r="C422" s="143" t="s">
        <v>360</v>
      </c>
      <c r="D422" s="143" t="s">
        <v>358</v>
      </c>
      <c r="E422" s="143"/>
      <c r="F422" s="143"/>
      <c r="G422" s="128">
        <f>G423+G425</f>
        <v>0</v>
      </c>
      <c r="H422" s="128">
        <f>H423+H425</f>
        <v>526.1</v>
      </c>
      <c r="I422" s="128">
        <f>I423+I425</f>
        <v>0</v>
      </c>
      <c r="J422" s="141">
        <f>J423+J425</f>
        <v>0</v>
      </c>
      <c r="K422" s="141">
        <f>K423+K425</f>
        <v>0</v>
      </c>
      <c r="L422" s="214" t="e">
        <f t="shared" si="39"/>
        <v>#DIV/0!</v>
      </c>
      <c r="M422" s="230">
        <f>M423+M425</f>
        <v>0</v>
      </c>
      <c r="N422" s="229" t="e">
        <f>N423+N425</f>
        <v>#DIV/0!</v>
      </c>
      <c r="O422" s="166" t="e">
        <f t="shared" si="40"/>
        <v>#DIV/0!</v>
      </c>
    </row>
    <row r="423" spans="1:15" ht="60" hidden="1">
      <c r="A423" s="226" t="s">
        <v>721</v>
      </c>
      <c r="B423" s="218" t="s">
        <v>718</v>
      </c>
      <c r="C423" s="218" t="s">
        <v>360</v>
      </c>
      <c r="D423" s="218" t="s">
        <v>358</v>
      </c>
      <c r="E423" s="218" t="s">
        <v>720</v>
      </c>
      <c r="F423" s="218"/>
      <c r="G423" s="216">
        <f>G424</f>
        <v>0</v>
      </c>
      <c r="H423" s="216">
        <f>H424</f>
        <v>316.5</v>
      </c>
      <c r="I423" s="216">
        <f>I424</f>
        <v>0</v>
      </c>
      <c r="J423" s="215">
        <f>J424</f>
        <v>0</v>
      </c>
      <c r="K423" s="215">
        <f>K424</f>
        <v>0</v>
      </c>
      <c r="L423" s="214" t="e">
        <f t="shared" si="39"/>
        <v>#DIV/0!</v>
      </c>
      <c r="M423" s="228">
        <f>M424</f>
        <v>0</v>
      </c>
      <c r="N423" s="227" t="e">
        <f>N424</f>
        <v>#DIV/0!</v>
      </c>
      <c r="O423" s="166" t="e">
        <f t="shared" si="40"/>
        <v>#DIV/0!</v>
      </c>
    </row>
    <row r="424" spans="1:15" ht="30" hidden="1">
      <c r="A424" s="226" t="s">
        <v>491</v>
      </c>
      <c r="B424" s="218" t="s">
        <v>718</v>
      </c>
      <c r="C424" s="218" t="s">
        <v>360</v>
      </c>
      <c r="D424" s="218" t="s">
        <v>358</v>
      </c>
      <c r="E424" s="218" t="s">
        <v>720</v>
      </c>
      <c r="F424" s="218" t="s">
        <v>488</v>
      </c>
      <c r="G424" s="216"/>
      <c r="H424" s="217">
        <v>316.5</v>
      </c>
      <c r="I424" s="216"/>
      <c r="J424" s="215"/>
      <c r="K424" s="215"/>
      <c r="L424" s="214" t="e">
        <f t="shared" si="39"/>
        <v>#DIV/0!</v>
      </c>
      <c r="M424" s="228"/>
      <c r="N424" s="235" t="e">
        <f>L424+M424</f>
        <v>#DIV/0!</v>
      </c>
      <c r="O424" s="166" t="e">
        <f t="shared" si="40"/>
        <v>#DIV/0!</v>
      </c>
    </row>
    <row r="425" spans="1:15" ht="60" hidden="1">
      <c r="A425" s="226" t="s">
        <v>719</v>
      </c>
      <c r="B425" s="218" t="s">
        <v>718</v>
      </c>
      <c r="C425" s="218" t="s">
        <v>360</v>
      </c>
      <c r="D425" s="218" t="s">
        <v>358</v>
      </c>
      <c r="E425" s="218" t="s">
        <v>717</v>
      </c>
      <c r="F425" s="218"/>
      <c r="G425" s="216">
        <f>G426</f>
        <v>0</v>
      </c>
      <c r="H425" s="216">
        <f>H426</f>
        <v>209.6</v>
      </c>
      <c r="I425" s="216">
        <f>I426</f>
        <v>0</v>
      </c>
      <c r="J425" s="215">
        <f>J426</f>
        <v>0</v>
      </c>
      <c r="K425" s="215">
        <f>K426</f>
        <v>0</v>
      </c>
      <c r="L425" s="214" t="e">
        <f t="shared" si="39"/>
        <v>#DIV/0!</v>
      </c>
      <c r="M425" s="228">
        <f>M426</f>
        <v>0</v>
      </c>
      <c r="N425" s="227" t="e">
        <f>N426</f>
        <v>#DIV/0!</v>
      </c>
      <c r="O425" s="166" t="e">
        <f t="shared" si="40"/>
        <v>#DIV/0!</v>
      </c>
    </row>
    <row r="426" spans="1:15" ht="30.75" hidden="1" thickBot="1">
      <c r="A426" s="226" t="s">
        <v>491</v>
      </c>
      <c r="B426" s="218" t="s">
        <v>718</v>
      </c>
      <c r="C426" s="218" t="s">
        <v>360</v>
      </c>
      <c r="D426" s="218" t="s">
        <v>358</v>
      </c>
      <c r="E426" s="218" t="s">
        <v>717</v>
      </c>
      <c r="F426" s="218" t="s">
        <v>488</v>
      </c>
      <c r="G426" s="216"/>
      <c r="H426" s="217">
        <v>209.6</v>
      </c>
      <c r="I426" s="216"/>
      <c r="J426" s="215"/>
      <c r="K426" s="215"/>
      <c r="L426" s="214" t="e">
        <f t="shared" si="39"/>
        <v>#DIV/0!</v>
      </c>
      <c r="M426" s="225"/>
      <c r="N426" s="224" t="e">
        <f>L426+M426</f>
        <v>#DIV/0!</v>
      </c>
      <c r="O426" s="166" t="e">
        <f t="shared" si="40"/>
        <v>#DIV/0!</v>
      </c>
    </row>
    <row r="427" spans="1:18" ht="30" thickBot="1">
      <c r="A427" s="353" t="s">
        <v>716</v>
      </c>
      <c r="B427" s="352" t="s">
        <v>540</v>
      </c>
      <c r="C427" s="352"/>
      <c r="D427" s="352"/>
      <c r="E427" s="352"/>
      <c r="F427" s="352"/>
      <c r="G427" s="350" t="e">
        <f>G428+G485+G510+G572+G607+G626+G638+G477</f>
        <v>#REF!</v>
      </c>
      <c r="H427" s="350" t="e">
        <f>H428+H485+H510+H572+H607+H626+H638+H477</f>
        <v>#REF!</v>
      </c>
      <c r="I427" s="351" t="e">
        <f>I428+I485+I510+I572+I607+I626+I638+I477</f>
        <v>#REF!</v>
      </c>
      <c r="J427" s="350">
        <f>J428+J485+J510+J572+J607+J626+J638+J477+J671</f>
        <v>240309.76815999998</v>
      </c>
      <c r="K427" s="350">
        <f>K428+K485+K510+K572+K607+K626+K638+K477+K671</f>
        <v>239552.15571999998</v>
      </c>
      <c r="L427" s="349">
        <f t="shared" si="39"/>
        <v>99.6847350626648</v>
      </c>
      <c r="M427" s="348" t="e">
        <f>M428+M485+M510+M572+M607+M626+M638+M477</f>
        <v>#REF!</v>
      </c>
      <c r="N427" s="266" t="e">
        <f>N428+N485+N510+N572+N607+N626+N638+N477</f>
        <v>#DIV/0!</v>
      </c>
      <c r="O427" s="166">
        <f t="shared" si="40"/>
        <v>479762.2391449373</v>
      </c>
      <c r="P427" s="347"/>
      <c r="R427" s="166"/>
    </row>
    <row r="428" spans="1:15" s="237" customFormat="1" ht="15">
      <c r="A428" s="242" t="s">
        <v>354</v>
      </c>
      <c r="B428" s="222" t="s">
        <v>540</v>
      </c>
      <c r="C428" s="222" t="s">
        <v>357</v>
      </c>
      <c r="D428" s="222"/>
      <c r="E428" s="222"/>
      <c r="F428" s="222"/>
      <c r="G428" s="248" t="e">
        <f>G429+G433+G439+G450+G455+G471</f>
        <v>#REF!</v>
      </c>
      <c r="H428" s="248">
        <f>H429+H433+H439+H455+H471+H454</f>
        <v>12549.96</v>
      </c>
      <c r="I428" s="248">
        <f>I429+I433+I439+I455+I471+I454</f>
        <v>0</v>
      </c>
      <c r="J428" s="240">
        <f>J429+J433+J439+J455+J471+J454+J461</f>
        <v>20254.42353</v>
      </c>
      <c r="K428" s="240">
        <f>K429+K433+K439+K455+K471+K454+K461</f>
        <v>20154.22332</v>
      </c>
      <c r="L428" s="172">
        <f t="shared" si="39"/>
        <v>99.5052922150483</v>
      </c>
      <c r="M428" s="346">
        <f>M429+M433+M439+M455+M471+M454</f>
        <v>-176.62</v>
      </c>
      <c r="N428" s="345" t="e">
        <f>N429+N433+N439+N455+N471+N454</f>
        <v>#DIV/0!</v>
      </c>
      <c r="O428" s="166">
        <f t="shared" si="40"/>
        <v>40309.141557784955</v>
      </c>
    </row>
    <row r="429" spans="1:15" s="115" customFormat="1" ht="57.75">
      <c r="A429" s="220" t="s">
        <v>715</v>
      </c>
      <c r="B429" s="143" t="s">
        <v>540</v>
      </c>
      <c r="C429" s="143" t="s">
        <v>357</v>
      </c>
      <c r="D429" s="143" t="s">
        <v>358</v>
      </c>
      <c r="E429" s="143"/>
      <c r="F429" s="143"/>
      <c r="G429" s="128">
        <f aca="true" t="shared" si="43" ref="G429:K431">G430</f>
        <v>0</v>
      </c>
      <c r="H429" s="128">
        <f t="shared" si="43"/>
        <v>861</v>
      </c>
      <c r="I429" s="128">
        <f t="shared" si="43"/>
        <v>0</v>
      </c>
      <c r="J429" s="141">
        <f t="shared" si="43"/>
        <v>1004.573</v>
      </c>
      <c r="K429" s="141">
        <f t="shared" si="43"/>
        <v>1000.8444</v>
      </c>
      <c r="L429" s="214">
        <f t="shared" si="39"/>
        <v>99.62883732690406</v>
      </c>
      <c r="M429" s="230">
        <f aca="true" t="shared" si="44" ref="M429:N431">M430</f>
        <v>0</v>
      </c>
      <c r="N429" s="229">
        <f t="shared" si="44"/>
        <v>99.62883732690406</v>
      </c>
      <c r="O429" s="166">
        <f t="shared" si="40"/>
        <v>1905.7885626730958</v>
      </c>
    </row>
    <row r="430" spans="1:15" ht="30">
      <c r="A430" s="219" t="s">
        <v>535</v>
      </c>
      <c r="B430" s="218" t="s">
        <v>540</v>
      </c>
      <c r="C430" s="218" t="s">
        <v>357</v>
      </c>
      <c r="D430" s="218" t="s">
        <v>358</v>
      </c>
      <c r="E430" s="218" t="s">
        <v>534</v>
      </c>
      <c r="F430" s="218"/>
      <c r="G430" s="216">
        <f t="shared" si="43"/>
        <v>0</v>
      </c>
      <c r="H430" s="216">
        <f t="shared" si="43"/>
        <v>861</v>
      </c>
      <c r="I430" s="216">
        <f t="shared" si="43"/>
        <v>0</v>
      </c>
      <c r="J430" s="215">
        <f t="shared" si="43"/>
        <v>1004.573</v>
      </c>
      <c r="K430" s="215">
        <f t="shared" si="43"/>
        <v>1000.8444</v>
      </c>
      <c r="L430" s="214">
        <f t="shared" si="39"/>
        <v>99.62883732690406</v>
      </c>
      <c r="M430" s="228">
        <f t="shared" si="44"/>
        <v>0</v>
      </c>
      <c r="N430" s="227">
        <f t="shared" si="44"/>
        <v>99.62883732690406</v>
      </c>
      <c r="O430" s="166">
        <f t="shared" si="40"/>
        <v>1905.7885626730958</v>
      </c>
    </row>
    <row r="431" spans="1:15" ht="15">
      <c r="A431" s="219" t="s">
        <v>714</v>
      </c>
      <c r="B431" s="218" t="s">
        <v>540</v>
      </c>
      <c r="C431" s="218" t="s">
        <v>357</v>
      </c>
      <c r="D431" s="218" t="s">
        <v>358</v>
      </c>
      <c r="E431" s="218" t="s">
        <v>713</v>
      </c>
      <c r="F431" s="218"/>
      <c r="G431" s="216">
        <f t="shared" si="43"/>
        <v>0</v>
      </c>
      <c r="H431" s="216">
        <f t="shared" si="43"/>
        <v>861</v>
      </c>
      <c r="I431" s="216">
        <f t="shared" si="43"/>
        <v>0</v>
      </c>
      <c r="J431" s="215">
        <f t="shared" si="43"/>
        <v>1004.573</v>
      </c>
      <c r="K431" s="215">
        <f t="shared" si="43"/>
        <v>1000.8444</v>
      </c>
      <c r="L431" s="214">
        <f t="shared" si="39"/>
        <v>99.62883732690406</v>
      </c>
      <c r="M431" s="228">
        <f t="shared" si="44"/>
        <v>0</v>
      </c>
      <c r="N431" s="227">
        <f t="shared" si="44"/>
        <v>99.62883732690406</v>
      </c>
      <c r="O431" s="166">
        <f t="shared" si="40"/>
        <v>1905.7885626730958</v>
      </c>
    </row>
    <row r="432" spans="1:16" ht="30">
      <c r="A432" s="226" t="s">
        <v>491</v>
      </c>
      <c r="B432" s="218" t="s">
        <v>540</v>
      </c>
      <c r="C432" s="218" t="s">
        <v>357</v>
      </c>
      <c r="D432" s="218" t="s">
        <v>358</v>
      </c>
      <c r="E432" s="218" t="s">
        <v>713</v>
      </c>
      <c r="F432" s="218" t="s">
        <v>488</v>
      </c>
      <c r="G432" s="216"/>
      <c r="H432" s="217">
        <v>861</v>
      </c>
      <c r="I432" s="216"/>
      <c r="J432" s="215">
        <v>1004.573</v>
      </c>
      <c r="K432" s="215">
        <v>1000.8444</v>
      </c>
      <c r="L432" s="214">
        <f t="shared" si="39"/>
        <v>99.62883732690406</v>
      </c>
      <c r="M432" s="228"/>
      <c r="N432" s="235">
        <f>L432+M432</f>
        <v>99.62883732690406</v>
      </c>
      <c r="O432" s="166">
        <f t="shared" si="40"/>
        <v>1905.7885626730958</v>
      </c>
      <c r="P432" s="211">
        <f>L432-O432</f>
        <v>-1806.1597253461919</v>
      </c>
    </row>
    <row r="433" spans="1:15" s="115" customFormat="1" ht="86.25">
      <c r="A433" s="220" t="s">
        <v>712</v>
      </c>
      <c r="B433" s="143" t="s">
        <v>540</v>
      </c>
      <c r="C433" s="143" t="s">
        <v>357</v>
      </c>
      <c r="D433" s="143" t="s">
        <v>360</v>
      </c>
      <c r="E433" s="143"/>
      <c r="F433" s="143"/>
      <c r="G433" s="128">
        <f>G434</f>
        <v>30</v>
      </c>
      <c r="H433" s="128">
        <f>H434</f>
        <v>1353</v>
      </c>
      <c r="I433" s="128">
        <f>I434</f>
        <v>0</v>
      </c>
      <c r="J433" s="141">
        <f>J434</f>
        <v>1678.489</v>
      </c>
      <c r="K433" s="141">
        <f>K434</f>
        <v>1677.5955</v>
      </c>
      <c r="L433" s="172">
        <f t="shared" si="39"/>
        <v>99.94676759871527</v>
      </c>
      <c r="M433" s="230">
        <f>M434</f>
        <v>0</v>
      </c>
      <c r="N433" s="229">
        <f>N434</f>
        <v>199.907817603691</v>
      </c>
      <c r="O433" s="166">
        <f t="shared" si="40"/>
        <v>3256.1377324012847</v>
      </c>
    </row>
    <row r="434" spans="1:15" ht="30">
      <c r="A434" s="219" t="s">
        <v>535</v>
      </c>
      <c r="B434" s="218" t="s">
        <v>540</v>
      </c>
      <c r="C434" s="218" t="s">
        <v>357</v>
      </c>
      <c r="D434" s="218" t="s">
        <v>360</v>
      </c>
      <c r="E434" s="218" t="s">
        <v>534</v>
      </c>
      <c r="F434" s="218"/>
      <c r="G434" s="216">
        <f>G435+G437</f>
        <v>30</v>
      </c>
      <c r="H434" s="217">
        <f>H435+H437</f>
        <v>1353</v>
      </c>
      <c r="I434" s="216">
        <f>I435+I437</f>
        <v>0</v>
      </c>
      <c r="J434" s="215">
        <f>J435+J437</f>
        <v>1678.489</v>
      </c>
      <c r="K434" s="215">
        <f>K435+K437</f>
        <v>1677.5955</v>
      </c>
      <c r="L434" s="214">
        <f t="shared" si="39"/>
        <v>99.94676759871527</v>
      </c>
      <c r="M434" s="228">
        <f>M435+M437</f>
        <v>0</v>
      </c>
      <c r="N434" s="227">
        <f>N435+N437</f>
        <v>199.907817603691</v>
      </c>
      <c r="O434" s="166">
        <f t="shared" si="40"/>
        <v>3256.1377324012847</v>
      </c>
    </row>
    <row r="435" spans="1:15" ht="15">
      <c r="A435" s="219" t="s">
        <v>533</v>
      </c>
      <c r="B435" s="218" t="s">
        <v>540</v>
      </c>
      <c r="C435" s="218" t="s">
        <v>357</v>
      </c>
      <c r="D435" s="218" t="s">
        <v>360</v>
      </c>
      <c r="E435" s="218" t="s">
        <v>532</v>
      </c>
      <c r="F435" s="218"/>
      <c r="G435" s="216">
        <f>G436</f>
        <v>30</v>
      </c>
      <c r="H435" s="216">
        <f>H436</f>
        <v>615</v>
      </c>
      <c r="I435" s="216">
        <f>I436</f>
        <v>0</v>
      </c>
      <c r="J435" s="215">
        <f>J436</f>
        <v>969.274</v>
      </c>
      <c r="K435" s="215">
        <f>K436</f>
        <v>968.3805</v>
      </c>
      <c r="L435" s="214">
        <f t="shared" si="39"/>
        <v>99.907817603691</v>
      </c>
      <c r="M435" s="228">
        <f>M436</f>
        <v>0</v>
      </c>
      <c r="N435" s="227">
        <f>N436</f>
        <v>99.907817603691</v>
      </c>
      <c r="O435" s="166">
        <f t="shared" si="40"/>
        <v>1837.746682396309</v>
      </c>
    </row>
    <row r="436" spans="1:19" ht="30">
      <c r="A436" s="219" t="s">
        <v>491</v>
      </c>
      <c r="B436" s="218" t="s">
        <v>540</v>
      </c>
      <c r="C436" s="218" t="s">
        <v>357</v>
      </c>
      <c r="D436" s="218" t="s">
        <v>360</v>
      </c>
      <c r="E436" s="218" t="s">
        <v>532</v>
      </c>
      <c r="F436" s="218" t="s">
        <v>488</v>
      </c>
      <c r="G436" s="216">
        <v>30</v>
      </c>
      <c r="H436" s="217">
        <v>615</v>
      </c>
      <c r="I436" s="216"/>
      <c r="J436" s="215">
        <v>969.274</v>
      </c>
      <c r="K436" s="215">
        <v>968.3805</v>
      </c>
      <c r="L436" s="214">
        <f t="shared" si="39"/>
        <v>99.907817603691</v>
      </c>
      <c r="M436" s="228"/>
      <c r="N436" s="235">
        <f>L436+M436</f>
        <v>99.907817603691</v>
      </c>
      <c r="O436" s="166">
        <f t="shared" si="40"/>
        <v>1837.746682396309</v>
      </c>
      <c r="P436" s="190">
        <f>L436-O436</f>
        <v>-1737.838864792618</v>
      </c>
      <c r="R436" s="110">
        <v>76.422</v>
      </c>
      <c r="S436" s="166">
        <f>L436-R436</f>
        <v>23.485817603691004</v>
      </c>
    </row>
    <row r="437" spans="1:15" ht="45">
      <c r="A437" s="344" t="s">
        <v>711</v>
      </c>
      <c r="B437" s="218" t="s">
        <v>540</v>
      </c>
      <c r="C437" s="218" t="s">
        <v>357</v>
      </c>
      <c r="D437" s="218" t="s">
        <v>360</v>
      </c>
      <c r="E437" s="218" t="s">
        <v>710</v>
      </c>
      <c r="F437" s="218"/>
      <c r="G437" s="216">
        <f>G438</f>
        <v>0</v>
      </c>
      <c r="H437" s="217">
        <f>H438</f>
        <v>738</v>
      </c>
      <c r="I437" s="216">
        <f>I438</f>
        <v>0</v>
      </c>
      <c r="J437" s="215">
        <f>J438</f>
        <v>709.215</v>
      </c>
      <c r="K437" s="215">
        <f>K438</f>
        <v>709.215</v>
      </c>
      <c r="L437" s="214">
        <f t="shared" si="39"/>
        <v>100</v>
      </c>
      <c r="M437" s="228">
        <f>M438</f>
        <v>0</v>
      </c>
      <c r="N437" s="235">
        <f>N438</f>
        <v>100</v>
      </c>
      <c r="O437" s="166">
        <f t="shared" si="40"/>
        <v>1318.43</v>
      </c>
    </row>
    <row r="438" spans="1:16" ht="30">
      <c r="A438" s="219" t="s">
        <v>491</v>
      </c>
      <c r="B438" s="218" t="s">
        <v>540</v>
      </c>
      <c r="C438" s="218" t="s">
        <v>357</v>
      </c>
      <c r="D438" s="218" t="s">
        <v>360</v>
      </c>
      <c r="E438" s="218" t="s">
        <v>710</v>
      </c>
      <c r="F438" s="218" t="s">
        <v>488</v>
      </c>
      <c r="G438" s="216"/>
      <c r="H438" s="217">
        <v>738</v>
      </c>
      <c r="I438" s="216"/>
      <c r="J438" s="215">
        <v>709.215</v>
      </c>
      <c r="K438" s="215">
        <v>709.215</v>
      </c>
      <c r="L438" s="214">
        <f t="shared" si="39"/>
        <v>100</v>
      </c>
      <c r="M438" s="228"/>
      <c r="N438" s="235">
        <f>L438+M438</f>
        <v>100</v>
      </c>
      <c r="O438" s="166">
        <f t="shared" si="40"/>
        <v>1318.43</v>
      </c>
      <c r="P438" s="190">
        <f>L438-O438</f>
        <v>-1218.43</v>
      </c>
    </row>
    <row r="439" spans="1:15" s="115" customFormat="1" ht="86.25">
      <c r="A439" s="220" t="s">
        <v>536</v>
      </c>
      <c r="B439" s="143" t="s">
        <v>540</v>
      </c>
      <c r="C439" s="143" t="s">
        <v>357</v>
      </c>
      <c r="D439" s="143" t="s">
        <v>362</v>
      </c>
      <c r="E439" s="143"/>
      <c r="F439" s="143"/>
      <c r="G439" s="128" t="e">
        <f>G444+G440+G442</f>
        <v>#REF!</v>
      </c>
      <c r="H439" s="167">
        <f>H444+H440+H442+H448+H450</f>
        <v>10050.56</v>
      </c>
      <c r="I439" s="167">
        <f>I444+I440+I442+I448+I450</f>
        <v>0</v>
      </c>
      <c r="J439" s="141">
        <f>J444+J440+J442+J448+J450</f>
        <v>15174.14253</v>
      </c>
      <c r="K439" s="141">
        <f>K444+K440+K442+K448+K450</f>
        <v>15100.20788</v>
      </c>
      <c r="L439" s="172">
        <f t="shared" si="39"/>
        <v>99.51275895917132</v>
      </c>
      <c r="M439" s="314">
        <f>M444+M440+M442+M448+M450</f>
        <v>-88.62</v>
      </c>
      <c r="N439" s="343" t="e">
        <f>N444+N440+N442+N448+N450</f>
        <v>#DIV/0!</v>
      </c>
      <c r="O439" s="166">
        <f>SUM(J439:K439)</f>
        <v>30274.35041</v>
      </c>
    </row>
    <row r="440" spans="1:15" s="115" customFormat="1" ht="51.75" customHeight="1" hidden="1">
      <c r="A440" s="313" t="s">
        <v>706</v>
      </c>
      <c r="B440" s="218" t="s">
        <v>540</v>
      </c>
      <c r="C440" s="218" t="s">
        <v>357</v>
      </c>
      <c r="D440" s="218" t="s">
        <v>362</v>
      </c>
      <c r="E440" s="218" t="s">
        <v>687</v>
      </c>
      <c r="F440" s="218"/>
      <c r="G440" s="216">
        <f>G441</f>
        <v>47.3</v>
      </c>
      <c r="H440" s="216">
        <f>H441</f>
        <v>0</v>
      </c>
      <c r="I440" s="216">
        <f>I441</f>
        <v>0</v>
      </c>
      <c r="J440" s="215">
        <f>J441</f>
        <v>0</v>
      </c>
      <c r="K440" s="215">
        <f>K441</f>
        <v>0</v>
      </c>
      <c r="L440" s="214" t="e">
        <f t="shared" si="39"/>
        <v>#DIV/0!</v>
      </c>
      <c r="M440" s="228">
        <f>M441</f>
        <v>0</v>
      </c>
      <c r="N440" s="227" t="e">
        <f>N441</f>
        <v>#DIV/0!</v>
      </c>
      <c r="O440" s="166" t="e">
        <f aca="true" t="shared" si="45" ref="O440:O460">J440+K440-L440</f>
        <v>#DIV/0!</v>
      </c>
    </row>
    <row r="441" spans="1:15" s="115" customFormat="1" ht="30" customHeight="1" hidden="1">
      <c r="A441" s="219" t="s">
        <v>707</v>
      </c>
      <c r="B441" s="218" t="s">
        <v>540</v>
      </c>
      <c r="C441" s="218" t="s">
        <v>357</v>
      </c>
      <c r="D441" s="218" t="s">
        <v>362</v>
      </c>
      <c r="E441" s="218" t="s">
        <v>687</v>
      </c>
      <c r="F441" s="218" t="s">
        <v>699</v>
      </c>
      <c r="G441" s="216">
        <v>47.3</v>
      </c>
      <c r="H441" s="217"/>
      <c r="I441" s="216"/>
      <c r="J441" s="215">
        <f>H441+I441</f>
        <v>0</v>
      </c>
      <c r="K441" s="215">
        <f>49.6-49.6</f>
        <v>0</v>
      </c>
      <c r="L441" s="214" t="e">
        <f t="shared" si="39"/>
        <v>#DIV/0!</v>
      </c>
      <c r="M441" s="228">
        <f>49.6-49.6</f>
        <v>0</v>
      </c>
      <c r="N441" s="235" t="e">
        <f>L441+M441</f>
        <v>#DIV/0!</v>
      </c>
      <c r="O441" s="166" t="e">
        <f t="shared" si="45"/>
        <v>#DIV/0!</v>
      </c>
    </row>
    <row r="442" spans="1:15" s="115" customFormat="1" ht="75">
      <c r="A442" s="313" t="s">
        <v>709</v>
      </c>
      <c r="B442" s="218" t="s">
        <v>540</v>
      </c>
      <c r="C442" s="218" t="s">
        <v>357</v>
      </c>
      <c r="D442" s="218" t="s">
        <v>362</v>
      </c>
      <c r="E442" s="218" t="s">
        <v>708</v>
      </c>
      <c r="F442" s="218"/>
      <c r="G442" s="167" t="e">
        <f>G443</f>
        <v>#REF!</v>
      </c>
      <c r="H442" s="299">
        <f>H443</f>
        <v>0</v>
      </c>
      <c r="I442" s="167">
        <f>I443</f>
        <v>0</v>
      </c>
      <c r="J442" s="215">
        <f>J443</f>
        <v>1109.7</v>
      </c>
      <c r="K442" s="215">
        <f>K443</f>
        <v>1109.7</v>
      </c>
      <c r="L442" s="214">
        <f t="shared" si="39"/>
        <v>100</v>
      </c>
      <c r="M442" s="314">
        <f>M443</f>
        <v>0</v>
      </c>
      <c r="N442" s="300">
        <f>N443</f>
        <v>100</v>
      </c>
      <c r="O442" s="166">
        <f t="shared" si="45"/>
        <v>2119.4</v>
      </c>
    </row>
    <row r="443" spans="1:16" s="115" customFormat="1" ht="30">
      <c r="A443" s="106" t="s">
        <v>491</v>
      </c>
      <c r="B443" s="218" t="s">
        <v>540</v>
      </c>
      <c r="C443" s="218" t="s">
        <v>357</v>
      </c>
      <c r="D443" s="218" t="s">
        <v>362</v>
      </c>
      <c r="E443" s="218" t="s">
        <v>708</v>
      </c>
      <c r="F443" s="218" t="s">
        <v>488</v>
      </c>
      <c r="G443" s="167" t="e">
        <f>H443-#REF!</f>
        <v>#REF!</v>
      </c>
      <c r="H443" s="299"/>
      <c r="I443" s="167"/>
      <c r="J443" s="215">
        <v>1109.7</v>
      </c>
      <c r="K443" s="215">
        <v>1109.7</v>
      </c>
      <c r="L443" s="214">
        <f t="shared" si="39"/>
        <v>100</v>
      </c>
      <c r="M443" s="314"/>
      <c r="N443" s="300">
        <f>L443+M443</f>
        <v>100</v>
      </c>
      <c r="O443" s="166">
        <f t="shared" si="45"/>
        <v>2119.4</v>
      </c>
      <c r="P443" s="325">
        <f>K443</f>
        <v>1109.7</v>
      </c>
    </row>
    <row r="444" spans="1:15" ht="30">
      <c r="A444" s="219" t="s">
        <v>535</v>
      </c>
      <c r="B444" s="218" t="s">
        <v>540</v>
      </c>
      <c r="C444" s="218" t="s">
        <v>357</v>
      </c>
      <c r="D444" s="218" t="s">
        <v>362</v>
      </c>
      <c r="E444" s="218" t="s">
        <v>534</v>
      </c>
      <c r="F444" s="218"/>
      <c r="G444" s="216">
        <f>G445</f>
        <v>1312.7</v>
      </c>
      <c r="H444" s="216">
        <f>H445</f>
        <v>10050.56</v>
      </c>
      <c r="I444" s="216">
        <f>I445</f>
        <v>0</v>
      </c>
      <c r="J444" s="215">
        <f>J445</f>
        <v>14010.14253</v>
      </c>
      <c r="K444" s="215">
        <f>K445</f>
        <v>13936.20788</v>
      </c>
      <c r="L444" s="214">
        <f t="shared" si="39"/>
        <v>99.47227767425147</v>
      </c>
      <c r="M444" s="228">
        <f>M445</f>
        <v>-88.62</v>
      </c>
      <c r="N444" s="227" t="e">
        <f>N445</f>
        <v>#DIV/0!</v>
      </c>
      <c r="O444" s="166">
        <f t="shared" si="45"/>
        <v>27846.878132325746</v>
      </c>
    </row>
    <row r="445" spans="1:15" ht="15">
      <c r="A445" s="219" t="s">
        <v>533</v>
      </c>
      <c r="B445" s="218" t="s">
        <v>540</v>
      </c>
      <c r="C445" s="218" t="s">
        <v>357</v>
      </c>
      <c r="D445" s="218" t="s">
        <v>362</v>
      </c>
      <c r="E445" s="218" t="s">
        <v>532</v>
      </c>
      <c r="F445" s="218"/>
      <c r="G445" s="216">
        <f>G446+G447</f>
        <v>1312.7</v>
      </c>
      <c r="H445" s="216">
        <f>H446+H447</f>
        <v>10050.56</v>
      </c>
      <c r="I445" s="216">
        <f>I446+I447</f>
        <v>0</v>
      </c>
      <c r="J445" s="215">
        <f>J446+J447</f>
        <v>14010.14253</v>
      </c>
      <c r="K445" s="215">
        <f>K446+K447</f>
        <v>13936.20788</v>
      </c>
      <c r="L445" s="214">
        <f t="shared" si="39"/>
        <v>99.47227767425147</v>
      </c>
      <c r="M445" s="228">
        <f>M446+M447</f>
        <v>-88.62</v>
      </c>
      <c r="N445" s="227" t="e">
        <f>N446+N447</f>
        <v>#DIV/0!</v>
      </c>
      <c r="O445" s="166">
        <f t="shared" si="45"/>
        <v>27846.878132325746</v>
      </c>
    </row>
    <row r="446" spans="1:15" ht="30" hidden="1">
      <c r="A446" s="219" t="s">
        <v>707</v>
      </c>
      <c r="B446" s="218" t="s">
        <v>540</v>
      </c>
      <c r="C446" s="218" t="s">
        <v>357</v>
      </c>
      <c r="D446" s="218" t="s">
        <v>362</v>
      </c>
      <c r="E446" s="218" t="s">
        <v>532</v>
      </c>
      <c r="F446" s="218" t="s">
        <v>699</v>
      </c>
      <c r="G446" s="216">
        <v>-47.3</v>
      </c>
      <c r="H446" s="216">
        <v>49.6</v>
      </c>
      <c r="I446" s="216"/>
      <c r="J446" s="215"/>
      <c r="K446" s="215"/>
      <c r="L446" s="214" t="e">
        <f t="shared" si="39"/>
        <v>#DIV/0!</v>
      </c>
      <c r="M446" s="228"/>
      <c r="N446" s="235" t="e">
        <f>L446+M446</f>
        <v>#DIV/0!</v>
      </c>
      <c r="O446" s="166" t="e">
        <f t="shared" si="45"/>
        <v>#DIV/0!</v>
      </c>
    </row>
    <row r="447" spans="1:16" ht="30">
      <c r="A447" s="219" t="s">
        <v>491</v>
      </c>
      <c r="B447" s="218" t="s">
        <v>540</v>
      </c>
      <c r="C447" s="218" t="s">
        <v>357</v>
      </c>
      <c r="D447" s="218" t="s">
        <v>362</v>
      </c>
      <c r="E447" s="218" t="s">
        <v>532</v>
      </c>
      <c r="F447" s="218" t="s">
        <v>488</v>
      </c>
      <c r="G447" s="216">
        <f>10-200+200+80.47+1300-0.47-80+50</f>
        <v>1360</v>
      </c>
      <c r="H447" s="216">
        <f>49.6+117.4+10087.47-203.91-49.6</f>
        <v>10000.96</v>
      </c>
      <c r="I447" s="216"/>
      <c r="J447" s="215">
        <v>14010.14253</v>
      </c>
      <c r="K447" s="215">
        <v>13936.20788</v>
      </c>
      <c r="L447" s="214">
        <f t="shared" si="39"/>
        <v>99.47227767425147</v>
      </c>
      <c r="M447" s="298">
        <f>-176.62+88</f>
        <v>-88.62</v>
      </c>
      <c r="N447" s="235">
        <f>L447+M447</f>
        <v>10.852277674251468</v>
      </c>
      <c r="O447" s="166">
        <f t="shared" si="45"/>
        <v>27846.878132325746</v>
      </c>
      <c r="P447" s="190">
        <f>L447-O447</f>
        <v>-27747.405854651493</v>
      </c>
    </row>
    <row r="448" spans="1:15" ht="47.25" customHeight="1">
      <c r="A448" s="219" t="s">
        <v>706</v>
      </c>
      <c r="B448" s="222" t="s">
        <v>540</v>
      </c>
      <c r="C448" s="222" t="s">
        <v>357</v>
      </c>
      <c r="D448" s="218" t="s">
        <v>362</v>
      </c>
      <c r="E448" s="218" t="s">
        <v>687</v>
      </c>
      <c r="F448" s="218"/>
      <c r="G448" s="241"/>
      <c r="H448" s="217">
        <f>H449</f>
        <v>0</v>
      </c>
      <c r="I448" s="217">
        <f>I449</f>
        <v>0</v>
      </c>
      <c r="J448" s="215">
        <f>J449</f>
        <v>54.3</v>
      </c>
      <c r="K448" s="215">
        <f>K449</f>
        <v>54.3</v>
      </c>
      <c r="L448" s="214">
        <f t="shared" si="39"/>
        <v>100</v>
      </c>
      <c r="M448" s="276">
        <f>M449</f>
        <v>0</v>
      </c>
      <c r="N448" s="235">
        <f>N449</f>
        <v>100</v>
      </c>
      <c r="O448" s="166">
        <f t="shared" si="45"/>
        <v>8.599999999999994</v>
      </c>
    </row>
    <row r="449" spans="1:15" ht="29.25" customHeight="1">
      <c r="A449" s="106" t="s">
        <v>491</v>
      </c>
      <c r="B449" s="222" t="s">
        <v>540</v>
      </c>
      <c r="C449" s="222" t="s">
        <v>357</v>
      </c>
      <c r="D449" s="218" t="s">
        <v>362</v>
      </c>
      <c r="E449" s="218" t="s">
        <v>687</v>
      </c>
      <c r="F449" s="218" t="s">
        <v>488</v>
      </c>
      <c r="G449" s="241"/>
      <c r="H449" s="217"/>
      <c r="I449" s="241"/>
      <c r="J449" s="215">
        <v>54.3</v>
      </c>
      <c r="K449" s="240">
        <v>54.3</v>
      </c>
      <c r="L449" s="214">
        <f t="shared" si="39"/>
        <v>100</v>
      </c>
      <c r="M449" s="287"/>
      <c r="N449" s="235">
        <f>L449+M449</f>
        <v>100</v>
      </c>
      <c r="O449" s="166">
        <f t="shared" si="45"/>
        <v>8.599999999999994</v>
      </c>
    </row>
    <row r="450" spans="1:15" ht="14.25" customHeight="1" hidden="1">
      <c r="A450" s="219" t="s">
        <v>705</v>
      </c>
      <c r="B450" s="222" t="s">
        <v>540</v>
      </c>
      <c r="C450" s="222" t="s">
        <v>357</v>
      </c>
      <c r="D450" s="218" t="s">
        <v>362</v>
      </c>
      <c r="E450" s="218" t="s">
        <v>703</v>
      </c>
      <c r="F450" s="218"/>
      <c r="G450" s="241"/>
      <c r="H450" s="217">
        <f>H451</f>
        <v>0</v>
      </c>
      <c r="I450" s="217">
        <f>I451</f>
        <v>0</v>
      </c>
      <c r="J450" s="215">
        <f>J451</f>
        <v>0</v>
      </c>
      <c r="K450" s="215">
        <f>K451</f>
        <v>0</v>
      </c>
      <c r="L450" s="214" t="e">
        <f t="shared" si="39"/>
        <v>#DIV/0!</v>
      </c>
      <c r="M450" s="276">
        <f>M451</f>
        <v>0</v>
      </c>
      <c r="N450" s="235" t="e">
        <f>N451</f>
        <v>#DIV/0!</v>
      </c>
      <c r="O450" s="166" t="e">
        <f t="shared" si="45"/>
        <v>#DIV/0!</v>
      </c>
    </row>
    <row r="451" spans="1:15" ht="14.25" customHeight="1" hidden="1">
      <c r="A451" s="342" t="s">
        <v>704</v>
      </c>
      <c r="B451" s="222" t="s">
        <v>540</v>
      </c>
      <c r="C451" s="222" t="s">
        <v>357</v>
      </c>
      <c r="D451" s="218" t="s">
        <v>362</v>
      </c>
      <c r="E451" s="218" t="s">
        <v>703</v>
      </c>
      <c r="F451" s="218" t="s">
        <v>488</v>
      </c>
      <c r="G451" s="241"/>
      <c r="H451" s="217"/>
      <c r="I451" s="241"/>
      <c r="J451" s="215">
        <f>H451+I451</f>
        <v>0</v>
      </c>
      <c r="K451" s="240"/>
      <c r="L451" s="214" t="e">
        <f t="shared" si="39"/>
        <v>#DIV/0!</v>
      </c>
      <c r="M451" s="287"/>
      <c r="N451" s="235" t="e">
        <f>L451+M451</f>
        <v>#DIV/0!</v>
      </c>
      <c r="O451" s="166" t="e">
        <f t="shared" si="45"/>
        <v>#DIV/0!</v>
      </c>
    </row>
    <row r="452" spans="1:15" ht="18" customHeight="1" hidden="1">
      <c r="A452" s="341" t="s">
        <v>363</v>
      </c>
      <c r="B452" s="340" t="s">
        <v>540</v>
      </c>
      <c r="C452" s="340" t="s">
        <v>357</v>
      </c>
      <c r="D452" s="340" t="s">
        <v>364</v>
      </c>
      <c r="E452" s="339"/>
      <c r="F452" s="339"/>
      <c r="G452" s="241"/>
      <c r="H452" s="217">
        <f aca="true" t="shared" si="46" ref="H452:K453">H453</f>
        <v>0</v>
      </c>
      <c r="I452" s="217">
        <f t="shared" si="46"/>
        <v>0</v>
      </c>
      <c r="J452" s="215">
        <f t="shared" si="46"/>
        <v>0</v>
      </c>
      <c r="K452" s="215">
        <f t="shared" si="46"/>
        <v>0</v>
      </c>
      <c r="L452" s="214" t="e">
        <f t="shared" si="39"/>
        <v>#DIV/0!</v>
      </c>
      <c r="M452" s="232">
        <f>M453</f>
        <v>0</v>
      </c>
      <c r="N452" s="231" t="e">
        <f>N453</f>
        <v>#DIV/0!</v>
      </c>
      <c r="O452" s="166" t="e">
        <f t="shared" si="45"/>
        <v>#DIV/0!</v>
      </c>
    </row>
    <row r="453" spans="1:15" ht="17.25" customHeight="1" hidden="1">
      <c r="A453" s="106" t="s">
        <v>702</v>
      </c>
      <c r="B453" s="338" t="s">
        <v>540</v>
      </c>
      <c r="C453" s="338" t="s">
        <v>357</v>
      </c>
      <c r="D453" s="338" t="s">
        <v>364</v>
      </c>
      <c r="E453" s="338" t="s">
        <v>700</v>
      </c>
      <c r="F453" s="338"/>
      <c r="G453" s="241"/>
      <c r="H453" s="217">
        <f t="shared" si="46"/>
        <v>0</v>
      </c>
      <c r="I453" s="217">
        <f t="shared" si="46"/>
        <v>0</v>
      </c>
      <c r="J453" s="215">
        <f t="shared" si="46"/>
        <v>0</v>
      </c>
      <c r="K453" s="215">
        <f t="shared" si="46"/>
        <v>0</v>
      </c>
      <c r="L453" s="214" t="e">
        <f t="shared" si="39"/>
        <v>#DIV/0!</v>
      </c>
      <c r="M453" s="276">
        <f>M454</f>
        <v>0</v>
      </c>
      <c r="N453" s="235" t="e">
        <f>N454</f>
        <v>#DIV/0!</v>
      </c>
      <c r="O453" s="166" t="e">
        <f t="shared" si="45"/>
        <v>#DIV/0!</v>
      </c>
    </row>
    <row r="454" spans="1:15" ht="15" customHeight="1" hidden="1">
      <c r="A454" s="219" t="s">
        <v>701</v>
      </c>
      <c r="B454" s="218" t="s">
        <v>540</v>
      </c>
      <c r="C454" s="218" t="s">
        <v>357</v>
      </c>
      <c r="D454" s="218" t="s">
        <v>364</v>
      </c>
      <c r="E454" s="218" t="s">
        <v>700</v>
      </c>
      <c r="F454" s="218" t="s">
        <v>699</v>
      </c>
      <c r="G454" s="216"/>
      <c r="H454" s="217"/>
      <c r="I454" s="216"/>
      <c r="J454" s="215">
        <f>H454+I454</f>
        <v>0</v>
      </c>
      <c r="K454" s="215"/>
      <c r="L454" s="214" t="e">
        <f t="shared" si="39"/>
        <v>#DIV/0!</v>
      </c>
      <c r="M454" s="337"/>
      <c r="N454" s="336" t="e">
        <f>L454+M454</f>
        <v>#DIV/0!</v>
      </c>
      <c r="O454" s="166" t="e">
        <f t="shared" si="45"/>
        <v>#DIV/0!</v>
      </c>
    </row>
    <row r="455" spans="1:15" s="115" customFormat="1" ht="29.25" customHeight="1">
      <c r="A455" s="220" t="s">
        <v>698</v>
      </c>
      <c r="B455" s="143" t="s">
        <v>540</v>
      </c>
      <c r="C455" s="143" t="s">
        <v>357</v>
      </c>
      <c r="D455" s="143" t="s">
        <v>368</v>
      </c>
      <c r="E455" s="335"/>
      <c r="F455" s="143"/>
      <c r="G455" s="128">
        <f>G456</f>
        <v>0</v>
      </c>
      <c r="H455" s="128">
        <f>H456</f>
        <v>20</v>
      </c>
      <c r="I455" s="128">
        <f>I456</f>
        <v>0</v>
      </c>
      <c r="J455" s="141">
        <f>J456</f>
        <v>134.289</v>
      </c>
      <c r="K455" s="141">
        <f>K456</f>
        <v>134.289</v>
      </c>
      <c r="L455" s="172">
        <f t="shared" si="39"/>
        <v>100</v>
      </c>
      <c r="M455" s="230">
        <f>M456</f>
        <v>0</v>
      </c>
      <c r="N455" s="229">
        <f>N456</f>
        <v>100</v>
      </c>
      <c r="O455" s="166">
        <f t="shared" si="45"/>
        <v>168.57799999999997</v>
      </c>
    </row>
    <row r="456" spans="1:15" ht="32.25" customHeight="1">
      <c r="A456" s="219" t="s">
        <v>697</v>
      </c>
      <c r="B456" s="218" t="s">
        <v>540</v>
      </c>
      <c r="C456" s="218" t="s">
        <v>357</v>
      </c>
      <c r="D456" s="218" t="s">
        <v>368</v>
      </c>
      <c r="E456" s="331" t="s">
        <v>696</v>
      </c>
      <c r="F456" s="218"/>
      <c r="G456" s="216">
        <f>G459</f>
        <v>0</v>
      </c>
      <c r="H456" s="216">
        <f>H459</f>
        <v>20</v>
      </c>
      <c r="I456" s="216">
        <f>I459</f>
        <v>0</v>
      </c>
      <c r="J456" s="215">
        <f>J459+J457</f>
        <v>134.289</v>
      </c>
      <c r="K456" s="215">
        <f>K459+K457</f>
        <v>134.289</v>
      </c>
      <c r="L456" s="214">
        <f t="shared" si="39"/>
        <v>100</v>
      </c>
      <c r="M456" s="228">
        <f>M459</f>
        <v>0</v>
      </c>
      <c r="N456" s="227">
        <f>N459</f>
        <v>100</v>
      </c>
      <c r="O456" s="166">
        <f t="shared" si="45"/>
        <v>168.57799999999997</v>
      </c>
    </row>
    <row r="457" spans="1:15" ht="43.5" customHeight="1">
      <c r="A457" s="334" t="s">
        <v>695</v>
      </c>
      <c r="B457" s="218" t="s">
        <v>540</v>
      </c>
      <c r="C457" s="218" t="s">
        <v>357</v>
      </c>
      <c r="D457" s="218" t="s">
        <v>368</v>
      </c>
      <c r="E457" s="218" t="s">
        <v>694</v>
      </c>
      <c r="F457" s="218"/>
      <c r="G457" s="216">
        <f>G458</f>
        <v>0</v>
      </c>
      <c r="H457" s="216">
        <f>H458</f>
        <v>20</v>
      </c>
      <c r="I457" s="216">
        <f>I458</f>
        <v>0</v>
      </c>
      <c r="J457" s="215">
        <f>J458</f>
        <v>86.24571</v>
      </c>
      <c r="K457" s="215">
        <f>K458</f>
        <v>86.24571</v>
      </c>
      <c r="L457" s="214">
        <f t="shared" si="39"/>
        <v>100</v>
      </c>
      <c r="M457" s="228"/>
      <c r="N457" s="227"/>
      <c r="O457" s="166">
        <f t="shared" si="45"/>
        <v>72.49142</v>
      </c>
    </row>
    <row r="458" spans="1:15" ht="27" customHeight="1">
      <c r="A458" s="219" t="s">
        <v>491</v>
      </c>
      <c r="B458" s="218" t="s">
        <v>540</v>
      </c>
      <c r="C458" s="218" t="s">
        <v>357</v>
      </c>
      <c r="D458" s="218" t="s">
        <v>368</v>
      </c>
      <c r="E458" s="218" t="s">
        <v>694</v>
      </c>
      <c r="F458" s="218" t="s">
        <v>488</v>
      </c>
      <c r="G458" s="216"/>
      <c r="H458" s="216">
        <v>20</v>
      </c>
      <c r="I458" s="216"/>
      <c r="J458" s="215">
        <v>86.24571</v>
      </c>
      <c r="K458" s="215">
        <v>86.24571</v>
      </c>
      <c r="L458" s="214">
        <f t="shared" si="39"/>
        <v>100</v>
      </c>
      <c r="M458" s="228"/>
      <c r="N458" s="227"/>
      <c r="O458" s="166">
        <f t="shared" si="45"/>
        <v>72.49142</v>
      </c>
    </row>
    <row r="459" spans="1:15" ht="30" customHeight="1">
      <c r="A459" s="219" t="s">
        <v>693</v>
      </c>
      <c r="B459" s="218" t="s">
        <v>540</v>
      </c>
      <c r="C459" s="218" t="s">
        <v>357</v>
      </c>
      <c r="D459" s="218" t="s">
        <v>368</v>
      </c>
      <c r="E459" s="218" t="s">
        <v>692</v>
      </c>
      <c r="F459" s="218"/>
      <c r="G459" s="216">
        <f>G460</f>
        <v>0</v>
      </c>
      <c r="H459" s="216">
        <f>H460</f>
        <v>20</v>
      </c>
      <c r="I459" s="216">
        <f>I460</f>
        <v>0</v>
      </c>
      <c r="J459" s="215">
        <f>J460</f>
        <v>48.04329</v>
      </c>
      <c r="K459" s="215">
        <f>K460</f>
        <v>48.04329</v>
      </c>
      <c r="L459" s="214">
        <f t="shared" si="39"/>
        <v>100</v>
      </c>
      <c r="M459" s="228">
        <f>M460</f>
        <v>0</v>
      </c>
      <c r="N459" s="227">
        <f>N460</f>
        <v>100</v>
      </c>
      <c r="O459" s="166">
        <f t="shared" si="45"/>
        <v>-3.913420000000002</v>
      </c>
    </row>
    <row r="460" spans="1:15" ht="31.5" customHeight="1">
      <c r="A460" s="219" t="s">
        <v>491</v>
      </c>
      <c r="B460" s="218" t="s">
        <v>540</v>
      </c>
      <c r="C460" s="218" t="s">
        <v>357</v>
      </c>
      <c r="D460" s="218" t="s">
        <v>368</v>
      </c>
      <c r="E460" s="218" t="s">
        <v>692</v>
      </c>
      <c r="F460" s="218" t="s">
        <v>488</v>
      </c>
      <c r="G460" s="216"/>
      <c r="H460" s="216">
        <v>20</v>
      </c>
      <c r="I460" s="216"/>
      <c r="J460" s="215">
        <v>48.04329</v>
      </c>
      <c r="K460" s="215">
        <v>48.04329</v>
      </c>
      <c r="L460" s="214">
        <f aca="true" t="shared" si="47" ref="L460:L523">K460/J460*100</f>
        <v>100</v>
      </c>
      <c r="M460" s="228"/>
      <c r="N460" s="235">
        <f>L460+M460</f>
        <v>100</v>
      </c>
      <c r="O460" s="166">
        <f t="shared" si="45"/>
        <v>-3.913420000000002</v>
      </c>
    </row>
    <row r="461" spans="1:15" ht="25.5" customHeight="1">
      <c r="A461" s="296" t="s">
        <v>369</v>
      </c>
      <c r="B461" s="333" t="s">
        <v>540</v>
      </c>
      <c r="C461" s="333" t="s">
        <v>357</v>
      </c>
      <c r="D461" s="333" t="s">
        <v>370</v>
      </c>
      <c r="E461" s="333"/>
      <c r="F461" s="333"/>
      <c r="G461" s="142">
        <f>G464+G462</f>
        <v>0</v>
      </c>
      <c r="H461" s="142">
        <f>H464+H462</f>
        <v>265.4</v>
      </c>
      <c r="I461" s="142">
        <f>I464+I462</f>
        <v>0</v>
      </c>
      <c r="J461" s="141">
        <f>J464+J462+J467+J469</f>
        <v>2262.9300000000003</v>
      </c>
      <c r="K461" s="141">
        <f>K464+K462+K467+K469</f>
        <v>2241.28654</v>
      </c>
      <c r="L461" s="172">
        <f t="shared" si="47"/>
        <v>99.04356475896293</v>
      </c>
      <c r="M461" s="228"/>
      <c r="N461" s="235"/>
      <c r="O461" s="166">
        <f>SUM(J461:K461)</f>
        <v>4504.21654</v>
      </c>
    </row>
    <row r="462" spans="1:18" ht="30.75" customHeight="1">
      <c r="A462" s="332" t="s">
        <v>688</v>
      </c>
      <c r="B462" s="331" t="s">
        <v>540</v>
      </c>
      <c r="C462" s="331" t="s">
        <v>357</v>
      </c>
      <c r="D462" s="331" t="s">
        <v>370</v>
      </c>
      <c r="E462" s="331" t="s">
        <v>687</v>
      </c>
      <c r="F462" s="331"/>
      <c r="G462" s="309">
        <f>G463</f>
        <v>195</v>
      </c>
      <c r="H462" s="309">
        <f>H463</f>
        <v>0</v>
      </c>
      <c r="I462" s="309">
        <f>I463</f>
        <v>0</v>
      </c>
      <c r="J462" s="215">
        <f>J463</f>
        <v>433.65</v>
      </c>
      <c r="K462" s="215">
        <f>K463</f>
        <v>433.65</v>
      </c>
      <c r="L462" s="214">
        <f t="shared" si="47"/>
        <v>100</v>
      </c>
      <c r="M462" s="228"/>
      <c r="N462" s="235"/>
      <c r="O462" s="166">
        <f aca="true" t="shared" si="48" ref="O462:O476">J462+K462-L462</f>
        <v>767.3</v>
      </c>
      <c r="R462" s="166">
        <f>J463+J466+J468+J470</f>
        <v>2262.9300000000003</v>
      </c>
    </row>
    <row r="463" spans="1:16" ht="28.5" customHeight="1">
      <c r="A463" s="292" t="s">
        <v>500</v>
      </c>
      <c r="B463" s="331" t="s">
        <v>540</v>
      </c>
      <c r="C463" s="331" t="s">
        <v>357</v>
      </c>
      <c r="D463" s="331" t="s">
        <v>370</v>
      </c>
      <c r="E463" s="331" t="s">
        <v>686</v>
      </c>
      <c r="F463" s="331" t="s">
        <v>498</v>
      </c>
      <c r="G463" s="309">
        <v>195</v>
      </c>
      <c r="H463" s="214"/>
      <c r="I463" s="309"/>
      <c r="J463" s="215">
        <v>433.65</v>
      </c>
      <c r="K463" s="215">
        <v>433.65</v>
      </c>
      <c r="L463" s="214">
        <f t="shared" si="47"/>
        <v>100</v>
      </c>
      <c r="M463" s="228"/>
      <c r="N463" s="235"/>
      <c r="O463" s="166">
        <f t="shared" si="48"/>
        <v>767.3</v>
      </c>
      <c r="P463" s="166">
        <f>K463</f>
        <v>433.65</v>
      </c>
    </row>
    <row r="464" spans="1:15" ht="43.5" customHeight="1">
      <c r="A464" s="292" t="s">
        <v>685</v>
      </c>
      <c r="B464" s="331" t="s">
        <v>540</v>
      </c>
      <c r="C464" s="331" t="s">
        <v>357</v>
      </c>
      <c r="D464" s="331" t="s">
        <v>370</v>
      </c>
      <c r="E464" s="331" t="s">
        <v>684</v>
      </c>
      <c r="F464" s="331"/>
      <c r="G464" s="309">
        <f aca="true" t="shared" si="49" ref="G464:K465">G465</f>
        <v>-195</v>
      </c>
      <c r="H464" s="309">
        <f t="shared" si="49"/>
        <v>265.4</v>
      </c>
      <c r="I464" s="309">
        <f t="shared" si="49"/>
        <v>0</v>
      </c>
      <c r="J464" s="215">
        <f t="shared" si="49"/>
        <v>112.73</v>
      </c>
      <c r="K464" s="215">
        <f t="shared" si="49"/>
        <v>105.788</v>
      </c>
      <c r="L464" s="214">
        <f t="shared" si="47"/>
        <v>93.84192317927791</v>
      </c>
      <c r="M464" s="228"/>
      <c r="N464" s="235"/>
      <c r="O464" s="166">
        <f t="shared" si="48"/>
        <v>124.67607682072209</v>
      </c>
    </row>
    <row r="465" spans="1:15" ht="27.75" customHeight="1">
      <c r="A465" s="292" t="s">
        <v>501</v>
      </c>
      <c r="B465" s="331" t="s">
        <v>540</v>
      </c>
      <c r="C465" s="331" t="s">
        <v>357</v>
      </c>
      <c r="D465" s="331" t="s">
        <v>370</v>
      </c>
      <c r="E465" s="331" t="s">
        <v>683</v>
      </c>
      <c r="F465" s="331"/>
      <c r="G465" s="309">
        <f t="shared" si="49"/>
        <v>-195</v>
      </c>
      <c r="H465" s="309">
        <f t="shared" si="49"/>
        <v>265.4</v>
      </c>
      <c r="I465" s="309">
        <f t="shared" si="49"/>
        <v>0</v>
      </c>
      <c r="J465" s="215">
        <f t="shared" si="49"/>
        <v>112.73</v>
      </c>
      <c r="K465" s="215">
        <f t="shared" si="49"/>
        <v>105.788</v>
      </c>
      <c r="L465" s="214">
        <f t="shared" si="47"/>
        <v>93.84192317927791</v>
      </c>
      <c r="M465" s="228"/>
      <c r="N465" s="235"/>
      <c r="O465" s="166">
        <f t="shared" si="48"/>
        <v>124.67607682072209</v>
      </c>
    </row>
    <row r="466" spans="1:15" ht="27.75" customHeight="1">
      <c r="A466" s="292" t="s">
        <v>500</v>
      </c>
      <c r="B466" s="331" t="s">
        <v>540</v>
      </c>
      <c r="C466" s="331" t="s">
        <v>357</v>
      </c>
      <c r="D466" s="331" t="s">
        <v>370</v>
      </c>
      <c r="E466" s="331" t="s">
        <v>683</v>
      </c>
      <c r="F466" s="331" t="s">
        <v>498</v>
      </c>
      <c r="G466" s="309">
        <v>-195</v>
      </c>
      <c r="H466" s="309">
        <f>204.4+61</f>
        <v>265.4</v>
      </c>
      <c r="I466" s="309"/>
      <c r="J466" s="215">
        <v>112.73</v>
      </c>
      <c r="K466" s="215">
        <v>105.788</v>
      </c>
      <c r="L466" s="214">
        <f t="shared" si="47"/>
        <v>93.84192317927791</v>
      </c>
      <c r="M466" s="228"/>
      <c r="N466" s="235"/>
      <c r="O466" s="166">
        <f t="shared" si="48"/>
        <v>124.67607682072209</v>
      </c>
    </row>
    <row r="467" spans="1:15" ht="42" customHeight="1">
      <c r="A467" s="292" t="s">
        <v>691</v>
      </c>
      <c r="B467" s="331" t="s">
        <v>540</v>
      </c>
      <c r="C467" s="331" t="s">
        <v>357</v>
      </c>
      <c r="D467" s="331" t="s">
        <v>370</v>
      </c>
      <c r="E467" s="331" t="s">
        <v>690</v>
      </c>
      <c r="F467" s="331"/>
      <c r="G467" s="309"/>
      <c r="H467" s="214"/>
      <c r="I467" s="309"/>
      <c r="J467" s="215">
        <f>J468</f>
        <v>175.8</v>
      </c>
      <c r="K467" s="215">
        <f>K468</f>
        <v>171.842</v>
      </c>
      <c r="L467" s="214">
        <f t="shared" si="47"/>
        <v>97.74857792946531</v>
      </c>
      <c r="M467" s="228"/>
      <c r="N467" s="235"/>
      <c r="O467" s="166">
        <f t="shared" si="48"/>
        <v>249.89342207053474</v>
      </c>
    </row>
    <row r="468" spans="1:19" s="326" customFormat="1" ht="27.75" customHeight="1">
      <c r="A468" s="292" t="s">
        <v>491</v>
      </c>
      <c r="B468" s="331" t="s">
        <v>540</v>
      </c>
      <c r="C468" s="331" t="s">
        <v>357</v>
      </c>
      <c r="D468" s="331" t="s">
        <v>370</v>
      </c>
      <c r="E468" s="331" t="s">
        <v>690</v>
      </c>
      <c r="F468" s="331" t="s">
        <v>488</v>
      </c>
      <c r="G468" s="309"/>
      <c r="H468" s="214"/>
      <c r="I468" s="309"/>
      <c r="J468" s="215">
        <v>175.8</v>
      </c>
      <c r="K468" s="215">
        <v>171.842</v>
      </c>
      <c r="L468" s="214">
        <f t="shared" si="47"/>
        <v>97.74857792946531</v>
      </c>
      <c r="M468" s="330"/>
      <c r="N468" s="329"/>
      <c r="O468" s="166">
        <f t="shared" si="48"/>
        <v>249.89342207053474</v>
      </c>
      <c r="P468" s="328">
        <f>K468</f>
        <v>171.842</v>
      </c>
      <c r="Q468" s="327"/>
      <c r="R468" s="327" t="s">
        <v>689</v>
      </c>
      <c r="S468" s="327"/>
    </row>
    <row r="469" spans="1:16" ht="42" customHeight="1">
      <c r="A469" s="219" t="s">
        <v>627</v>
      </c>
      <c r="B469" s="218" t="s">
        <v>540</v>
      </c>
      <c r="C469" s="218" t="s">
        <v>357</v>
      </c>
      <c r="D469" s="218" t="s">
        <v>370</v>
      </c>
      <c r="E469" s="218" t="s">
        <v>626</v>
      </c>
      <c r="F469" s="218"/>
      <c r="G469" s="309"/>
      <c r="H469" s="214"/>
      <c r="I469" s="309"/>
      <c r="J469" s="215">
        <f>J470</f>
        <v>1540.75</v>
      </c>
      <c r="K469" s="215">
        <f>K470</f>
        <v>1530.00654</v>
      </c>
      <c r="L469" s="214">
        <f t="shared" si="47"/>
        <v>99.30271231543081</v>
      </c>
      <c r="M469" s="228"/>
      <c r="N469" s="235"/>
      <c r="O469" s="166">
        <f t="shared" si="48"/>
        <v>2971.4538276845697</v>
      </c>
      <c r="P469" s="166"/>
    </row>
    <row r="470" spans="1:16" ht="27.75" customHeight="1">
      <c r="A470" s="219" t="s">
        <v>491</v>
      </c>
      <c r="B470" s="218" t="s">
        <v>540</v>
      </c>
      <c r="C470" s="218" t="s">
        <v>357</v>
      </c>
      <c r="D470" s="218" t="s">
        <v>370</v>
      </c>
      <c r="E470" s="218" t="s">
        <v>626</v>
      </c>
      <c r="F470" s="218" t="s">
        <v>488</v>
      </c>
      <c r="G470" s="309"/>
      <c r="H470" s="214"/>
      <c r="I470" s="309"/>
      <c r="J470" s="215">
        <v>1540.75</v>
      </c>
      <c r="K470" s="215">
        <v>1530.00654</v>
      </c>
      <c r="L470" s="214">
        <f t="shared" si="47"/>
        <v>99.30271231543081</v>
      </c>
      <c r="M470" s="228"/>
      <c r="N470" s="235"/>
      <c r="O470" s="166">
        <f t="shared" si="48"/>
        <v>2971.4538276845697</v>
      </c>
      <c r="P470" s="166"/>
    </row>
    <row r="471" spans="1:15" s="115" customFormat="1" ht="29.25" hidden="1">
      <c r="A471" s="220" t="s">
        <v>369</v>
      </c>
      <c r="B471" s="143" t="s">
        <v>540</v>
      </c>
      <c r="C471" s="143" t="s">
        <v>357</v>
      </c>
      <c r="D471" s="143" t="s">
        <v>380</v>
      </c>
      <c r="E471" s="143"/>
      <c r="F471" s="143"/>
      <c r="G471" s="128">
        <f>G474+G472</f>
        <v>0</v>
      </c>
      <c r="H471" s="128">
        <f>H474+H472</f>
        <v>265.4</v>
      </c>
      <c r="I471" s="128">
        <f>I474+I472</f>
        <v>0</v>
      </c>
      <c r="J471" s="141">
        <f>J474+J472</f>
        <v>0</v>
      </c>
      <c r="K471" s="141">
        <f>K474+K472</f>
        <v>0</v>
      </c>
      <c r="L471" s="214" t="e">
        <f t="shared" si="47"/>
        <v>#DIV/0!</v>
      </c>
      <c r="M471" s="230">
        <f>M474+M472</f>
        <v>-88</v>
      </c>
      <c r="N471" s="229" t="e">
        <f>N474+N472</f>
        <v>#DIV/0!</v>
      </c>
      <c r="O471" s="166" t="e">
        <f t="shared" si="48"/>
        <v>#DIV/0!</v>
      </c>
    </row>
    <row r="472" spans="1:15" s="115" customFormat="1" ht="44.25" customHeight="1" hidden="1">
      <c r="A472" s="313" t="s">
        <v>688</v>
      </c>
      <c r="B472" s="218" t="s">
        <v>540</v>
      </c>
      <c r="C472" s="218" t="s">
        <v>357</v>
      </c>
      <c r="D472" s="218" t="s">
        <v>380</v>
      </c>
      <c r="E472" s="218" t="s">
        <v>687</v>
      </c>
      <c r="F472" s="218"/>
      <c r="G472" s="216">
        <f>G473</f>
        <v>195</v>
      </c>
      <c r="H472" s="216">
        <f>H473</f>
        <v>0</v>
      </c>
      <c r="I472" s="216">
        <f>I473</f>
        <v>0</v>
      </c>
      <c r="J472" s="215">
        <f>J473</f>
        <v>0</v>
      </c>
      <c r="K472" s="215">
        <f>K473</f>
        <v>0</v>
      </c>
      <c r="L472" s="214" t="e">
        <f t="shared" si="47"/>
        <v>#DIV/0!</v>
      </c>
      <c r="M472" s="228">
        <f>M473</f>
        <v>0</v>
      </c>
      <c r="N472" s="227" t="e">
        <f>N473</f>
        <v>#DIV/0!</v>
      </c>
      <c r="O472" s="166" t="e">
        <f t="shared" si="48"/>
        <v>#DIV/0!</v>
      </c>
    </row>
    <row r="473" spans="1:16" s="115" customFormat="1" ht="30.75" customHeight="1" hidden="1">
      <c r="A473" s="219" t="s">
        <v>500</v>
      </c>
      <c r="B473" s="218" t="s">
        <v>540</v>
      </c>
      <c r="C473" s="218" t="s">
        <v>357</v>
      </c>
      <c r="D473" s="218" t="s">
        <v>380</v>
      </c>
      <c r="E473" s="218" t="s">
        <v>686</v>
      </c>
      <c r="F473" s="218" t="s">
        <v>498</v>
      </c>
      <c r="G473" s="216">
        <v>195</v>
      </c>
      <c r="H473" s="217"/>
      <c r="I473" s="216"/>
      <c r="J473" s="215"/>
      <c r="K473" s="215"/>
      <c r="L473" s="214" t="e">
        <f t="shared" si="47"/>
        <v>#DIV/0!</v>
      </c>
      <c r="M473" s="228"/>
      <c r="N473" s="235" t="e">
        <f>L473+M473</f>
        <v>#DIV/0!</v>
      </c>
      <c r="O473" s="166" t="e">
        <f t="shared" si="48"/>
        <v>#DIV/0!</v>
      </c>
      <c r="P473" s="325">
        <f>K473</f>
        <v>0</v>
      </c>
    </row>
    <row r="474" spans="1:15" ht="45" hidden="1">
      <c r="A474" s="219" t="s">
        <v>685</v>
      </c>
      <c r="B474" s="218" t="s">
        <v>540</v>
      </c>
      <c r="C474" s="218" t="s">
        <v>357</v>
      </c>
      <c r="D474" s="218" t="s">
        <v>380</v>
      </c>
      <c r="E474" s="218" t="s">
        <v>684</v>
      </c>
      <c r="F474" s="218"/>
      <c r="G474" s="216">
        <f aca="true" t="shared" si="50" ref="G474:K475">G475</f>
        <v>-195</v>
      </c>
      <c r="H474" s="216">
        <f t="shared" si="50"/>
        <v>265.4</v>
      </c>
      <c r="I474" s="216">
        <f t="shared" si="50"/>
        <v>0</v>
      </c>
      <c r="J474" s="215">
        <f t="shared" si="50"/>
        <v>0</v>
      </c>
      <c r="K474" s="215">
        <f t="shared" si="50"/>
        <v>0</v>
      </c>
      <c r="L474" s="214" t="e">
        <f t="shared" si="47"/>
        <v>#DIV/0!</v>
      </c>
      <c r="M474" s="228">
        <f>M475</f>
        <v>-88</v>
      </c>
      <c r="N474" s="227" t="e">
        <f>N475</f>
        <v>#DIV/0!</v>
      </c>
      <c r="O474" s="166" t="e">
        <f t="shared" si="48"/>
        <v>#DIV/0!</v>
      </c>
    </row>
    <row r="475" spans="1:15" ht="18" customHeight="1" hidden="1">
      <c r="A475" s="219" t="s">
        <v>501</v>
      </c>
      <c r="B475" s="218" t="s">
        <v>540</v>
      </c>
      <c r="C475" s="218" t="s">
        <v>357</v>
      </c>
      <c r="D475" s="218" t="s">
        <v>380</v>
      </c>
      <c r="E475" s="218" t="s">
        <v>683</v>
      </c>
      <c r="F475" s="218"/>
      <c r="G475" s="216">
        <f t="shared" si="50"/>
        <v>-195</v>
      </c>
      <c r="H475" s="216">
        <f t="shared" si="50"/>
        <v>265.4</v>
      </c>
      <c r="I475" s="216">
        <f t="shared" si="50"/>
        <v>0</v>
      </c>
      <c r="J475" s="215">
        <f t="shared" si="50"/>
        <v>0</v>
      </c>
      <c r="K475" s="215">
        <f t="shared" si="50"/>
        <v>0</v>
      </c>
      <c r="L475" s="214" t="e">
        <f t="shared" si="47"/>
        <v>#DIV/0!</v>
      </c>
      <c r="M475" s="228">
        <f>M476</f>
        <v>-88</v>
      </c>
      <c r="N475" s="227" t="e">
        <f>N476</f>
        <v>#DIV/0!</v>
      </c>
      <c r="O475" s="166" t="e">
        <f t="shared" si="48"/>
        <v>#DIV/0!</v>
      </c>
    </row>
    <row r="476" spans="1:16" ht="18" customHeight="1" hidden="1">
      <c r="A476" s="219" t="s">
        <v>500</v>
      </c>
      <c r="B476" s="218" t="s">
        <v>540</v>
      </c>
      <c r="C476" s="218" t="s">
        <v>357</v>
      </c>
      <c r="D476" s="218" t="s">
        <v>380</v>
      </c>
      <c r="E476" s="218" t="s">
        <v>683</v>
      </c>
      <c r="F476" s="218" t="s">
        <v>498</v>
      </c>
      <c r="G476" s="216">
        <v>-195</v>
      </c>
      <c r="H476" s="216">
        <f>204.4+61</f>
        <v>265.4</v>
      </c>
      <c r="I476" s="216"/>
      <c r="J476" s="215"/>
      <c r="K476" s="215"/>
      <c r="L476" s="214" t="e">
        <f t="shared" si="47"/>
        <v>#DIV/0!</v>
      </c>
      <c r="M476" s="228">
        <f>-88</f>
        <v>-88</v>
      </c>
      <c r="N476" s="235" t="e">
        <f>L476+M476</f>
        <v>#DIV/0!</v>
      </c>
      <c r="O476" s="166" t="e">
        <f t="shared" si="48"/>
        <v>#DIV/0!</v>
      </c>
      <c r="P476" s="233"/>
    </row>
    <row r="477" spans="1:15" s="237" customFormat="1" ht="43.5">
      <c r="A477" s="324" t="s">
        <v>374</v>
      </c>
      <c r="B477" s="222" t="s">
        <v>540</v>
      </c>
      <c r="C477" s="222" t="s">
        <v>360</v>
      </c>
      <c r="D477" s="222"/>
      <c r="E477" s="222"/>
      <c r="F477" s="222"/>
      <c r="G477" s="284">
        <f>G478+G482</f>
        <v>0</v>
      </c>
      <c r="H477" s="284">
        <f>H478+H482</f>
        <v>57.6</v>
      </c>
      <c r="I477" s="284">
        <f>I478+I482</f>
        <v>0</v>
      </c>
      <c r="J477" s="240">
        <f>J478+J482</f>
        <v>35</v>
      </c>
      <c r="K477" s="240">
        <f>K478+K482</f>
        <v>20</v>
      </c>
      <c r="L477" s="172">
        <f t="shared" si="47"/>
        <v>57.14285714285714</v>
      </c>
      <c r="M477" s="285">
        <f>M478+M482</f>
        <v>0</v>
      </c>
      <c r="N477" s="284">
        <f>N478+N482</f>
        <v>100</v>
      </c>
      <c r="O477" s="166">
        <f>SUM(J477:K477)</f>
        <v>55</v>
      </c>
    </row>
    <row r="478" spans="1:15" s="115" customFormat="1" ht="72">
      <c r="A478" s="220" t="s">
        <v>682</v>
      </c>
      <c r="B478" s="143" t="s">
        <v>540</v>
      </c>
      <c r="C478" s="143" t="s">
        <v>360</v>
      </c>
      <c r="D478" s="143" t="s">
        <v>378</v>
      </c>
      <c r="E478" s="143"/>
      <c r="F478" s="143"/>
      <c r="G478" s="128">
        <f aca="true" t="shared" si="51" ref="G478:K480">G479</f>
        <v>0</v>
      </c>
      <c r="H478" s="128">
        <f t="shared" si="51"/>
        <v>57.6</v>
      </c>
      <c r="I478" s="128">
        <f t="shared" si="51"/>
        <v>0</v>
      </c>
      <c r="J478" s="141">
        <f t="shared" si="51"/>
        <v>20</v>
      </c>
      <c r="K478" s="141">
        <f t="shared" si="51"/>
        <v>20</v>
      </c>
      <c r="L478" s="172">
        <f t="shared" si="47"/>
        <v>100</v>
      </c>
      <c r="M478" s="230">
        <f aca="true" t="shared" si="52" ref="M478:N480">M479</f>
        <v>0</v>
      </c>
      <c r="N478" s="229">
        <f t="shared" si="52"/>
        <v>100</v>
      </c>
      <c r="O478" s="166">
        <f aca="true" t="shared" si="53" ref="O478:O509">J478+K478-L478</f>
        <v>-60</v>
      </c>
    </row>
    <row r="479" spans="1:15" ht="60">
      <c r="A479" s="219" t="s">
        <v>681</v>
      </c>
      <c r="B479" s="218" t="s">
        <v>540</v>
      </c>
      <c r="C479" s="218" t="s">
        <v>360</v>
      </c>
      <c r="D479" s="218" t="s">
        <v>378</v>
      </c>
      <c r="E479" s="218" t="s">
        <v>680</v>
      </c>
      <c r="F479" s="218"/>
      <c r="G479" s="216">
        <f t="shared" si="51"/>
        <v>0</v>
      </c>
      <c r="H479" s="216">
        <f t="shared" si="51"/>
        <v>57.6</v>
      </c>
      <c r="I479" s="216">
        <f t="shared" si="51"/>
        <v>0</v>
      </c>
      <c r="J479" s="215">
        <f t="shared" si="51"/>
        <v>20</v>
      </c>
      <c r="K479" s="215">
        <f t="shared" si="51"/>
        <v>20</v>
      </c>
      <c r="L479" s="214">
        <f t="shared" si="47"/>
        <v>100</v>
      </c>
      <c r="M479" s="228">
        <f t="shared" si="52"/>
        <v>0</v>
      </c>
      <c r="N479" s="227">
        <f t="shared" si="52"/>
        <v>100</v>
      </c>
      <c r="O479" s="166">
        <f t="shared" si="53"/>
        <v>-60</v>
      </c>
    </row>
    <row r="480" spans="1:15" ht="60">
      <c r="A480" s="219" t="s">
        <v>679</v>
      </c>
      <c r="B480" s="218" t="s">
        <v>540</v>
      </c>
      <c r="C480" s="218" t="s">
        <v>360</v>
      </c>
      <c r="D480" s="218" t="s">
        <v>378</v>
      </c>
      <c r="E480" s="218" t="s">
        <v>677</v>
      </c>
      <c r="F480" s="218"/>
      <c r="G480" s="216">
        <f t="shared" si="51"/>
        <v>0</v>
      </c>
      <c r="H480" s="216">
        <f t="shared" si="51"/>
        <v>57.6</v>
      </c>
      <c r="I480" s="216">
        <f t="shared" si="51"/>
        <v>0</v>
      </c>
      <c r="J480" s="215">
        <f t="shared" si="51"/>
        <v>20</v>
      </c>
      <c r="K480" s="215">
        <f t="shared" si="51"/>
        <v>20</v>
      </c>
      <c r="L480" s="214">
        <f t="shared" si="47"/>
        <v>100</v>
      </c>
      <c r="M480" s="228">
        <f t="shared" si="52"/>
        <v>0</v>
      </c>
      <c r="N480" s="227">
        <f t="shared" si="52"/>
        <v>100</v>
      </c>
      <c r="O480" s="166">
        <f t="shared" si="53"/>
        <v>-60</v>
      </c>
    </row>
    <row r="481" spans="1:15" ht="60">
      <c r="A481" s="226" t="s">
        <v>678</v>
      </c>
      <c r="B481" s="218" t="s">
        <v>540</v>
      </c>
      <c r="C481" s="218" t="s">
        <v>360</v>
      </c>
      <c r="D481" s="218" t="s">
        <v>378</v>
      </c>
      <c r="E481" s="218" t="s">
        <v>677</v>
      </c>
      <c r="F481" s="218" t="s">
        <v>676</v>
      </c>
      <c r="G481" s="216"/>
      <c r="H481" s="216">
        <v>57.6</v>
      </c>
      <c r="I481" s="216"/>
      <c r="J481" s="215">
        <v>20</v>
      </c>
      <c r="K481" s="215">
        <v>20</v>
      </c>
      <c r="L481" s="214">
        <f t="shared" si="47"/>
        <v>100</v>
      </c>
      <c r="M481" s="228"/>
      <c r="N481" s="235">
        <f>L481+M481</f>
        <v>100</v>
      </c>
      <c r="O481" s="166">
        <f t="shared" si="53"/>
        <v>-60</v>
      </c>
    </row>
    <row r="482" spans="1:15" ht="45">
      <c r="A482" s="226" t="s">
        <v>675</v>
      </c>
      <c r="B482" s="218" t="s">
        <v>540</v>
      </c>
      <c r="C482" s="218" t="s">
        <v>360</v>
      </c>
      <c r="D482" s="218" t="s">
        <v>380</v>
      </c>
      <c r="E482" s="218"/>
      <c r="F482" s="218"/>
      <c r="G482" s="216"/>
      <c r="H482" s="216"/>
      <c r="I482" s="216"/>
      <c r="J482" s="215">
        <f>J483</f>
        <v>15</v>
      </c>
      <c r="K482" s="215">
        <f>K483</f>
        <v>0</v>
      </c>
      <c r="L482" s="214">
        <f t="shared" si="47"/>
        <v>0</v>
      </c>
      <c r="M482" s="228"/>
      <c r="N482" s="235"/>
      <c r="O482" s="166">
        <f t="shared" si="53"/>
        <v>15</v>
      </c>
    </row>
    <row r="483" spans="1:15" ht="105">
      <c r="A483" s="226" t="s">
        <v>674</v>
      </c>
      <c r="B483" s="218" t="s">
        <v>540</v>
      </c>
      <c r="C483" s="218" t="s">
        <v>360</v>
      </c>
      <c r="D483" s="218" t="s">
        <v>380</v>
      </c>
      <c r="E483" s="218" t="s">
        <v>672</v>
      </c>
      <c r="F483" s="218"/>
      <c r="G483" s="216"/>
      <c r="H483" s="216"/>
      <c r="I483" s="216"/>
      <c r="J483" s="215">
        <f>J484</f>
        <v>15</v>
      </c>
      <c r="K483" s="215">
        <f>K484</f>
        <v>0</v>
      </c>
      <c r="L483" s="214">
        <f t="shared" si="47"/>
        <v>0</v>
      </c>
      <c r="M483" s="228"/>
      <c r="N483" s="235"/>
      <c r="O483" s="166">
        <f t="shared" si="53"/>
        <v>15</v>
      </c>
    </row>
    <row r="484" spans="1:15" ht="15">
      <c r="A484" s="226" t="s">
        <v>673</v>
      </c>
      <c r="B484" s="218" t="s">
        <v>540</v>
      </c>
      <c r="C484" s="218" t="s">
        <v>360</v>
      </c>
      <c r="D484" s="218" t="s">
        <v>380</v>
      </c>
      <c r="E484" s="218" t="s">
        <v>672</v>
      </c>
      <c r="F484" s="218" t="s">
        <v>488</v>
      </c>
      <c r="G484" s="216"/>
      <c r="H484" s="216"/>
      <c r="I484" s="216"/>
      <c r="J484" s="215">
        <v>15</v>
      </c>
      <c r="K484" s="215"/>
      <c r="L484" s="214">
        <f t="shared" si="47"/>
        <v>0</v>
      </c>
      <c r="M484" s="228"/>
      <c r="N484" s="235"/>
      <c r="O484" s="166">
        <f t="shared" si="53"/>
        <v>15</v>
      </c>
    </row>
    <row r="485" spans="1:15" s="237" customFormat="1" ht="15">
      <c r="A485" s="242" t="s">
        <v>381</v>
      </c>
      <c r="B485" s="222" t="s">
        <v>540</v>
      </c>
      <c r="C485" s="222" t="s">
        <v>362</v>
      </c>
      <c r="D485" s="222"/>
      <c r="E485" s="222"/>
      <c r="F485" s="222"/>
      <c r="G485" s="241">
        <f>G489+G498+G492</f>
        <v>4086.5</v>
      </c>
      <c r="H485" s="323">
        <f>H489+H498+H492+H495</f>
        <v>2102.18</v>
      </c>
      <c r="I485" s="323">
        <f>I489+I498+I492+I495</f>
        <v>0</v>
      </c>
      <c r="J485" s="240">
        <f>J489+J498+J492+J495+J486</f>
        <v>6719.4180400000005</v>
      </c>
      <c r="K485" s="240">
        <f>K489+K498+K492+K495+K486</f>
        <v>6605.558239999999</v>
      </c>
      <c r="L485" s="172">
        <f t="shared" si="47"/>
        <v>98.30551099332999</v>
      </c>
      <c r="M485" s="320">
        <f>M489+M498+M492+M495</f>
        <v>0</v>
      </c>
      <c r="N485" s="322" t="e">
        <f>N489+N498+N492+N495</f>
        <v>#DIV/0!</v>
      </c>
      <c r="O485" s="166">
        <f t="shared" si="53"/>
        <v>13226.670769006669</v>
      </c>
    </row>
    <row r="486" spans="1:15" s="115" customFormat="1" ht="15">
      <c r="A486" s="254" t="s">
        <v>383</v>
      </c>
      <c r="B486" s="143" t="s">
        <v>540</v>
      </c>
      <c r="C486" s="143" t="s">
        <v>362</v>
      </c>
      <c r="D486" s="143" t="s">
        <v>357</v>
      </c>
      <c r="E486" s="143"/>
      <c r="F486" s="143"/>
      <c r="G486" s="128"/>
      <c r="H486" s="168"/>
      <c r="I486" s="168"/>
      <c r="J486" s="141">
        <f>J487</f>
        <v>121.28404</v>
      </c>
      <c r="K486" s="141">
        <f>K487</f>
        <v>121.28402</v>
      </c>
      <c r="L486" s="172">
        <f t="shared" si="47"/>
        <v>99.99998350978413</v>
      </c>
      <c r="M486" s="295"/>
      <c r="N486" s="294"/>
      <c r="O486" s="166">
        <f t="shared" si="53"/>
        <v>142.56807649021587</v>
      </c>
    </row>
    <row r="487" spans="1:15" ht="30">
      <c r="A487" s="251" t="s">
        <v>531</v>
      </c>
      <c r="B487" s="218" t="s">
        <v>540</v>
      </c>
      <c r="C487" s="218" t="s">
        <v>362</v>
      </c>
      <c r="D487" s="218" t="s">
        <v>357</v>
      </c>
      <c r="E487" s="218" t="s">
        <v>530</v>
      </c>
      <c r="F487" s="218"/>
      <c r="G487" s="216"/>
      <c r="H487" s="217"/>
      <c r="I487" s="217"/>
      <c r="J487" s="215">
        <f>J488</f>
        <v>121.28404</v>
      </c>
      <c r="K487" s="215">
        <f>K488</f>
        <v>121.28402</v>
      </c>
      <c r="L487" s="214">
        <f t="shared" si="47"/>
        <v>99.99998350978413</v>
      </c>
      <c r="M487" s="276"/>
      <c r="N487" s="235"/>
      <c r="O487" s="166">
        <f t="shared" si="53"/>
        <v>142.56807649021587</v>
      </c>
    </row>
    <row r="488" spans="1:15" ht="30">
      <c r="A488" s="226" t="s">
        <v>491</v>
      </c>
      <c r="B488" s="218" t="s">
        <v>540</v>
      </c>
      <c r="C488" s="218" t="s">
        <v>362</v>
      </c>
      <c r="D488" s="218" t="s">
        <v>357</v>
      </c>
      <c r="E488" s="218" t="s">
        <v>530</v>
      </c>
      <c r="F488" s="218" t="s">
        <v>498</v>
      </c>
      <c r="G488" s="216"/>
      <c r="H488" s="217"/>
      <c r="I488" s="217"/>
      <c r="J488" s="215">
        <v>121.28404</v>
      </c>
      <c r="K488" s="215">
        <v>121.28402</v>
      </c>
      <c r="L488" s="214">
        <f t="shared" si="47"/>
        <v>99.99998350978413</v>
      </c>
      <c r="M488" s="276"/>
      <c r="N488" s="235"/>
      <c r="O488" s="166">
        <f t="shared" si="53"/>
        <v>142.56807649021587</v>
      </c>
    </row>
    <row r="489" spans="1:15" s="115" customFormat="1" ht="15">
      <c r="A489" s="219" t="s">
        <v>384</v>
      </c>
      <c r="B489" s="143" t="s">
        <v>540</v>
      </c>
      <c r="C489" s="143" t="s">
        <v>362</v>
      </c>
      <c r="D489" s="143" t="s">
        <v>364</v>
      </c>
      <c r="E489" s="143"/>
      <c r="F489" s="143"/>
      <c r="G489" s="128">
        <f aca="true" t="shared" si="54" ref="G489:K490">G490</f>
        <v>0</v>
      </c>
      <c r="H489" s="128">
        <f t="shared" si="54"/>
        <v>167.68</v>
      </c>
      <c r="I489" s="128">
        <f t="shared" si="54"/>
        <v>0</v>
      </c>
      <c r="J489" s="141">
        <f t="shared" si="54"/>
        <v>3348.631</v>
      </c>
      <c r="K489" s="141">
        <f t="shared" si="54"/>
        <v>3282.111</v>
      </c>
      <c r="L489" s="172">
        <f t="shared" si="47"/>
        <v>98.01351656841258</v>
      </c>
      <c r="M489" s="230">
        <f>M490</f>
        <v>0</v>
      </c>
      <c r="N489" s="229">
        <f>N490</f>
        <v>98.01351656841258</v>
      </c>
      <c r="O489" s="166">
        <f t="shared" si="53"/>
        <v>6532.728483431588</v>
      </c>
    </row>
    <row r="490" spans="1:15" ht="45">
      <c r="A490" s="226" t="s">
        <v>671</v>
      </c>
      <c r="B490" s="218" t="s">
        <v>540</v>
      </c>
      <c r="C490" s="218" t="s">
        <v>362</v>
      </c>
      <c r="D490" s="218" t="s">
        <v>364</v>
      </c>
      <c r="E490" s="218" t="s">
        <v>669</v>
      </c>
      <c r="F490" s="218"/>
      <c r="G490" s="216">
        <f t="shared" si="54"/>
        <v>0</v>
      </c>
      <c r="H490" s="216">
        <f t="shared" si="54"/>
        <v>167.68</v>
      </c>
      <c r="I490" s="216">
        <f t="shared" si="54"/>
        <v>0</v>
      </c>
      <c r="J490" s="215">
        <f t="shared" si="54"/>
        <v>3348.631</v>
      </c>
      <c r="K490" s="215">
        <f t="shared" si="54"/>
        <v>3282.111</v>
      </c>
      <c r="L490" s="214">
        <f t="shared" si="47"/>
        <v>98.01351656841258</v>
      </c>
      <c r="M490" s="228">
        <f>M491</f>
        <v>0</v>
      </c>
      <c r="N490" s="227">
        <f>N491</f>
        <v>98.01351656841258</v>
      </c>
      <c r="O490" s="166">
        <f t="shared" si="53"/>
        <v>6532.728483431588</v>
      </c>
    </row>
    <row r="491" spans="1:15" ht="30.75" customHeight="1">
      <c r="A491" s="226" t="s">
        <v>670</v>
      </c>
      <c r="B491" s="218" t="s">
        <v>540</v>
      </c>
      <c r="C491" s="218" t="s">
        <v>362</v>
      </c>
      <c r="D491" s="218" t="s">
        <v>364</v>
      </c>
      <c r="E491" s="218" t="s">
        <v>669</v>
      </c>
      <c r="F491" s="218" t="s">
        <v>668</v>
      </c>
      <c r="G491" s="216"/>
      <c r="H491" s="217">
        <v>167.68</v>
      </c>
      <c r="I491" s="216"/>
      <c r="J491" s="215">
        <v>3348.631</v>
      </c>
      <c r="K491" s="215">
        <v>3282.111</v>
      </c>
      <c r="L491" s="214">
        <f t="shared" si="47"/>
        <v>98.01351656841258</v>
      </c>
      <c r="M491" s="228"/>
      <c r="N491" s="235">
        <f>L491+M491</f>
        <v>98.01351656841258</v>
      </c>
      <c r="O491" s="166">
        <f t="shared" si="53"/>
        <v>6532.728483431588</v>
      </c>
    </row>
    <row r="492" spans="1:15" ht="15" hidden="1">
      <c r="A492" s="226" t="s">
        <v>667</v>
      </c>
      <c r="B492" s="218" t="s">
        <v>540</v>
      </c>
      <c r="C492" s="218" t="s">
        <v>362</v>
      </c>
      <c r="D492" s="218" t="s">
        <v>378</v>
      </c>
      <c r="E492" s="218"/>
      <c r="F492" s="218"/>
      <c r="G492" s="216">
        <f aca="true" t="shared" si="55" ref="G492:K493">G493</f>
        <v>786.5</v>
      </c>
      <c r="H492" s="216">
        <f t="shared" si="55"/>
        <v>0</v>
      </c>
      <c r="I492" s="216">
        <f t="shared" si="55"/>
        <v>0</v>
      </c>
      <c r="J492" s="215">
        <f t="shared" si="55"/>
        <v>0</v>
      </c>
      <c r="K492" s="215">
        <f t="shared" si="55"/>
        <v>0</v>
      </c>
      <c r="L492" s="214" t="e">
        <f t="shared" si="47"/>
        <v>#DIV/0!</v>
      </c>
      <c r="M492" s="228">
        <f>M493</f>
        <v>0</v>
      </c>
      <c r="N492" s="227" t="e">
        <f>N493</f>
        <v>#DIV/0!</v>
      </c>
      <c r="O492" s="166" t="e">
        <f t="shared" si="53"/>
        <v>#DIV/0!</v>
      </c>
    </row>
    <row r="493" spans="1:15" ht="75" hidden="1">
      <c r="A493" s="292" t="s">
        <v>619</v>
      </c>
      <c r="B493" s="218" t="s">
        <v>540</v>
      </c>
      <c r="C493" s="218" t="s">
        <v>362</v>
      </c>
      <c r="D493" s="218" t="s">
        <v>378</v>
      </c>
      <c r="E493" s="218" t="s">
        <v>666</v>
      </c>
      <c r="F493" s="218"/>
      <c r="G493" s="216">
        <f t="shared" si="55"/>
        <v>786.5</v>
      </c>
      <c r="H493" s="216">
        <f t="shared" si="55"/>
        <v>0</v>
      </c>
      <c r="I493" s="216">
        <f t="shared" si="55"/>
        <v>0</v>
      </c>
      <c r="J493" s="215">
        <f t="shared" si="55"/>
        <v>0</v>
      </c>
      <c r="K493" s="215">
        <f t="shared" si="55"/>
        <v>0</v>
      </c>
      <c r="L493" s="214" t="e">
        <f t="shared" si="47"/>
        <v>#DIV/0!</v>
      </c>
      <c r="M493" s="228">
        <f>M494</f>
        <v>0</v>
      </c>
      <c r="N493" s="227" t="e">
        <f>N494</f>
        <v>#DIV/0!</v>
      </c>
      <c r="O493" s="166" t="e">
        <f t="shared" si="53"/>
        <v>#DIV/0!</v>
      </c>
    </row>
    <row r="494" spans="1:15" ht="30" hidden="1">
      <c r="A494" s="226" t="s">
        <v>491</v>
      </c>
      <c r="B494" s="218" t="s">
        <v>540</v>
      </c>
      <c r="C494" s="218" t="s">
        <v>362</v>
      </c>
      <c r="D494" s="218" t="s">
        <v>378</v>
      </c>
      <c r="E494" s="218" t="s">
        <v>666</v>
      </c>
      <c r="F494" s="218" t="s">
        <v>488</v>
      </c>
      <c r="G494" s="216">
        <v>786.5</v>
      </c>
      <c r="H494" s="217"/>
      <c r="I494" s="216"/>
      <c r="J494" s="215"/>
      <c r="K494" s="215"/>
      <c r="L494" s="214" t="e">
        <f t="shared" si="47"/>
        <v>#DIV/0!</v>
      </c>
      <c r="M494" s="228"/>
      <c r="N494" s="235" t="e">
        <f>L494+M494</f>
        <v>#DIV/0!</v>
      </c>
      <c r="O494" s="166" t="e">
        <f t="shared" si="53"/>
        <v>#DIV/0!</v>
      </c>
    </row>
    <row r="495" spans="1:15" ht="30" customHeight="1" hidden="1">
      <c r="A495" s="243" t="s">
        <v>388</v>
      </c>
      <c r="B495" s="143" t="s">
        <v>540</v>
      </c>
      <c r="C495" s="143" t="s">
        <v>362</v>
      </c>
      <c r="D495" s="143" t="s">
        <v>389</v>
      </c>
      <c r="E495" s="143"/>
      <c r="F495" s="143"/>
      <c r="G495" s="128"/>
      <c r="H495" s="168">
        <f aca="true" t="shared" si="56" ref="H495:K496">H496</f>
        <v>0</v>
      </c>
      <c r="I495" s="168">
        <f t="shared" si="56"/>
        <v>0</v>
      </c>
      <c r="J495" s="141">
        <f t="shared" si="56"/>
        <v>0</v>
      </c>
      <c r="K495" s="141">
        <f t="shared" si="56"/>
        <v>0</v>
      </c>
      <c r="L495" s="214" t="e">
        <f t="shared" si="47"/>
        <v>#DIV/0!</v>
      </c>
      <c r="M495" s="276">
        <f>M496</f>
        <v>0</v>
      </c>
      <c r="N495" s="235" t="e">
        <f>N496</f>
        <v>#DIV/0!</v>
      </c>
      <c r="O495" s="166" t="e">
        <f t="shared" si="53"/>
        <v>#DIV/0!</v>
      </c>
    </row>
    <row r="496" spans="1:15" ht="75" customHeight="1" hidden="1">
      <c r="A496" s="226" t="s">
        <v>665</v>
      </c>
      <c r="B496" s="218" t="s">
        <v>540</v>
      </c>
      <c r="C496" s="218" t="s">
        <v>362</v>
      </c>
      <c r="D496" s="218" t="s">
        <v>389</v>
      </c>
      <c r="E496" s="218" t="s">
        <v>655</v>
      </c>
      <c r="F496" s="218"/>
      <c r="G496" s="216"/>
      <c r="H496" s="217">
        <f t="shared" si="56"/>
        <v>0</v>
      </c>
      <c r="I496" s="217">
        <f t="shared" si="56"/>
        <v>0</v>
      </c>
      <c r="J496" s="215">
        <f t="shared" si="56"/>
        <v>0</v>
      </c>
      <c r="K496" s="215">
        <f t="shared" si="56"/>
        <v>0</v>
      </c>
      <c r="L496" s="214" t="e">
        <f t="shared" si="47"/>
        <v>#DIV/0!</v>
      </c>
      <c r="M496" s="276">
        <f>M497</f>
        <v>0</v>
      </c>
      <c r="N496" s="235" t="e">
        <f>N497</f>
        <v>#DIV/0!</v>
      </c>
      <c r="O496" s="166" t="e">
        <f t="shared" si="53"/>
        <v>#DIV/0!</v>
      </c>
    </row>
    <row r="497" spans="1:15" ht="30" customHeight="1" hidden="1">
      <c r="A497" s="226" t="s">
        <v>491</v>
      </c>
      <c r="B497" s="218" t="s">
        <v>540</v>
      </c>
      <c r="C497" s="218" t="s">
        <v>362</v>
      </c>
      <c r="D497" s="218" t="s">
        <v>389</v>
      </c>
      <c r="E497" s="218" t="s">
        <v>655</v>
      </c>
      <c r="F497" s="218" t="s">
        <v>488</v>
      </c>
      <c r="G497" s="216"/>
      <c r="H497" s="217"/>
      <c r="I497" s="216"/>
      <c r="J497" s="215">
        <f>H497+I497</f>
        <v>0</v>
      </c>
      <c r="K497" s="215"/>
      <c r="L497" s="214" t="e">
        <f t="shared" si="47"/>
        <v>#DIV/0!</v>
      </c>
      <c r="M497" s="228"/>
      <c r="N497" s="235" t="e">
        <f>L497+M497</f>
        <v>#DIV/0!</v>
      </c>
      <c r="O497" s="166" t="e">
        <f t="shared" si="53"/>
        <v>#DIV/0!</v>
      </c>
    </row>
    <row r="498" spans="1:15" s="115" customFormat="1" ht="30">
      <c r="A498" s="219" t="s">
        <v>664</v>
      </c>
      <c r="B498" s="143" t="s">
        <v>540</v>
      </c>
      <c r="C498" s="143" t="s">
        <v>362</v>
      </c>
      <c r="D498" s="143" t="s">
        <v>391</v>
      </c>
      <c r="E498" s="143"/>
      <c r="F498" s="143"/>
      <c r="G498" s="141">
        <f>G501+G505+G499+G508</f>
        <v>3300</v>
      </c>
      <c r="H498" s="141">
        <f>H501+H505+H499+H508</f>
        <v>1934.5</v>
      </c>
      <c r="I498" s="141">
        <f>I501+I505+I499+I508</f>
        <v>0</v>
      </c>
      <c r="J498" s="141">
        <f>J501+J505+J499+J508</f>
        <v>3249.503</v>
      </c>
      <c r="K498" s="141">
        <f>K501+K505+K499+K508</f>
        <v>3202.16322</v>
      </c>
      <c r="L498" s="172">
        <f t="shared" si="47"/>
        <v>98.54316860147536</v>
      </c>
      <c r="M498" s="230">
        <f>M501+M505+M499</f>
        <v>0</v>
      </c>
      <c r="N498" s="229" t="e">
        <f>N501+N505+N499</f>
        <v>#DIV/0!</v>
      </c>
      <c r="O498" s="166">
        <f t="shared" si="53"/>
        <v>6353.123051398525</v>
      </c>
    </row>
    <row r="499" spans="1:15" s="115" customFormat="1" ht="60" customHeight="1" hidden="1">
      <c r="A499" s="219" t="s">
        <v>575</v>
      </c>
      <c r="B499" s="218" t="s">
        <v>540</v>
      </c>
      <c r="C499" s="218" t="s">
        <v>362</v>
      </c>
      <c r="D499" s="218" t="s">
        <v>391</v>
      </c>
      <c r="E499" s="218" t="s">
        <v>573</v>
      </c>
      <c r="F499" s="218"/>
      <c r="G499" s="216">
        <f>G500</f>
        <v>0</v>
      </c>
      <c r="H499" s="217">
        <f>H500</f>
        <v>0</v>
      </c>
      <c r="I499" s="216">
        <f>I500</f>
        <v>0</v>
      </c>
      <c r="J499" s="215">
        <f>J500</f>
        <v>0</v>
      </c>
      <c r="K499" s="215">
        <f>K500</f>
        <v>0</v>
      </c>
      <c r="L499" s="214" t="e">
        <f t="shared" si="47"/>
        <v>#DIV/0!</v>
      </c>
      <c r="M499" s="230">
        <f>M500</f>
        <v>0</v>
      </c>
      <c r="N499" s="294" t="e">
        <f>N500</f>
        <v>#DIV/0!</v>
      </c>
      <c r="O499" s="166" t="e">
        <f t="shared" si="53"/>
        <v>#DIV/0!</v>
      </c>
    </row>
    <row r="500" spans="1:15" s="115" customFormat="1" ht="17.25" customHeight="1" hidden="1">
      <c r="A500" s="219" t="s">
        <v>574</v>
      </c>
      <c r="B500" s="218" t="s">
        <v>540</v>
      </c>
      <c r="C500" s="218" t="s">
        <v>362</v>
      </c>
      <c r="D500" s="218" t="s">
        <v>391</v>
      </c>
      <c r="E500" s="218" t="s">
        <v>573</v>
      </c>
      <c r="F500" s="218" t="s">
        <v>572</v>
      </c>
      <c r="G500" s="216">
        <f>50-50</f>
        <v>0</v>
      </c>
      <c r="H500" s="217"/>
      <c r="I500" s="216">
        <f>50-50</f>
        <v>0</v>
      </c>
      <c r="J500" s="215">
        <f>H500+I500</f>
        <v>0</v>
      </c>
      <c r="K500" s="215"/>
      <c r="L500" s="214" t="e">
        <f t="shared" si="47"/>
        <v>#DIV/0!</v>
      </c>
      <c r="M500" s="230">
        <f>50-50</f>
        <v>0</v>
      </c>
      <c r="N500" s="235" t="e">
        <f>L500+M500</f>
        <v>#DIV/0!</v>
      </c>
      <c r="O500" s="166" t="e">
        <f t="shared" si="53"/>
        <v>#DIV/0!</v>
      </c>
    </row>
    <row r="501" spans="1:15" ht="45">
      <c r="A501" s="226" t="s">
        <v>663</v>
      </c>
      <c r="B501" s="218" t="s">
        <v>540</v>
      </c>
      <c r="C501" s="218" t="s">
        <v>362</v>
      </c>
      <c r="D501" s="218" t="s">
        <v>391</v>
      </c>
      <c r="E501" s="218" t="s">
        <v>662</v>
      </c>
      <c r="F501" s="218"/>
      <c r="G501" s="216">
        <f>G502</f>
        <v>2750</v>
      </c>
      <c r="H501" s="216">
        <f>H502</f>
        <v>1620.1</v>
      </c>
      <c r="I501" s="216">
        <f>I502</f>
        <v>0</v>
      </c>
      <c r="J501" s="215">
        <f>J502+J503+J504</f>
        <v>1708.708</v>
      </c>
      <c r="K501" s="215">
        <f>K502+K503+K504</f>
        <v>1708.708</v>
      </c>
      <c r="L501" s="214">
        <f t="shared" si="47"/>
        <v>100</v>
      </c>
      <c r="M501" s="228">
        <f>M502</f>
        <v>0</v>
      </c>
      <c r="N501" s="227">
        <f>N502</f>
        <v>100</v>
      </c>
      <c r="O501" s="166">
        <f t="shared" si="53"/>
        <v>3317.416</v>
      </c>
    </row>
    <row r="502" spans="1:16" ht="30">
      <c r="A502" s="226" t="s">
        <v>491</v>
      </c>
      <c r="B502" s="218" t="s">
        <v>540</v>
      </c>
      <c r="C502" s="218" t="s">
        <v>362</v>
      </c>
      <c r="D502" s="218" t="s">
        <v>391</v>
      </c>
      <c r="E502" s="218" t="s">
        <v>662</v>
      </c>
      <c r="F502" s="218" t="s">
        <v>488</v>
      </c>
      <c r="G502" s="216">
        <f>2377+151+222</f>
        <v>2750</v>
      </c>
      <c r="H502" s="216">
        <f>1358.1+262</f>
        <v>1620.1</v>
      </c>
      <c r="I502" s="216"/>
      <c r="J502" s="215">
        <v>1000</v>
      </c>
      <c r="K502" s="215">
        <v>1000</v>
      </c>
      <c r="L502" s="214">
        <f t="shared" si="47"/>
        <v>100</v>
      </c>
      <c r="M502" s="228"/>
      <c r="N502" s="235">
        <f>L502+M502</f>
        <v>100</v>
      </c>
      <c r="O502" s="166">
        <f t="shared" si="53"/>
        <v>1900</v>
      </c>
      <c r="P502" s="166">
        <f>L502-O502</f>
        <v>-1800</v>
      </c>
    </row>
    <row r="503" spans="1:16" ht="15">
      <c r="A503" s="226" t="s">
        <v>541</v>
      </c>
      <c r="B503" s="218" t="s">
        <v>540</v>
      </c>
      <c r="C503" s="218" t="s">
        <v>362</v>
      </c>
      <c r="D503" s="218" t="s">
        <v>391</v>
      </c>
      <c r="E503" s="218" t="s">
        <v>661</v>
      </c>
      <c r="F503" s="218" t="s">
        <v>538</v>
      </c>
      <c r="G503" s="216"/>
      <c r="H503" s="216"/>
      <c r="I503" s="216"/>
      <c r="J503" s="215">
        <v>135</v>
      </c>
      <c r="K503" s="215">
        <v>135</v>
      </c>
      <c r="L503" s="214">
        <f t="shared" si="47"/>
        <v>100</v>
      </c>
      <c r="M503" s="228"/>
      <c r="N503" s="235"/>
      <c r="O503" s="166">
        <f t="shared" si="53"/>
        <v>170</v>
      </c>
      <c r="P503" s="166"/>
    </row>
    <row r="504" spans="1:16" ht="30">
      <c r="A504" s="292" t="s">
        <v>500</v>
      </c>
      <c r="B504" s="218" t="s">
        <v>540</v>
      </c>
      <c r="C504" s="218" t="s">
        <v>362</v>
      </c>
      <c r="D504" s="218" t="s">
        <v>391</v>
      </c>
      <c r="E504" s="218" t="s">
        <v>661</v>
      </c>
      <c r="F504" s="218" t="s">
        <v>498</v>
      </c>
      <c r="G504" s="216"/>
      <c r="H504" s="216"/>
      <c r="I504" s="216"/>
      <c r="J504" s="215">
        <v>573.708</v>
      </c>
      <c r="K504" s="215">
        <v>573.708</v>
      </c>
      <c r="L504" s="214">
        <f t="shared" si="47"/>
        <v>100</v>
      </c>
      <c r="M504" s="228"/>
      <c r="N504" s="235"/>
      <c r="O504" s="166">
        <f t="shared" si="53"/>
        <v>1047.416</v>
      </c>
      <c r="P504" s="166"/>
    </row>
    <row r="505" spans="1:15" ht="30" customHeight="1">
      <c r="A505" s="219" t="s">
        <v>660</v>
      </c>
      <c r="B505" s="218" t="s">
        <v>540</v>
      </c>
      <c r="C505" s="218" t="s">
        <v>362</v>
      </c>
      <c r="D505" s="218" t="s">
        <v>391</v>
      </c>
      <c r="E505" s="218" t="s">
        <v>659</v>
      </c>
      <c r="F505" s="218"/>
      <c r="G505" s="216">
        <f aca="true" t="shared" si="57" ref="G505:K506">G506</f>
        <v>550</v>
      </c>
      <c r="H505" s="216">
        <f t="shared" si="57"/>
        <v>314.4</v>
      </c>
      <c r="I505" s="216">
        <f t="shared" si="57"/>
        <v>0</v>
      </c>
      <c r="J505" s="215">
        <f t="shared" si="57"/>
        <v>540.795</v>
      </c>
      <c r="K505" s="215">
        <f t="shared" si="57"/>
        <v>493.45522</v>
      </c>
      <c r="L505" s="214">
        <f t="shared" si="47"/>
        <v>91.24626152238834</v>
      </c>
      <c r="M505" s="228">
        <f>M506</f>
        <v>0</v>
      </c>
      <c r="N505" s="227">
        <f>N506</f>
        <v>91.24626152238834</v>
      </c>
      <c r="O505" s="166">
        <f t="shared" si="53"/>
        <v>943.0039584776116</v>
      </c>
    </row>
    <row r="506" spans="1:15" ht="30">
      <c r="A506" s="219" t="s">
        <v>658</v>
      </c>
      <c r="B506" s="218" t="s">
        <v>540</v>
      </c>
      <c r="C506" s="218" t="s">
        <v>362</v>
      </c>
      <c r="D506" s="218" t="s">
        <v>391</v>
      </c>
      <c r="E506" s="218" t="s">
        <v>657</v>
      </c>
      <c r="F506" s="218"/>
      <c r="G506" s="216">
        <f t="shared" si="57"/>
        <v>550</v>
      </c>
      <c r="H506" s="216">
        <f t="shared" si="57"/>
        <v>314.4</v>
      </c>
      <c r="I506" s="216">
        <f t="shared" si="57"/>
        <v>0</v>
      </c>
      <c r="J506" s="215">
        <f t="shared" si="57"/>
        <v>540.795</v>
      </c>
      <c r="K506" s="215">
        <f t="shared" si="57"/>
        <v>493.45522</v>
      </c>
      <c r="L506" s="214">
        <f t="shared" si="47"/>
        <v>91.24626152238834</v>
      </c>
      <c r="M506" s="228">
        <f>M507</f>
        <v>0</v>
      </c>
      <c r="N506" s="227">
        <f>N507</f>
        <v>91.24626152238834</v>
      </c>
      <c r="O506" s="166">
        <f t="shared" si="53"/>
        <v>943.0039584776116</v>
      </c>
    </row>
    <row r="507" spans="1:16" ht="30">
      <c r="A507" s="226" t="s">
        <v>491</v>
      </c>
      <c r="B507" s="218" t="s">
        <v>540</v>
      </c>
      <c r="C507" s="218" t="s">
        <v>362</v>
      </c>
      <c r="D507" s="218" t="s">
        <v>391</v>
      </c>
      <c r="E507" s="218" t="s">
        <v>657</v>
      </c>
      <c r="F507" s="218" t="s">
        <v>488</v>
      </c>
      <c r="G507" s="216">
        <v>550</v>
      </c>
      <c r="H507" s="216">
        <v>314.4</v>
      </c>
      <c r="I507" s="216"/>
      <c r="J507" s="215">
        <v>540.795</v>
      </c>
      <c r="K507" s="215">
        <v>493.45522</v>
      </c>
      <c r="L507" s="214">
        <f t="shared" si="47"/>
        <v>91.24626152238834</v>
      </c>
      <c r="M507" s="228"/>
      <c r="N507" s="235">
        <f>L507+M507</f>
        <v>91.24626152238834</v>
      </c>
      <c r="O507" s="166">
        <f t="shared" si="53"/>
        <v>943.0039584776116</v>
      </c>
      <c r="P507" s="321">
        <f>L507-O507</f>
        <v>-851.7576969552233</v>
      </c>
    </row>
    <row r="508" spans="1:16" ht="60">
      <c r="A508" s="226" t="s">
        <v>656</v>
      </c>
      <c r="B508" s="218" t="s">
        <v>540</v>
      </c>
      <c r="C508" s="218" t="s">
        <v>362</v>
      </c>
      <c r="D508" s="218" t="s">
        <v>391</v>
      </c>
      <c r="E508" s="218" t="s">
        <v>655</v>
      </c>
      <c r="F508" s="218"/>
      <c r="G508" s="216"/>
      <c r="H508" s="216"/>
      <c r="I508" s="216"/>
      <c r="J508" s="215">
        <f>J509</f>
        <v>1000</v>
      </c>
      <c r="K508" s="215">
        <f>K509</f>
        <v>1000</v>
      </c>
      <c r="L508" s="214">
        <f t="shared" si="47"/>
        <v>100</v>
      </c>
      <c r="M508" s="228"/>
      <c r="N508" s="235"/>
      <c r="O508" s="166">
        <f t="shared" si="53"/>
        <v>1900</v>
      </c>
      <c r="P508" s="321"/>
    </row>
    <row r="509" spans="1:16" ht="30">
      <c r="A509" s="226" t="s">
        <v>491</v>
      </c>
      <c r="B509" s="218" t="s">
        <v>540</v>
      </c>
      <c r="C509" s="218" t="s">
        <v>362</v>
      </c>
      <c r="D509" s="218" t="s">
        <v>391</v>
      </c>
      <c r="E509" s="218" t="s">
        <v>655</v>
      </c>
      <c r="F509" s="218" t="s">
        <v>488</v>
      </c>
      <c r="G509" s="216"/>
      <c r="H509" s="216"/>
      <c r="I509" s="216"/>
      <c r="J509" s="215">
        <v>1000</v>
      </c>
      <c r="K509" s="215">
        <v>1000</v>
      </c>
      <c r="L509" s="214">
        <f t="shared" si="47"/>
        <v>100</v>
      </c>
      <c r="M509" s="228"/>
      <c r="N509" s="235"/>
      <c r="O509" s="166">
        <f t="shared" si="53"/>
        <v>1900</v>
      </c>
      <c r="P509" s="321"/>
    </row>
    <row r="510" spans="1:15" s="237" customFormat="1" ht="29.25">
      <c r="A510" s="242" t="s">
        <v>654</v>
      </c>
      <c r="B510" s="222" t="s">
        <v>540</v>
      </c>
      <c r="C510" s="222" t="s">
        <v>364</v>
      </c>
      <c r="D510" s="222"/>
      <c r="E510" s="222"/>
      <c r="F510" s="222"/>
      <c r="G510" s="241">
        <f>G511+G523+G560+G566</f>
        <v>-1048.5</v>
      </c>
      <c r="H510" s="241">
        <f>H511+H523+H560+H566</f>
        <v>1667</v>
      </c>
      <c r="I510" s="241">
        <f>I511+I523+I560+I566</f>
        <v>0</v>
      </c>
      <c r="J510" s="240">
        <f>J511+J523+J560+J566</f>
        <v>32245.15759</v>
      </c>
      <c r="K510" s="240">
        <f>K511+K523+K560+K566</f>
        <v>32226.966599999996</v>
      </c>
      <c r="L510" s="172">
        <f t="shared" si="47"/>
        <v>99.94358535867214</v>
      </c>
      <c r="M510" s="320">
        <f>M511+M523+M560+M566</f>
        <v>550</v>
      </c>
      <c r="N510" s="286" t="e">
        <f>N511+N523+N560+N566</f>
        <v>#DIV/0!</v>
      </c>
      <c r="O510" s="166">
        <f>SUM(J510:K510)</f>
        <v>64472.124189999995</v>
      </c>
    </row>
    <row r="511" spans="1:15" s="115" customFormat="1" ht="12.75" customHeight="1">
      <c r="A511" s="319" t="s">
        <v>394</v>
      </c>
      <c r="B511" s="143" t="s">
        <v>540</v>
      </c>
      <c r="C511" s="143" t="s">
        <v>364</v>
      </c>
      <c r="D511" s="143" t="s">
        <v>357</v>
      </c>
      <c r="E511" s="143"/>
      <c r="F511" s="143"/>
      <c r="G511" s="128">
        <f>G512</f>
        <v>-40</v>
      </c>
      <c r="H511" s="168">
        <f>H512+H514+H517</f>
        <v>0</v>
      </c>
      <c r="I511" s="168">
        <f>I512+I514+I517</f>
        <v>0</v>
      </c>
      <c r="J511" s="141">
        <f>J512+J514+J517+J521+J519</f>
        <v>1319.7900000000002</v>
      </c>
      <c r="K511" s="141">
        <f>K512+K514+K517+K521+K519</f>
        <v>1319.7900000000002</v>
      </c>
      <c r="L511" s="172">
        <f t="shared" si="47"/>
        <v>100</v>
      </c>
      <c r="M511" s="295">
        <f>M512+M514+M517</f>
        <v>0</v>
      </c>
      <c r="N511" s="294" t="e">
        <f>N512+N514+N517</f>
        <v>#DIV/0!</v>
      </c>
      <c r="O511" s="166">
        <f aca="true" t="shared" si="58" ref="O511:O531">J511+K511-L511</f>
        <v>2539.5800000000004</v>
      </c>
    </row>
    <row r="512" spans="1:15" ht="26.25" customHeight="1">
      <c r="A512" s="226" t="s">
        <v>653</v>
      </c>
      <c r="B512" s="218" t="s">
        <v>540</v>
      </c>
      <c r="C512" s="218" t="s">
        <v>364</v>
      </c>
      <c r="D512" s="218" t="s">
        <v>357</v>
      </c>
      <c r="E512" s="218" t="s">
        <v>652</v>
      </c>
      <c r="F512" s="218"/>
      <c r="G512" s="216">
        <f>G513</f>
        <v>-40</v>
      </c>
      <c r="H512" s="216">
        <f>H513</f>
        <v>0</v>
      </c>
      <c r="I512" s="216">
        <f>I513</f>
        <v>0</v>
      </c>
      <c r="J512" s="215">
        <f>J513</f>
        <v>1000</v>
      </c>
      <c r="K512" s="215">
        <f>K513</f>
        <v>1000</v>
      </c>
      <c r="L512" s="214">
        <f t="shared" si="47"/>
        <v>100</v>
      </c>
      <c r="M512" s="228">
        <f>M513</f>
        <v>0</v>
      </c>
      <c r="N512" s="227">
        <f>N513</f>
        <v>100</v>
      </c>
      <c r="O512" s="166">
        <f t="shared" si="58"/>
        <v>1900</v>
      </c>
    </row>
    <row r="513" spans="1:15" ht="28.5" customHeight="1">
      <c r="A513" s="226" t="s">
        <v>491</v>
      </c>
      <c r="B513" s="218" t="s">
        <v>540</v>
      </c>
      <c r="C513" s="218" t="s">
        <v>364</v>
      </c>
      <c r="D513" s="218" t="s">
        <v>357</v>
      </c>
      <c r="E513" s="218" t="s">
        <v>652</v>
      </c>
      <c r="F513" s="218" t="s">
        <v>488</v>
      </c>
      <c r="G513" s="216">
        <v>-40</v>
      </c>
      <c r="H513" s="217"/>
      <c r="I513" s="216"/>
      <c r="J513" s="215">
        <v>1000</v>
      </c>
      <c r="K513" s="215">
        <v>1000</v>
      </c>
      <c r="L513" s="214">
        <f t="shared" si="47"/>
        <v>100</v>
      </c>
      <c r="M513" s="228"/>
      <c r="N513" s="235">
        <f>L513+M513</f>
        <v>100</v>
      </c>
      <c r="O513" s="166">
        <f t="shared" si="58"/>
        <v>1900</v>
      </c>
    </row>
    <row r="514" spans="1:15" ht="75.75" customHeight="1">
      <c r="A514" s="243" t="s">
        <v>650</v>
      </c>
      <c r="B514" s="218" t="s">
        <v>540</v>
      </c>
      <c r="C514" s="218" t="s">
        <v>364</v>
      </c>
      <c r="D514" s="218" t="s">
        <v>357</v>
      </c>
      <c r="E514" s="218" t="s">
        <v>649</v>
      </c>
      <c r="F514" s="218"/>
      <c r="G514" s="216"/>
      <c r="H514" s="217">
        <f>H515</f>
        <v>0</v>
      </c>
      <c r="I514" s="217">
        <f>I515</f>
        <v>0</v>
      </c>
      <c r="J514" s="215">
        <f>J515</f>
        <v>71.39</v>
      </c>
      <c r="K514" s="318">
        <f>K515</f>
        <v>71.39</v>
      </c>
      <c r="L514" s="214">
        <f t="shared" si="47"/>
        <v>100</v>
      </c>
      <c r="M514" s="276">
        <f>M515</f>
        <v>0</v>
      </c>
      <c r="N514" s="235">
        <f>N515</f>
        <v>100</v>
      </c>
      <c r="O514" s="166">
        <f t="shared" si="58"/>
        <v>42.78</v>
      </c>
    </row>
    <row r="515" spans="1:15" ht="15">
      <c r="A515" s="310" t="s">
        <v>541</v>
      </c>
      <c r="B515" s="218" t="s">
        <v>540</v>
      </c>
      <c r="C515" s="218" t="s">
        <v>364</v>
      </c>
      <c r="D515" s="218" t="s">
        <v>357</v>
      </c>
      <c r="E515" s="218" t="s">
        <v>651</v>
      </c>
      <c r="F515" s="218" t="s">
        <v>538</v>
      </c>
      <c r="G515" s="216"/>
      <c r="H515" s="217"/>
      <c r="I515" s="217"/>
      <c r="J515" s="215">
        <v>71.39</v>
      </c>
      <c r="K515" s="318">
        <v>71.39</v>
      </c>
      <c r="L515" s="214">
        <f t="shared" si="47"/>
        <v>100</v>
      </c>
      <c r="M515" s="276"/>
      <c r="N515" s="235">
        <f>L515+M515</f>
        <v>100</v>
      </c>
      <c r="O515" s="166">
        <f t="shared" si="58"/>
        <v>42.78</v>
      </c>
    </row>
    <row r="516" spans="1:15" ht="17.25" customHeight="1" hidden="1">
      <c r="A516" s="219" t="s">
        <v>584</v>
      </c>
      <c r="B516" s="218" t="s">
        <v>540</v>
      </c>
      <c r="C516" s="218" t="s">
        <v>364</v>
      </c>
      <c r="D516" s="218" t="s">
        <v>357</v>
      </c>
      <c r="E516" s="218" t="s">
        <v>573</v>
      </c>
      <c r="F516" s="218" t="s">
        <v>488</v>
      </c>
      <c r="G516" s="216"/>
      <c r="H516" s="217"/>
      <c r="I516" s="217"/>
      <c r="J516" s="215"/>
      <c r="K516" s="215"/>
      <c r="L516" s="214" t="e">
        <f t="shared" si="47"/>
        <v>#DIV/0!</v>
      </c>
      <c r="M516" s="276"/>
      <c r="N516" s="235"/>
      <c r="O516" s="166" t="e">
        <f t="shared" si="58"/>
        <v>#DIV/0!</v>
      </c>
    </row>
    <row r="517" spans="1:18" ht="72.75" customHeight="1" hidden="1">
      <c r="A517" s="317" t="s">
        <v>650</v>
      </c>
      <c r="B517" s="218" t="s">
        <v>540</v>
      </c>
      <c r="C517" s="218" t="s">
        <v>364</v>
      </c>
      <c r="D517" s="218" t="s">
        <v>357</v>
      </c>
      <c r="E517" s="218" t="s">
        <v>649</v>
      </c>
      <c r="F517" s="218"/>
      <c r="G517" s="216"/>
      <c r="H517" s="217">
        <f>H518</f>
        <v>0</v>
      </c>
      <c r="I517" s="217">
        <f>I518</f>
        <v>0</v>
      </c>
      <c r="J517" s="215">
        <f>J518</f>
        <v>0</v>
      </c>
      <c r="K517" s="215">
        <f>K518</f>
        <v>0</v>
      </c>
      <c r="L517" s="214" t="e">
        <f t="shared" si="47"/>
        <v>#DIV/0!</v>
      </c>
      <c r="M517" s="276">
        <f>M518</f>
        <v>0</v>
      </c>
      <c r="N517" s="235" t="e">
        <f>N518</f>
        <v>#DIV/0!</v>
      </c>
      <c r="O517" s="166" t="e">
        <f t="shared" si="58"/>
        <v>#DIV/0!</v>
      </c>
      <c r="R517" s="110" t="e">
        <f>O515+O518</f>
        <v>#DIV/0!</v>
      </c>
    </row>
    <row r="518" spans="1:15" ht="15" hidden="1">
      <c r="A518" s="310" t="s">
        <v>541</v>
      </c>
      <c r="B518" s="218" t="s">
        <v>540</v>
      </c>
      <c r="C518" s="218" t="s">
        <v>364</v>
      </c>
      <c r="D518" s="218" t="s">
        <v>357</v>
      </c>
      <c r="E518" s="218" t="s">
        <v>648</v>
      </c>
      <c r="F518" s="218" t="s">
        <v>538</v>
      </c>
      <c r="G518" s="216"/>
      <c r="H518" s="217"/>
      <c r="I518" s="216"/>
      <c r="J518" s="215">
        <v>0</v>
      </c>
      <c r="K518" s="215"/>
      <c r="L518" s="214" t="e">
        <f t="shared" si="47"/>
        <v>#DIV/0!</v>
      </c>
      <c r="M518" s="228"/>
      <c r="N518" s="235" t="e">
        <f>L518+M518</f>
        <v>#DIV/0!</v>
      </c>
      <c r="O518" s="166" t="e">
        <f t="shared" si="58"/>
        <v>#DIV/0!</v>
      </c>
    </row>
    <row r="519" spans="1:15" ht="64.5">
      <c r="A519" s="316" t="s">
        <v>647</v>
      </c>
      <c r="B519" s="218" t="s">
        <v>540</v>
      </c>
      <c r="C519" s="218" t="s">
        <v>364</v>
      </c>
      <c r="D519" s="218" t="s">
        <v>357</v>
      </c>
      <c r="E519" s="218" t="s">
        <v>646</v>
      </c>
      <c r="F519" s="218"/>
      <c r="G519" s="216"/>
      <c r="H519" s="217"/>
      <c r="I519" s="216"/>
      <c r="J519" s="215">
        <f>J520</f>
        <v>124.2</v>
      </c>
      <c r="K519" s="215">
        <f>K520</f>
        <v>124.2</v>
      </c>
      <c r="L519" s="214">
        <f t="shared" si="47"/>
        <v>100</v>
      </c>
      <c r="M519" s="228"/>
      <c r="N519" s="315"/>
      <c r="O519" s="166">
        <f t="shared" si="58"/>
        <v>148.4</v>
      </c>
    </row>
    <row r="520" spans="1:15" ht="15">
      <c r="A520" s="310" t="s">
        <v>541</v>
      </c>
      <c r="B520" s="218" t="s">
        <v>540</v>
      </c>
      <c r="C520" s="218" t="s">
        <v>364</v>
      </c>
      <c r="D520" s="218" t="s">
        <v>357</v>
      </c>
      <c r="E520" s="218" t="s">
        <v>646</v>
      </c>
      <c r="F520" s="218" t="s">
        <v>538</v>
      </c>
      <c r="G520" s="216"/>
      <c r="H520" s="217"/>
      <c r="I520" s="216"/>
      <c r="J520" s="215">
        <v>124.2</v>
      </c>
      <c r="K520" s="215">
        <v>124.2</v>
      </c>
      <c r="L520" s="214">
        <f t="shared" si="47"/>
        <v>100</v>
      </c>
      <c r="M520" s="228"/>
      <c r="N520" s="315"/>
      <c r="O520" s="166">
        <f t="shared" si="58"/>
        <v>148.4</v>
      </c>
    </row>
    <row r="521" spans="1:15" ht="75">
      <c r="A521" s="243" t="s">
        <v>645</v>
      </c>
      <c r="B521" s="218" t="s">
        <v>540</v>
      </c>
      <c r="C521" s="218" t="s">
        <v>364</v>
      </c>
      <c r="D521" s="218" t="s">
        <v>357</v>
      </c>
      <c r="E521" s="218" t="s">
        <v>644</v>
      </c>
      <c r="F521" s="218"/>
      <c r="G521" s="216"/>
      <c r="H521" s="217"/>
      <c r="I521" s="216"/>
      <c r="J521" s="215">
        <f>J522</f>
        <v>124.2</v>
      </c>
      <c r="K521" s="215">
        <f>K522</f>
        <v>124.2</v>
      </c>
      <c r="L521" s="214">
        <f t="shared" si="47"/>
        <v>100</v>
      </c>
      <c r="M521" s="228"/>
      <c r="N521" s="315"/>
      <c r="O521" s="166">
        <f t="shared" si="58"/>
        <v>148.4</v>
      </c>
    </row>
    <row r="522" spans="1:15" ht="30">
      <c r="A522" s="226" t="s">
        <v>491</v>
      </c>
      <c r="B522" s="218" t="s">
        <v>540</v>
      </c>
      <c r="C522" s="218" t="s">
        <v>364</v>
      </c>
      <c r="D522" s="218" t="s">
        <v>357</v>
      </c>
      <c r="E522" s="218" t="s">
        <v>644</v>
      </c>
      <c r="F522" s="218" t="s">
        <v>488</v>
      </c>
      <c r="G522" s="216"/>
      <c r="H522" s="217"/>
      <c r="I522" s="216"/>
      <c r="J522" s="215">
        <v>124.2</v>
      </c>
      <c r="K522" s="215">
        <v>124.2</v>
      </c>
      <c r="L522" s="214">
        <f t="shared" si="47"/>
        <v>100</v>
      </c>
      <c r="M522" s="228"/>
      <c r="N522" s="315"/>
      <c r="O522" s="166">
        <f t="shared" si="58"/>
        <v>148.4</v>
      </c>
    </row>
    <row r="523" spans="1:15" s="115" customFormat="1" ht="15">
      <c r="A523" s="219" t="s">
        <v>395</v>
      </c>
      <c r="B523" s="143" t="s">
        <v>540</v>
      </c>
      <c r="C523" s="143" t="s">
        <v>364</v>
      </c>
      <c r="D523" s="143" t="s">
        <v>358</v>
      </c>
      <c r="E523" s="143"/>
      <c r="F523" s="143"/>
      <c r="G523" s="128">
        <f>G536+G541+G553+G546</f>
        <v>2000</v>
      </c>
      <c r="H523" s="168">
        <f>H536+H541+H553+H546+H544+H527+H539</f>
        <v>1667</v>
      </c>
      <c r="I523" s="168">
        <f>I536+I541+I553+I546+I544+I527+I539</f>
        <v>0</v>
      </c>
      <c r="J523" s="141">
        <f>J532+J536+J553+J546+J541+J527+J539+J524+J558+J534</f>
        <v>29246.766</v>
      </c>
      <c r="K523" s="141">
        <f>K532+K536+K553+K546+K541+K527+K539+K524+K558+K534</f>
        <v>29229.576599999997</v>
      </c>
      <c r="L523" s="172">
        <f t="shared" si="47"/>
        <v>99.94122632225387</v>
      </c>
      <c r="M523" s="314">
        <f>M536+M553+M546+M541+M527+M539+M524+M558</f>
        <v>550</v>
      </c>
      <c r="N523" s="141" t="e">
        <f>N536+N553+N546+N541+N527+N539+N524+N558</f>
        <v>#DIV/0!</v>
      </c>
      <c r="O523" s="166">
        <f t="shared" si="58"/>
        <v>58376.40137367774</v>
      </c>
    </row>
    <row r="524" spans="1:15" s="115" customFormat="1" ht="60" hidden="1">
      <c r="A524" s="219" t="s">
        <v>575</v>
      </c>
      <c r="B524" s="218" t="s">
        <v>540</v>
      </c>
      <c r="C524" s="218" t="s">
        <v>364</v>
      </c>
      <c r="D524" s="218" t="s">
        <v>358</v>
      </c>
      <c r="E524" s="218" t="s">
        <v>573</v>
      </c>
      <c r="F524" s="218"/>
      <c r="G524" s="216"/>
      <c r="H524" s="217"/>
      <c r="I524" s="217"/>
      <c r="J524" s="215">
        <f>J525+J526</f>
        <v>0</v>
      </c>
      <c r="K524" s="215">
        <f>K525+K526</f>
        <v>0</v>
      </c>
      <c r="L524" s="214" t="e">
        <f aca="true" t="shared" si="59" ref="L524:L587">K524/J524*100</f>
        <v>#DIV/0!</v>
      </c>
      <c r="M524" s="276">
        <f>M525+M526</f>
        <v>0</v>
      </c>
      <c r="N524" s="235" t="e">
        <f>N525+N526</f>
        <v>#DIV/0!</v>
      </c>
      <c r="O524" s="166" t="e">
        <f t="shared" si="58"/>
        <v>#DIV/0!</v>
      </c>
    </row>
    <row r="525" spans="1:18" s="115" customFormat="1" ht="15" hidden="1">
      <c r="A525" s="219" t="s">
        <v>574</v>
      </c>
      <c r="B525" s="218" t="s">
        <v>540</v>
      </c>
      <c r="C525" s="218" t="s">
        <v>364</v>
      </c>
      <c r="D525" s="218" t="s">
        <v>358</v>
      </c>
      <c r="E525" s="218" t="s">
        <v>573</v>
      </c>
      <c r="F525" s="218" t="s">
        <v>572</v>
      </c>
      <c r="G525" s="216"/>
      <c r="H525" s="217"/>
      <c r="I525" s="217"/>
      <c r="J525" s="275"/>
      <c r="K525" s="275"/>
      <c r="L525" s="214" t="e">
        <f t="shared" si="59"/>
        <v>#DIV/0!</v>
      </c>
      <c r="M525" s="276"/>
      <c r="N525" s="235" t="e">
        <f>L525+M525</f>
        <v>#DIV/0!</v>
      </c>
      <c r="O525" s="166" t="e">
        <f t="shared" si="58"/>
        <v>#DIV/0!</v>
      </c>
      <c r="R525" s="115" t="e">
        <f>O525+O500+O582+O631</f>
        <v>#DIV/0!</v>
      </c>
    </row>
    <row r="526" spans="1:15" s="115" customFormat="1" ht="30" hidden="1">
      <c r="A526" s="219" t="s">
        <v>584</v>
      </c>
      <c r="B526" s="218" t="s">
        <v>540</v>
      </c>
      <c r="C526" s="218" t="s">
        <v>364</v>
      </c>
      <c r="D526" s="218" t="s">
        <v>358</v>
      </c>
      <c r="E526" s="218" t="s">
        <v>559</v>
      </c>
      <c r="F526" s="218" t="s">
        <v>488</v>
      </c>
      <c r="G526" s="216"/>
      <c r="H526" s="217"/>
      <c r="I526" s="217"/>
      <c r="J526" s="215"/>
      <c r="K526" s="215"/>
      <c r="L526" s="214" t="e">
        <f t="shared" si="59"/>
        <v>#DIV/0!</v>
      </c>
      <c r="M526" s="276"/>
      <c r="N526" s="235" t="e">
        <f>L526+M526</f>
        <v>#DIV/0!</v>
      </c>
      <c r="O526" s="166" t="e">
        <f t="shared" si="58"/>
        <v>#DIV/0!</v>
      </c>
    </row>
    <row r="527" spans="1:15" s="115" customFormat="1" ht="45" hidden="1">
      <c r="A527" s="219" t="s">
        <v>643</v>
      </c>
      <c r="B527" s="218" t="s">
        <v>540</v>
      </c>
      <c r="C527" s="218" t="s">
        <v>364</v>
      </c>
      <c r="D527" s="218" t="s">
        <v>358</v>
      </c>
      <c r="E527" s="218" t="s">
        <v>615</v>
      </c>
      <c r="F527" s="218"/>
      <c r="G527" s="216"/>
      <c r="H527" s="216">
        <f>H528</f>
        <v>0</v>
      </c>
      <c r="I527" s="216">
        <f>I528</f>
        <v>0</v>
      </c>
      <c r="J527" s="215">
        <f>J528+J531</f>
        <v>0</v>
      </c>
      <c r="K527" s="215">
        <f>K528+K531</f>
        <v>0</v>
      </c>
      <c r="L527" s="214" t="e">
        <f t="shared" si="59"/>
        <v>#DIV/0!</v>
      </c>
      <c r="M527" s="228">
        <f>M528+M531</f>
        <v>0</v>
      </c>
      <c r="N527" s="227" t="e">
        <f>N528+N531</f>
        <v>#DIV/0!</v>
      </c>
      <c r="O527" s="166" t="e">
        <f t="shared" si="58"/>
        <v>#DIV/0!</v>
      </c>
    </row>
    <row r="528" spans="1:15" s="115" customFormat="1" ht="15" hidden="1">
      <c r="A528" s="219" t="s">
        <v>574</v>
      </c>
      <c r="B528" s="218" t="s">
        <v>540</v>
      </c>
      <c r="C528" s="218" t="s">
        <v>364</v>
      </c>
      <c r="D528" s="218" t="s">
        <v>358</v>
      </c>
      <c r="E528" s="218" t="s">
        <v>615</v>
      </c>
      <c r="F528" s="218" t="s">
        <v>572</v>
      </c>
      <c r="G528" s="216"/>
      <c r="H528" s="216"/>
      <c r="I528" s="216"/>
      <c r="J528" s="215"/>
      <c r="K528" s="215"/>
      <c r="L528" s="214" t="e">
        <f t="shared" si="59"/>
        <v>#DIV/0!</v>
      </c>
      <c r="M528" s="228"/>
      <c r="N528" s="227" t="e">
        <f>L528+M528</f>
        <v>#DIV/0!</v>
      </c>
      <c r="O528" s="166" t="e">
        <f t="shared" si="58"/>
        <v>#DIV/0!</v>
      </c>
    </row>
    <row r="529" spans="1:15" s="115" customFormat="1" ht="28.5" customHeight="1" hidden="1">
      <c r="A529" s="219" t="s">
        <v>584</v>
      </c>
      <c r="B529" s="218" t="s">
        <v>540</v>
      </c>
      <c r="C529" s="218" t="s">
        <v>364</v>
      </c>
      <c r="D529" s="218" t="s">
        <v>358</v>
      </c>
      <c r="E529" s="218" t="s">
        <v>615</v>
      </c>
      <c r="F529" s="218"/>
      <c r="G529" s="216"/>
      <c r="H529" s="216"/>
      <c r="I529" s="216"/>
      <c r="J529" s="215"/>
      <c r="K529" s="215"/>
      <c r="L529" s="214" t="e">
        <f t="shared" si="59"/>
        <v>#DIV/0!</v>
      </c>
      <c r="M529" s="228"/>
      <c r="N529" s="227" t="e">
        <f>L529+M529</f>
        <v>#DIV/0!</v>
      </c>
      <c r="O529" s="166" t="e">
        <f t="shared" si="58"/>
        <v>#DIV/0!</v>
      </c>
    </row>
    <row r="530" spans="1:15" s="115" customFormat="1" ht="27" customHeight="1" hidden="1">
      <c r="A530" s="219" t="s">
        <v>584</v>
      </c>
      <c r="B530" s="218" t="s">
        <v>540</v>
      </c>
      <c r="C530" s="218" t="s">
        <v>364</v>
      </c>
      <c r="D530" s="218" t="s">
        <v>358</v>
      </c>
      <c r="E530" s="218" t="s">
        <v>615</v>
      </c>
      <c r="F530" s="218"/>
      <c r="G530" s="216"/>
      <c r="H530" s="216"/>
      <c r="I530" s="216"/>
      <c r="J530" s="215"/>
      <c r="K530" s="215"/>
      <c r="L530" s="214" t="e">
        <f t="shared" si="59"/>
        <v>#DIV/0!</v>
      </c>
      <c r="M530" s="228"/>
      <c r="N530" s="227" t="e">
        <f>L530+M530</f>
        <v>#DIV/0!</v>
      </c>
      <c r="O530" s="166" t="e">
        <f t="shared" si="58"/>
        <v>#DIV/0!</v>
      </c>
    </row>
    <row r="531" spans="1:15" s="115" customFormat="1" ht="29.25" customHeight="1" hidden="1">
      <c r="A531" s="219" t="s">
        <v>584</v>
      </c>
      <c r="B531" s="218" t="s">
        <v>540</v>
      </c>
      <c r="C531" s="218" t="s">
        <v>364</v>
      </c>
      <c r="D531" s="218" t="s">
        <v>358</v>
      </c>
      <c r="E531" s="218" t="s">
        <v>615</v>
      </c>
      <c r="F531" s="218" t="s">
        <v>488</v>
      </c>
      <c r="G531" s="216"/>
      <c r="H531" s="216"/>
      <c r="I531" s="216"/>
      <c r="J531" s="215"/>
      <c r="K531" s="215"/>
      <c r="L531" s="214" t="e">
        <f t="shared" si="59"/>
        <v>#DIV/0!</v>
      </c>
      <c r="M531" s="228"/>
      <c r="N531" s="227" t="e">
        <f>L531+M531</f>
        <v>#DIV/0!</v>
      </c>
      <c r="O531" s="166" t="e">
        <f t="shared" si="58"/>
        <v>#DIV/0!</v>
      </c>
    </row>
    <row r="532" spans="1:15" s="115" customFormat="1" ht="29.25" customHeight="1">
      <c r="A532" s="226" t="s">
        <v>642</v>
      </c>
      <c r="B532" s="218" t="s">
        <v>540</v>
      </c>
      <c r="C532" s="218" t="s">
        <v>364</v>
      </c>
      <c r="D532" s="218" t="s">
        <v>358</v>
      </c>
      <c r="E532" s="218" t="s">
        <v>641</v>
      </c>
      <c r="F532" s="218"/>
      <c r="G532" s="216"/>
      <c r="H532" s="216"/>
      <c r="I532" s="216"/>
      <c r="J532" s="215">
        <f>J533</f>
        <v>23.6</v>
      </c>
      <c r="K532" s="215">
        <f>K533</f>
        <v>23.6</v>
      </c>
      <c r="L532" s="214">
        <f t="shared" si="59"/>
        <v>100</v>
      </c>
      <c r="M532" s="228"/>
      <c r="N532" s="227"/>
      <c r="O532" s="166"/>
    </row>
    <row r="533" spans="1:15" s="115" customFormat="1" ht="29.25" customHeight="1">
      <c r="A533" s="310" t="s">
        <v>541</v>
      </c>
      <c r="B533" s="218" t="s">
        <v>540</v>
      </c>
      <c r="C533" s="218" t="s">
        <v>364</v>
      </c>
      <c r="D533" s="218" t="s">
        <v>358</v>
      </c>
      <c r="E533" s="218" t="s">
        <v>641</v>
      </c>
      <c r="F533" s="218" t="s">
        <v>538</v>
      </c>
      <c r="G533" s="216"/>
      <c r="H533" s="216"/>
      <c r="I533" s="216"/>
      <c r="J533" s="215">
        <v>23.6</v>
      </c>
      <c r="K533" s="215">
        <v>23.6</v>
      </c>
      <c r="L533" s="214">
        <f t="shared" si="59"/>
        <v>100</v>
      </c>
      <c r="M533" s="228"/>
      <c r="N533" s="227"/>
      <c r="O533" s="166"/>
    </row>
    <row r="534" spans="1:15" s="115" customFormat="1" ht="30">
      <c r="A534" s="219" t="s">
        <v>640</v>
      </c>
      <c r="B534" s="218" t="s">
        <v>540</v>
      </c>
      <c r="C534" s="218" t="s">
        <v>364</v>
      </c>
      <c r="D534" s="218" t="s">
        <v>358</v>
      </c>
      <c r="E534" s="218" t="s">
        <v>559</v>
      </c>
      <c r="F534" s="218"/>
      <c r="G534" s="216"/>
      <c r="H534" s="216"/>
      <c r="I534" s="216"/>
      <c r="J534" s="215">
        <f>J535</f>
        <v>3587.6</v>
      </c>
      <c r="K534" s="215">
        <f>K535</f>
        <v>3587.6</v>
      </c>
      <c r="L534" s="214">
        <f t="shared" si="59"/>
        <v>100</v>
      </c>
      <c r="M534" s="228"/>
      <c r="N534" s="227"/>
      <c r="O534" s="166">
        <f aca="true" t="shared" si="60" ref="O534:O565">J534+K534-L534</f>
        <v>7075.2</v>
      </c>
    </row>
    <row r="535" spans="1:15" s="115" customFormat="1" ht="15">
      <c r="A535" s="226" t="s">
        <v>574</v>
      </c>
      <c r="B535" s="218" t="s">
        <v>540</v>
      </c>
      <c r="C535" s="218" t="s">
        <v>364</v>
      </c>
      <c r="D535" s="218" t="s">
        <v>358</v>
      </c>
      <c r="E535" s="218" t="s">
        <v>559</v>
      </c>
      <c r="F535" s="218" t="s">
        <v>572</v>
      </c>
      <c r="G535" s="216"/>
      <c r="H535" s="216"/>
      <c r="I535" s="216"/>
      <c r="J535" s="215">
        <v>3587.6</v>
      </c>
      <c r="K535" s="215">
        <v>3587.6</v>
      </c>
      <c r="L535" s="214">
        <f t="shared" si="59"/>
        <v>100</v>
      </c>
      <c r="M535" s="228"/>
      <c r="N535" s="227"/>
      <c r="O535" s="166">
        <f t="shared" si="60"/>
        <v>7075.2</v>
      </c>
    </row>
    <row r="536" spans="1:15" ht="45">
      <c r="A536" s="226" t="s">
        <v>579</v>
      </c>
      <c r="B536" s="218" t="s">
        <v>540</v>
      </c>
      <c r="C536" s="218" t="s">
        <v>364</v>
      </c>
      <c r="D536" s="218" t="s">
        <v>358</v>
      </c>
      <c r="E536" s="218" t="s">
        <v>609</v>
      </c>
      <c r="F536" s="218"/>
      <c r="G536" s="216">
        <f aca="true" t="shared" si="61" ref="G536:K537">G537</f>
        <v>-2838.8</v>
      </c>
      <c r="H536" s="216">
        <f t="shared" si="61"/>
        <v>1667</v>
      </c>
      <c r="I536" s="216">
        <f t="shared" si="61"/>
        <v>0</v>
      </c>
      <c r="J536" s="215">
        <f t="shared" si="61"/>
        <v>3940.188</v>
      </c>
      <c r="K536" s="215">
        <f t="shared" si="61"/>
        <v>3940.188</v>
      </c>
      <c r="L536" s="214">
        <f t="shared" si="59"/>
        <v>100</v>
      </c>
      <c r="M536" s="228">
        <f>M537</f>
        <v>550</v>
      </c>
      <c r="N536" s="227">
        <f>N537</f>
        <v>650</v>
      </c>
      <c r="O536" s="166">
        <f t="shared" si="60"/>
        <v>7780.376</v>
      </c>
    </row>
    <row r="537" spans="1:15" ht="60">
      <c r="A537" s="226" t="s">
        <v>575</v>
      </c>
      <c r="B537" s="218" t="s">
        <v>540</v>
      </c>
      <c r="C537" s="218" t="s">
        <v>364</v>
      </c>
      <c r="D537" s="218" t="s">
        <v>358</v>
      </c>
      <c r="E537" s="218" t="s">
        <v>585</v>
      </c>
      <c r="F537" s="218"/>
      <c r="G537" s="216">
        <f t="shared" si="61"/>
        <v>-2838.8</v>
      </c>
      <c r="H537" s="216">
        <f t="shared" si="61"/>
        <v>1667</v>
      </c>
      <c r="I537" s="216">
        <f t="shared" si="61"/>
        <v>0</v>
      </c>
      <c r="J537" s="215">
        <f t="shared" si="61"/>
        <v>3940.188</v>
      </c>
      <c r="K537" s="215">
        <f t="shared" si="61"/>
        <v>3940.188</v>
      </c>
      <c r="L537" s="214">
        <f t="shared" si="59"/>
        <v>100</v>
      </c>
      <c r="M537" s="228">
        <f>M538</f>
        <v>550</v>
      </c>
      <c r="N537" s="227">
        <f>N538</f>
        <v>650</v>
      </c>
      <c r="O537" s="166">
        <f t="shared" si="60"/>
        <v>7780.376</v>
      </c>
    </row>
    <row r="538" spans="1:18" ht="15">
      <c r="A538" s="226" t="s">
        <v>574</v>
      </c>
      <c r="B538" s="218" t="s">
        <v>540</v>
      </c>
      <c r="C538" s="218" t="s">
        <v>364</v>
      </c>
      <c r="D538" s="218" t="s">
        <v>358</v>
      </c>
      <c r="E538" s="218" t="s">
        <v>573</v>
      </c>
      <c r="F538" s="218" t="s">
        <v>572</v>
      </c>
      <c r="G538" s="216">
        <f>-2338.8-500</f>
        <v>-2838.8</v>
      </c>
      <c r="H538" s="216">
        <v>1667</v>
      </c>
      <c r="I538" s="216"/>
      <c r="J538" s="215">
        <v>3940.188</v>
      </c>
      <c r="K538" s="215">
        <v>3940.188</v>
      </c>
      <c r="L538" s="214">
        <f t="shared" si="59"/>
        <v>100</v>
      </c>
      <c r="M538" s="228">
        <v>550</v>
      </c>
      <c r="N538" s="235">
        <f>L538+M538</f>
        <v>650</v>
      </c>
      <c r="O538" s="166">
        <f t="shared" si="60"/>
        <v>7780.376</v>
      </c>
      <c r="R538" s="166">
        <f>O538+L611</f>
        <v>7880.376</v>
      </c>
    </row>
    <row r="539" spans="1:15" ht="30">
      <c r="A539" s="243" t="s">
        <v>639</v>
      </c>
      <c r="B539" s="218" t="s">
        <v>540</v>
      </c>
      <c r="C539" s="218" t="s">
        <v>364</v>
      </c>
      <c r="D539" s="218" t="s">
        <v>358</v>
      </c>
      <c r="E539" s="218" t="s">
        <v>638</v>
      </c>
      <c r="F539" s="218"/>
      <c r="G539" s="216"/>
      <c r="H539" s="217">
        <f>H540</f>
        <v>0</v>
      </c>
      <c r="I539" s="217">
        <f>I540</f>
        <v>0</v>
      </c>
      <c r="J539" s="215">
        <f>J540</f>
        <v>1331.918</v>
      </c>
      <c r="K539" s="215">
        <f>K540</f>
        <v>1315.3896</v>
      </c>
      <c r="L539" s="214">
        <f t="shared" si="59"/>
        <v>98.75905273447766</v>
      </c>
      <c r="M539" s="276">
        <f>M540</f>
        <v>0</v>
      </c>
      <c r="N539" s="235">
        <f>N540</f>
        <v>98.75905273447766</v>
      </c>
      <c r="O539" s="166">
        <f t="shared" si="60"/>
        <v>2548.5485472655223</v>
      </c>
    </row>
    <row r="540" spans="1:16" ht="26.25" customHeight="1">
      <c r="A540" s="226" t="s">
        <v>491</v>
      </c>
      <c r="B540" s="218" t="s">
        <v>540</v>
      </c>
      <c r="C540" s="218" t="s">
        <v>364</v>
      </c>
      <c r="D540" s="218" t="s">
        <v>358</v>
      </c>
      <c r="E540" s="218" t="s">
        <v>638</v>
      </c>
      <c r="F540" s="218" t="s">
        <v>488</v>
      </c>
      <c r="G540" s="216"/>
      <c r="H540" s="217"/>
      <c r="I540" s="216"/>
      <c r="J540" s="215">
        <v>1331.918</v>
      </c>
      <c r="K540" s="215">
        <v>1315.3896</v>
      </c>
      <c r="L540" s="214">
        <f t="shared" si="59"/>
        <v>98.75905273447766</v>
      </c>
      <c r="M540" s="228"/>
      <c r="N540" s="235">
        <f>L540+M540</f>
        <v>98.75905273447766</v>
      </c>
      <c r="O540" s="166">
        <f t="shared" si="60"/>
        <v>2548.5485472655223</v>
      </c>
      <c r="P540" s="166">
        <f>L540-O540</f>
        <v>-2449.7894945310445</v>
      </c>
    </row>
    <row r="541" spans="1:15" ht="15">
      <c r="A541" s="226" t="s">
        <v>605</v>
      </c>
      <c r="B541" s="218" t="s">
        <v>540</v>
      </c>
      <c r="C541" s="218" t="s">
        <v>364</v>
      </c>
      <c r="D541" s="218" t="s">
        <v>358</v>
      </c>
      <c r="E541" s="218" t="s">
        <v>604</v>
      </c>
      <c r="F541" s="218"/>
      <c r="G541" s="216">
        <f>G542+G544</f>
        <v>0</v>
      </c>
      <c r="H541" s="216"/>
      <c r="I541" s="216">
        <f>I542+I544</f>
        <v>0</v>
      </c>
      <c r="J541" s="215">
        <f>J542+J544+J551</f>
        <v>19260.7</v>
      </c>
      <c r="K541" s="215">
        <f>K542+K544+K551</f>
        <v>19260.7</v>
      </c>
      <c r="L541" s="214">
        <f t="shared" si="59"/>
        <v>100</v>
      </c>
      <c r="M541" s="228">
        <f>M542+M544</f>
        <v>0</v>
      </c>
      <c r="N541" s="227" t="e">
        <f>N542+N544</f>
        <v>#DIV/0!</v>
      </c>
      <c r="O541" s="166">
        <f t="shared" si="60"/>
        <v>38421.4</v>
      </c>
    </row>
    <row r="542" spans="1:15" ht="19.5" customHeight="1">
      <c r="A542" s="281" t="s">
        <v>637</v>
      </c>
      <c r="B542" s="218" t="s">
        <v>540</v>
      </c>
      <c r="C542" s="218" t="s">
        <v>364</v>
      </c>
      <c r="D542" s="218" t="s">
        <v>358</v>
      </c>
      <c r="E542" s="218" t="s">
        <v>602</v>
      </c>
      <c r="F542" s="218"/>
      <c r="G542" s="216">
        <f>G543</f>
        <v>-1750</v>
      </c>
      <c r="H542" s="216">
        <f>H543</f>
        <v>0</v>
      </c>
      <c r="I542" s="216">
        <f>I543</f>
        <v>0</v>
      </c>
      <c r="J542" s="215">
        <f>J543</f>
        <v>19259.5</v>
      </c>
      <c r="K542" s="215">
        <f>K543</f>
        <v>19259.5</v>
      </c>
      <c r="L542" s="214">
        <f t="shared" si="59"/>
        <v>100</v>
      </c>
      <c r="M542" s="228">
        <f>M543</f>
        <v>0</v>
      </c>
      <c r="N542" s="227">
        <f>N543</f>
        <v>100</v>
      </c>
      <c r="O542" s="166">
        <f t="shared" si="60"/>
        <v>38419</v>
      </c>
    </row>
    <row r="543" spans="1:15" ht="13.5" customHeight="1">
      <c r="A543" s="226" t="s">
        <v>574</v>
      </c>
      <c r="B543" s="218" t="s">
        <v>540</v>
      </c>
      <c r="C543" s="218" t="s">
        <v>364</v>
      </c>
      <c r="D543" s="218" t="s">
        <v>358</v>
      </c>
      <c r="E543" s="218" t="s">
        <v>554</v>
      </c>
      <c r="F543" s="218" t="s">
        <v>572</v>
      </c>
      <c r="G543" s="216">
        <v>-1750</v>
      </c>
      <c r="H543" s="217"/>
      <c r="I543" s="216"/>
      <c r="J543" s="215">
        <v>19259.5</v>
      </c>
      <c r="K543" s="215">
        <v>19259.5</v>
      </c>
      <c r="L543" s="214">
        <f t="shared" si="59"/>
        <v>100</v>
      </c>
      <c r="M543" s="228"/>
      <c r="N543" s="235">
        <f>L543+M543</f>
        <v>100</v>
      </c>
      <c r="O543" s="166">
        <f t="shared" si="60"/>
        <v>38419</v>
      </c>
    </row>
    <row r="544" spans="1:15" ht="27.75" customHeight="1" hidden="1">
      <c r="A544" s="281" t="s">
        <v>636</v>
      </c>
      <c r="B544" s="218" t="s">
        <v>540</v>
      </c>
      <c r="C544" s="218" t="s">
        <v>364</v>
      </c>
      <c r="D544" s="218" t="s">
        <v>358</v>
      </c>
      <c r="E544" s="218" t="s">
        <v>635</v>
      </c>
      <c r="F544" s="218"/>
      <c r="G544" s="216">
        <f>G545</f>
        <v>1750</v>
      </c>
      <c r="H544" s="216">
        <f>H545</f>
        <v>0</v>
      </c>
      <c r="I544" s="216">
        <f>I545</f>
        <v>0</v>
      </c>
      <c r="J544" s="215">
        <f>J545</f>
        <v>0</v>
      </c>
      <c r="K544" s="215">
        <f>K545</f>
        <v>0</v>
      </c>
      <c r="L544" s="214" t="e">
        <f t="shared" si="59"/>
        <v>#DIV/0!</v>
      </c>
      <c r="M544" s="228">
        <f>M545</f>
        <v>0</v>
      </c>
      <c r="N544" s="227" t="e">
        <f>N545</f>
        <v>#DIV/0!</v>
      </c>
      <c r="O544" s="166" t="e">
        <f t="shared" si="60"/>
        <v>#DIV/0!</v>
      </c>
    </row>
    <row r="545" spans="1:15" ht="13.5" customHeight="1" hidden="1">
      <c r="A545" s="226" t="s">
        <v>574</v>
      </c>
      <c r="B545" s="218" t="s">
        <v>540</v>
      </c>
      <c r="C545" s="218" t="s">
        <v>364</v>
      </c>
      <c r="D545" s="218" t="s">
        <v>358</v>
      </c>
      <c r="E545" s="218" t="s">
        <v>635</v>
      </c>
      <c r="F545" s="218" t="s">
        <v>572</v>
      </c>
      <c r="G545" s="216">
        <v>1750</v>
      </c>
      <c r="H545" s="217"/>
      <c r="I545" s="216"/>
      <c r="J545" s="215"/>
      <c r="K545" s="215"/>
      <c r="L545" s="214" t="e">
        <f t="shared" si="59"/>
        <v>#DIV/0!</v>
      </c>
      <c r="M545" s="228"/>
      <c r="N545" s="235" t="e">
        <f>L545+M545</f>
        <v>#DIV/0!</v>
      </c>
      <c r="O545" s="166" t="e">
        <f t="shared" si="60"/>
        <v>#DIV/0!</v>
      </c>
    </row>
    <row r="546" spans="1:15" ht="53.25" customHeight="1" hidden="1">
      <c r="A546" s="226" t="s">
        <v>634</v>
      </c>
      <c r="B546" s="218" t="s">
        <v>540</v>
      </c>
      <c r="C546" s="218" t="s">
        <v>364</v>
      </c>
      <c r="D546" s="218" t="s">
        <v>358</v>
      </c>
      <c r="E546" s="218" t="s">
        <v>612</v>
      </c>
      <c r="F546" s="218"/>
      <c r="G546" s="216">
        <f>G547+G549</f>
        <v>4338.8</v>
      </c>
      <c r="H546" s="216">
        <f>H547+H549</f>
        <v>0</v>
      </c>
      <c r="I546" s="216">
        <f>I547+I549</f>
        <v>0</v>
      </c>
      <c r="J546" s="215">
        <f>J547+J549</f>
        <v>0</v>
      </c>
      <c r="K546" s="215">
        <f>K547+K549</f>
        <v>0</v>
      </c>
      <c r="L546" s="214" t="e">
        <f t="shared" si="59"/>
        <v>#DIV/0!</v>
      </c>
      <c r="M546" s="228">
        <f>M547+M549</f>
        <v>0</v>
      </c>
      <c r="N546" s="227" t="e">
        <f>N547+N549</f>
        <v>#DIV/0!</v>
      </c>
      <c r="O546" s="166" t="e">
        <f t="shared" si="60"/>
        <v>#DIV/0!</v>
      </c>
    </row>
    <row r="547" spans="1:15" ht="30" customHeight="1" hidden="1">
      <c r="A547" s="313" t="s">
        <v>633</v>
      </c>
      <c r="B547" s="218" t="s">
        <v>540</v>
      </c>
      <c r="C547" s="218" t="s">
        <v>364</v>
      </c>
      <c r="D547" s="218" t="s">
        <v>358</v>
      </c>
      <c r="E547" s="218" t="s">
        <v>632</v>
      </c>
      <c r="F547" s="218"/>
      <c r="G547" s="216">
        <f>G548</f>
        <v>2338.8</v>
      </c>
      <c r="H547" s="216">
        <f>H548</f>
        <v>0</v>
      </c>
      <c r="I547" s="216">
        <f>I548</f>
        <v>0</v>
      </c>
      <c r="J547" s="215">
        <f>J548</f>
        <v>0</v>
      </c>
      <c r="K547" s="215">
        <f>K548</f>
        <v>0</v>
      </c>
      <c r="L547" s="214" t="e">
        <f t="shared" si="59"/>
        <v>#DIV/0!</v>
      </c>
      <c r="M547" s="228">
        <f>M548</f>
        <v>0</v>
      </c>
      <c r="N547" s="227" t="e">
        <f>N548</f>
        <v>#DIV/0!</v>
      </c>
      <c r="O547" s="166" t="e">
        <f t="shared" si="60"/>
        <v>#DIV/0!</v>
      </c>
    </row>
    <row r="548" spans="1:15" ht="15" customHeight="1" hidden="1">
      <c r="A548" s="226" t="s">
        <v>574</v>
      </c>
      <c r="B548" s="218" t="s">
        <v>540</v>
      </c>
      <c r="C548" s="218" t="s">
        <v>364</v>
      </c>
      <c r="D548" s="218" t="s">
        <v>358</v>
      </c>
      <c r="E548" s="218" t="s">
        <v>632</v>
      </c>
      <c r="F548" s="218" t="s">
        <v>572</v>
      </c>
      <c r="G548" s="216">
        <v>2338.8</v>
      </c>
      <c r="H548" s="217"/>
      <c r="I548" s="216"/>
      <c r="J548" s="215">
        <f>H548+I548</f>
        <v>0</v>
      </c>
      <c r="K548" s="215">
        <f>1500-1500</f>
        <v>0</v>
      </c>
      <c r="L548" s="214" t="e">
        <f t="shared" si="59"/>
        <v>#DIV/0!</v>
      </c>
      <c r="M548" s="228">
        <f>1500-1500</f>
        <v>0</v>
      </c>
      <c r="N548" s="235" t="e">
        <f>L548+M548</f>
        <v>#DIV/0!</v>
      </c>
      <c r="O548" s="166" t="e">
        <f t="shared" si="60"/>
        <v>#DIV/0!</v>
      </c>
    </row>
    <row r="549" spans="1:15" ht="60" customHeight="1" hidden="1">
      <c r="A549" s="226" t="s">
        <v>631</v>
      </c>
      <c r="B549" s="218" t="s">
        <v>540</v>
      </c>
      <c r="C549" s="218" t="s">
        <v>364</v>
      </c>
      <c r="D549" s="218" t="s">
        <v>358</v>
      </c>
      <c r="E549" s="218" t="s">
        <v>611</v>
      </c>
      <c r="F549" s="218"/>
      <c r="G549" s="216">
        <f>G550</f>
        <v>2000</v>
      </c>
      <c r="H549" s="216">
        <f>H550</f>
        <v>0</v>
      </c>
      <c r="I549" s="216">
        <f>I550</f>
        <v>0</v>
      </c>
      <c r="J549" s="215">
        <f>J550</f>
        <v>0</v>
      </c>
      <c r="K549" s="215">
        <f>K550</f>
        <v>0</v>
      </c>
      <c r="L549" s="214" t="e">
        <f t="shared" si="59"/>
        <v>#DIV/0!</v>
      </c>
      <c r="M549" s="228">
        <f>M550</f>
        <v>0</v>
      </c>
      <c r="N549" s="227" t="e">
        <f>N550</f>
        <v>#DIV/0!</v>
      </c>
      <c r="O549" s="166" t="e">
        <f t="shared" si="60"/>
        <v>#DIV/0!</v>
      </c>
    </row>
    <row r="550" spans="1:15" ht="15" customHeight="1" hidden="1">
      <c r="A550" s="226" t="s">
        <v>574</v>
      </c>
      <c r="B550" s="218" t="s">
        <v>540</v>
      </c>
      <c r="C550" s="218" t="s">
        <v>364</v>
      </c>
      <c r="D550" s="218" t="s">
        <v>358</v>
      </c>
      <c r="E550" s="218" t="s">
        <v>611</v>
      </c>
      <c r="F550" s="218" t="s">
        <v>572</v>
      </c>
      <c r="G550" s="216">
        <v>2000</v>
      </c>
      <c r="H550" s="217"/>
      <c r="I550" s="216"/>
      <c r="J550" s="215">
        <f>H550+I550</f>
        <v>0</v>
      </c>
      <c r="K550" s="215"/>
      <c r="L550" s="214" t="e">
        <f t="shared" si="59"/>
        <v>#DIV/0!</v>
      </c>
      <c r="M550" s="228"/>
      <c r="N550" s="235" t="e">
        <f>L550+M550</f>
        <v>#DIV/0!</v>
      </c>
      <c r="O550" s="166" t="e">
        <f t="shared" si="60"/>
        <v>#DIV/0!</v>
      </c>
    </row>
    <row r="551" spans="1:15" ht="45">
      <c r="A551" s="226" t="s">
        <v>630</v>
      </c>
      <c r="B551" s="218" t="s">
        <v>540</v>
      </c>
      <c r="C551" s="218" t="s">
        <v>364</v>
      </c>
      <c r="D551" s="218" t="s">
        <v>358</v>
      </c>
      <c r="E551" s="218" t="s">
        <v>629</v>
      </c>
      <c r="F551" s="218"/>
      <c r="G551" s="216"/>
      <c r="H551" s="217"/>
      <c r="I551" s="216"/>
      <c r="J551" s="215">
        <f>J552</f>
        <v>1.2</v>
      </c>
      <c r="K551" s="215">
        <f>K552</f>
        <v>1.2</v>
      </c>
      <c r="L551" s="214">
        <f t="shared" si="59"/>
        <v>100</v>
      </c>
      <c r="M551" s="312">
        <f>M552</f>
        <v>0</v>
      </c>
      <c r="N551" s="311">
        <f>N552</f>
        <v>0</v>
      </c>
      <c r="O551" s="166">
        <f t="shared" si="60"/>
        <v>-97.6</v>
      </c>
    </row>
    <row r="552" spans="1:15" ht="15" customHeight="1">
      <c r="A552" s="310" t="s">
        <v>541</v>
      </c>
      <c r="B552" s="218" t="s">
        <v>540</v>
      </c>
      <c r="C552" s="218" t="s">
        <v>364</v>
      </c>
      <c r="D552" s="218" t="s">
        <v>358</v>
      </c>
      <c r="E552" s="218" t="s">
        <v>629</v>
      </c>
      <c r="F552" s="218" t="s">
        <v>538</v>
      </c>
      <c r="G552" s="216"/>
      <c r="H552" s="217"/>
      <c r="I552" s="216"/>
      <c r="J552" s="215">
        <v>1.2</v>
      </c>
      <c r="K552" s="215">
        <v>1.2</v>
      </c>
      <c r="L552" s="214">
        <f t="shared" si="59"/>
        <v>100</v>
      </c>
      <c r="M552" s="228"/>
      <c r="N552" s="235"/>
      <c r="O552" s="166">
        <f t="shared" si="60"/>
        <v>-97.6</v>
      </c>
    </row>
    <row r="553" spans="1:15" ht="15" customHeight="1">
      <c r="A553" s="226" t="s">
        <v>628</v>
      </c>
      <c r="B553" s="218" t="s">
        <v>540</v>
      </c>
      <c r="C553" s="218" t="s">
        <v>364</v>
      </c>
      <c r="D553" s="218" t="s">
        <v>358</v>
      </c>
      <c r="E553" s="218" t="s">
        <v>524</v>
      </c>
      <c r="F553" s="218"/>
      <c r="G553" s="216">
        <f>G556</f>
        <v>500</v>
      </c>
      <c r="H553" s="216">
        <f>H556</f>
        <v>0</v>
      </c>
      <c r="I553" s="216">
        <f>I556</f>
        <v>0</v>
      </c>
      <c r="J553" s="215">
        <f>J556+J554</f>
        <v>602.76</v>
      </c>
      <c r="K553" s="215">
        <f>K556+K554</f>
        <v>602.099</v>
      </c>
      <c r="L553" s="214">
        <f t="shared" si="59"/>
        <v>99.89033777954742</v>
      </c>
      <c r="M553" s="228">
        <f>M556</f>
        <v>0</v>
      </c>
      <c r="N553" s="227">
        <f>N556</f>
        <v>99.88983333333334</v>
      </c>
      <c r="O553" s="166">
        <f t="shared" si="60"/>
        <v>1104.9686622204524</v>
      </c>
    </row>
    <row r="554" spans="1:16" ht="42" customHeight="1">
      <c r="A554" s="219" t="s">
        <v>627</v>
      </c>
      <c r="B554" s="218" t="s">
        <v>540</v>
      </c>
      <c r="C554" s="218" t="s">
        <v>364</v>
      </c>
      <c r="D554" s="218" t="s">
        <v>358</v>
      </c>
      <c r="E554" s="218" t="s">
        <v>626</v>
      </c>
      <c r="F554" s="218"/>
      <c r="G554" s="309"/>
      <c r="H554" s="214"/>
      <c r="I554" s="309"/>
      <c r="J554" s="215">
        <f>J555</f>
        <v>2.76</v>
      </c>
      <c r="K554" s="215">
        <f>K555</f>
        <v>2.76</v>
      </c>
      <c r="L554" s="214">
        <f t="shared" si="59"/>
        <v>100</v>
      </c>
      <c r="M554" s="228"/>
      <c r="N554" s="235"/>
      <c r="O554" s="166">
        <f t="shared" si="60"/>
        <v>-94.48</v>
      </c>
      <c r="P554" s="166"/>
    </row>
    <row r="555" spans="1:16" ht="27.75" customHeight="1">
      <c r="A555" s="219" t="s">
        <v>491</v>
      </c>
      <c r="B555" s="218" t="s">
        <v>540</v>
      </c>
      <c r="C555" s="218" t="s">
        <v>364</v>
      </c>
      <c r="D555" s="218" t="s">
        <v>358</v>
      </c>
      <c r="E555" s="218" t="s">
        <v>626</v>
      </c>
      <c r="F555" s="218" t="s">
        <v>488</v>
      </c>
      <c r="G555" s="309"/>
      <c r="H555" s="214"/>
      <c r="I555" s="309"/>
      <c r="J555" s="215">
        <v>2.76</v>
      </c>
      <c r="K555" s="215">
        <v>2.76</v>
      </c>
      <c r="L555" s="214">
        <f t="shared" si="59"/>
        <v>100</v>
      </c>
      <c r="M555" s="228"/>
      <c r="N555" s="235"/>
      <c r="O555" s="166">
        <f t="shared" si="60"/>
        <v>-94.48</v>
      </c>
      <c r="P555" s="166"/>
    </row>
    <row r="556" spans="1:15" ht="45">
      <c r="A556" s="226" t="s">
        <v>625</v>
      </c>
      <c r="B556" s="218" t="s">
        <v>540</v>
      </c>
      <c r="C556" s="218" t="s">
        <v>364</v>
      </c>
      <c r="D556" s="218" t="s">
        <v>358</v>
      </c>
      <c r="E556" s="218" t="s">
        <v>624</v>
      </c>
      <c r="F556" s="218"/>
      <c r="G556" s="216">
        <f>G557</f>
        <v>500</v>
      </c>
      <c r="H556" s="216">
        <f>H557</f>
        <v>0</v>
      </c>
      <c r="I556" s="216">
        <f>I557</f>
        <v>0</v>
      </c>
      <c r="J556" s="215">
        <f>J557</f>
        <v>600</v>
      </c>
      <c r="K556" s="215">
        <f>K557</f>
        <v>599.339</v>
      </c>
      <c r="L556" s="214">
        <f t="shared" si="59"/>
        <v>99.88983333333334</v>
      </c>
      <c r="M556" s="228">
        <f>M557</f>
        <v>0</v>
      </c>
      <c r="N556" s="227">
        <f>N557</f>
        <v>99.88983333333334</v>
      </c>
      <c r="O556" s="166">
        <f t="shared" si="60"/>
        <v>1099.4491666666665</v>
      </c>
    </row>
    <row r="557" spans="1:15" ht="30" customHeight="1">
      <c r="A557" s="226" t="s">
        <v>491</v>
      </c>
      <c r="B557" s="218" t="s">
        <v>540</v>
      </c>
      <c r="C557" s="218" t="s">
        <v>364</v>
      </c>
      <c r="D557" s="218" t="s">
        <v>358</v>
      </c>
      <c r="E557" s="218" t="s">
        <v>624</v>
      </c>
      <c r="F557" s="218" t="s">
        <v>488</v>
      </c>
      <c r="G557" s="216">
        <v>500</v>
      </c>
      <c r="H557" s="217"/>
      <c r="I557" s="216"/>
      <c r="J557" s="215">
        <v>600</v>
      </c>
      <c r="K557" s="215">
        <v>599.339</v>
      </c>
      <c r="L557" s="214">
        <f t="shared" si="59"/>
        <v>99.88983333333334</v>
      </c>
      <c r="M557" s="228"/>
      <c r="N557" s="235">
        <f>L557+M557</f>
        <v>99.88983333333334</v>
      </c>
      <c r="O557" s="166">
        <f t="shared" si="60"/>
        <v>1099.4491666666665</v>
      </c>
    </row>
    <row r="558" spans="1:15" ht="45">
      <c r="A558" s="226" t="s">
        <v>623</v>
      </c>
      <c r="B558" s="218" t="s">
        <v>540</v>
      </c>
      <c r="C558" s="218" t="s">
        <v>364</v>
      </c>
      <c r="D558" s="218" t="s">
        <v>358</v>
      </c>
      <c r="E558" s="218" t="s">
        <v>622</v>
      </c>
      <c r="F558" s="218"/>
      <c r="G558" s="216"/>
      <c r="H558" s="217"/>
      <c r="I558" s="216"/>
      <c r="J558" s="215">
        <f>J559</f>
        <v>500</v>
      </c>
      <c r="K558" s="215">
        <f>K559</f>
        <v>500</v>
      </c>
      <c r="L558" s="214">
        <f t="shared" si="59"/>
        <v>100</v>
      </c>
      <c r="M558" s="228"/>
      <c r="N558" s="235"/>
      <c r="O558" s="166">
        <f t="shared" si="60"/>
        <v>900</v>
      </c>
    </row>
    <row r="559" spans="1:15" ht="30">
      <c r="A559" s="226" t="s">
        <v>491</v>
      </c>
      <c r="B559" s="218" t="s">
        <v>540</v>
      </c>
      <c r="C559" s="218" t="s">
        <v>364</v>
      </c>
      <c r="D559" s="218" t="s">
        <v>358</v>
      </c>
      <c r="E559" s="218" t="s">
        <v>622</v>
      </c>
      <c r="F559" s="218" t="s">
        <v>488</v>
      </c>
      <c r="G559" s="216"/>
      <c r="H559" s="217"/>
      <c r="I559" s="216"/>
      <c r="J559" s="215">
        <v>500</v>
      </c>
      <c r="K559" s="215">
        <v>500</v>
      </c>
      <c r="L559" s="214">
        <f t="shared" si="59"/>
        <v>100</v>
      </c>
      <c r="M559" s="228"/>
      <c r="N559" s="235"/>
      <c r="O559" s="166">
        <f t="shared" si="60"/>
        <v>900</v>
      </c>
    </row>
    <row r="560" spans="1:15" s="115" customFormat="1" ht="17.25" customHeight="1">
      <c r="A560" s="245" t="s">
        <v>621</v>
      </c>
      <c r="B560" s="143" t="s">
        <v>540</v>
      </c>
      <c r="C560" s="143" t="s">
        <v>364</v>
      </c>
      <c r="D560" s="143" t="s">
        <v>360</v>
      </c>
      <c r="E560" s="143"/>
      <c r="F560" s="143"/>
      <c r="G560" s="128">
        <f>G561</f>
        <v>-786.5</v>
      </c>
      <c r="H560" s="128">
        <f>H561</f>
        <v>0</v>
      </c>
      <c r="I560" s="128">
        <f>I561</f>
        <v>0</v>
      </c>
      <c r="J560" s="141">
        <f>J561</f>
        <v>1678.60159</v>
      </c>
      <c r="K560" s="141">
        <f>K561</f>
        <v>1677.6</v>
      </c>
      <c r="L560" s="172">
        <f t="shared" si="59"/>
        <v>99.94033188065788</v>
      </c>
      <c r="M560" s="230">
        <f>M561</f>
        <v>0</v>
      </c>
      <c r="N560" s="229">
        <f>N561</f>
        <v>99.99910975036673</v>
      </c>
      <c r="O560" s="166">
        <f t="shared" si="60"/>
        <v>3256.2612581193416</v>
      </c>
    </row>
    <row r="561" spans="1:15" ht="15.75" customHeight="1">
      <c r="A561" s="292" t="s">
        <v>396</v>
      </c>
      <c r="B561" s="218" t="s">
        <v>540</v>
      </c>
      <c r="C561" s="218" t="s">
        <v>364</v>
      </c>
      <c r="D561" s="218" t="s">
        <v>360</v>
      </c>
      <c r="E561" s="218" t="s">
        <v>620</v>
      </c>
      <c r="F561" s="218"/>
      <c r="G561" s="216">
        <f>G564</f>
        <v>-786.5</v>
      </c>
      <c r="H561" s="216">
        <f>H564</f>
        <v>0</v>
      </c>
      <c r="I561" s="216">
        <f>I564</f>
        <v>0</v>
      </c>
      <c r="J561" s="215">
        <f>J564+J562</f>
        <v>1678.60159</v>
      </c>
      <c r="K561" s="215">
        <f>K564+K562</f>
        <v>1677.6</v>
      </c>
      <c r="L561" s="214">
        <f t="shared" si="59"/>
        <v>99.94033188065788</v>
      </c>
      <c r="M561" s="228">
        <f>M564</f>
        <v>0</v>
      </c>
      <c r="N561" s="227">
        <f>N564</f>
        <v>99.99910975036673</v>
      </c>
      <c r="O561" s="166">
        <f t="shared" si="60"/>
        <v>3256.2612581193416</v>
      </c>
    </row>
    <row r="562" spans="1:15" ht="27" customHeight="1">
      <c r="A562" s="292" t="s">
        <v>619</v>
      </c>
      <c r="B562" s="218" t="s">
        <v>540</v>
      </c>
      <c r="C562" s="218" t="s">
        <v>364</v>
      </c>
      <c r="D562" s="218" t="s">
        <v>360</v>
      </c>
      <c r="E562" s="218" t="s">
        <v>618</v>
      </c>
      <c r="F562" s="218"/>
      <c r="G562" s="216"/>
      <c r="H562" s="216"/>
      <c r="I562" s="216"/>
      <c r="J562" s="215">
        <f>J563</f>
        <v>1500</v>
      </c>
      <c r="K562" s="215">
        <f>K563</f>
        <v>1499</v>
      </c>
      <c r="L562" s="214">
        <f t="shared" si="59"/>
        <v>99.93333333333332</v>
      </c>
      <c r="M562" s="228"/>
      <c r="N562" s="227"/>
      <c r="O562" s="166">
        <f t="shared" si="60"/>
        <v>2899.0666666666666</v>
      </c>
    </row>
    <row r="563" spans="1:15" ht="27.75" customHeight="1">
      <c r="A563" s="226" t="s">
        <v>491</v>
      </c>
      <c r="B563" s="218" t="s">
        <v>540</v>
      </c>
      <c r="C563" s="218" t="s">
        <v>364</v>
      </c>
      <c r="D563" s="218" t="s">
        <v>360</v>
      </c>
      <c r="E563" s="218" t="s">
        <v>618</v>
      </c>
      <c r="F563" s="218" t="s">
        <v>488</v>
      </c>
      <c r="G563" s="216"/>
      <c r="H563" s="216"/>
      <c r="I563" s="216"/>
      <c r="J563" s="215">
        <v>1500</v>
      </c>
      <c r="K563" s="215">
        <v>1499</v>
      </c>
      <c r="L563" s="214">
        <f t="shared" si="59"/>
        <v>99.93333333333332</v>
      </c>
      <c r="M563" s="228"/>
      <c r="N563" s="227"/>
      <c r="O563" s="166">
        <f t="shared" si="60"/>
        <v>2899.0666666666666</v>
      </c>
    </row>
    <row r="564" spans="1:15" ht="30" customHeight="1">
      <c r="A564" s="292" t="s">
        <v>617</v>
      </c>
      <c r="B564" s="218" t="s">
        <v>540</v>
      </c>
      <c r="C564" s="218" t="s">
        <v>364</v>
      </c>
      <c r="D564" s="218" t="s">
        <v>360</v>
      </c>
      <c r="E564" s="218" t="s">
        <v>616</v>
      </c>
      <c r="F564" s="218"/>
      <c r="G564" s="216">
        <f>G565</f>
        <v>-786.5</v>
      </c>
      <c r="H564" s="216">
        <f>H565</f>
        <v>0</v>
      </c>
      <c r="I564" s="216">
        <f>I565</f>
        <v>0</v>
      </c>
      <c r="J564" s="215">
        <f>J565</f>
        <v>178.60159</v>
      </c>
      <c r="K564" s="215">
        <f>K565</f>
        <v>178.6</v>
      </c>
      <c r="L564" s="214">
        <f t="shared" si="59"/>
        <v>99.99910975036673</v>
      </c>
      <c r="M564" s="228">
        <f>M565</f>
        <v>0</v>
      </c>
      <c r="N564" s="227">
        <f>N565</f>
        <v>99.99910975036673</v>
      </c>
      <c r="O564" s="166">
        <f t="shared" si="60"/>
        <v>257.20248024963325</v>
      </c>
    </row>
    <row r="565" spans="1:15" ht="30" customHeight="1">
      <c r="A565" s="226" t="s">
        <v>491</v>
      </c>
      <c r="B565" s="218" t="s">
        <v>540</v>
      </c>
      <c r="C565" s="218" t="s">
        <v>364</v>
      </c>
      <c r="D565" s="218" t="s">
        <v>360</v>
      </c>
      <c r="E565" s="218" t="s">
        <v>616</v>
      </c>
      <c r="F565" s="218" t="s">
        <v>488</v>
      </c>
      <c r="G565" s="216">
        <v>-786.5</v>
      </c>
      <c r="H565" s="217"/>
      <c r="I565" s="216"/>
      <c r="J565" s="215">
        <v>178.60159</v>
      </c>
      <c r="K565" s="215">
        <v>178.6</v>
      </c>
      <c r="L565" s="214">
        <f t="shared" si="59"/>
        <v>99.99910975036673</v>
      </c>
      <c r="M565" s="228"/>
      <c r="N565" s="235">
        <f>L565+M565</f>
        <v>99.99910975036673</v>
      </c>
      <c r="O565" s="166">
        <f t="shared" si="60"/>
        <v>257.20248024963325</v>
      </c>
    </row>
    <row r="566" spans="1:15" s="115" customFormat="1" ht="15.75" customHeight="1" hidden="1">
      <c r="A566" s="245" t="s">
        <v>397</v>
      </c>
      <c r="B566" s="143" t="s">
        <v>540</v>
      </c>
      <c r="C566" s="143" t="s">
        <v>364</v>
      </c>
      <c r="D566" s="143" t="s">
        <v>364</v>
      </c>
      <c r="E566" s="143"/>
      <c r="F566" s="143"/>
      <c r="G566" s="128">
        <f>G567</f>
        <v>-2222</v>
      </c>
      <c r="H566" s="128">
        <f>H567</f>
        <v>0</v>
      </c>
      <c r="I566" s="128">
        <f>I567</f>
        <v>0</v>
      </c>
      <c r="J566" s="141">
        <f>J567+J570</f>
        <v>0</v>
      </c>
      <c r="K566" s="141">
        <f>K567+K570</f>
        <v>0</v>
      </c>
      <c r="L566" s="214" t="e">
        <f t="shared" si="59"/>
        <v>#DIV/0!</v>
      </c>
      <c r="M566" s="230">
        <f>M567</f>
        <v>0</v>
      </c>
      <c r="N566" s="229" t="e">
        <f>N567</f>
        <v>#DIV/0!</v>
      </c>
      <c r="O566" s="166" t="e">
        <f aca="true" t="shared" si="62" ref="O566:O597">J566+K566-L566</f>
        <v>#DIV/0!</v>
      </c>
    </row>
    <row r="567" spans="1:15" ht="15" customHeight="1" hidden="1">
      <c r="A567" s="226" t="s">
        <v>575</v>
      </c>
      <c r="B567" s="218" t="s">
        <v>540</v>
      </c>
      <c r="C567" s="218" t="s">
        <v>364</v>
      </c>
      <c r="D567" s="218" t="s">
        <v>364</v>
      </c>
      <c r="E567" s="218" t="s">
        <v>585</v>
      </c>
      <c r="F567" s="218"/>
      <c r="G567" s="216">
        <f>G568+G569</f>
        <v>-2222</v>
      </c>
      <c r="H567" s="216">
        <f>H568+H569</f>
        <v>0</v>
      </c>
      <c r="I567" s="216">
        <f>I568+I569</f>
        <v>0</v>
      </c>
      <c r="J567" s="215">
        <f>J568+J569</f>
        <v>0</v>
      </c>
      <c r="K567" s="215">
        <f>K568+K569</f>
        <v>0</v>
      </c>
      <c r="L567" s="214" t="e">
        <f t="shared" si="59"/>
        <v>#DIV/0!</v>
      </c>
      <c r="M567" s="228">
        <f>M568+M569</f>
        <v>0</v>
      </c>
      <c r="N567" s="227" t="e">
        <f>N568+N569</f>
        <v>#DIV/0!</v>
      </c>
      <c r="O567" s="166" t="e">
        <f t="shared" si="62"/>
        <v>#DIV/0!</v>
      </c>
    </row>
    <row r="568" spans="1:15" ht="18" customHeight="1" hidden="1">
      <c r="A568" s="226" t="s">
        <v>574</v>
      </c>
      <c r="B568" s="218" t="s">
        <v>540</v>
      </c>
      <c r="C568" s="218" t="s">
        <v>364</v>
      </c>
      <c r="D568" s="218" t="s">
        <v>364</v>
      </c>
      <c r="E568" s="218" t="s">
        <v>615</v>
      </c>
      <c r="F568" s="218" t="s">
        <v>572</v>
      </c>
      <c r="G568" s="216">
        <v>-2000</v>
      </c>
      <c r="H568" s="217"/>
      <c r="I568" s="216"/>
      <c r="J568" s="215">
        <f>H568+I568</f>
        <v>0</v>
      </c>
      <c r="K568" s="215"/>
      <c r="L568" s="214" t="e">
        <f t="shared" si="59"/>
        <v>#DIV/0!</v>
      </c>
      <c r="M568" s="228"/>
      <c r="N568" s="235" t="e">
        <f>L568+M568</f>
        <v>#DIV/0!</v>
      </c>
      <c r="O568" s="166" t="e">
        <f t="shared" si="62"/>
        <v>#DIV/0!</v>
      </c>
    </row>
    <row r="569" spans="1:15" ht="15.75" customHeight="1" hidden="1">
      <c r="A569" s="226" t="s">
        <v>614</v>
      </c>
      <c r="B569" s="218" t="s">
        <v>540</v>
      </c>
      <c r="C569" s="218" t="s">
        <v>364</v>
      </c>
      <c r="D569" s="218" t="s">
        <v>364</v>
      </c>
      <c r="E569" s="218" t="s">
        <v>573</v>
      </c>
      <c r="F569" s="218" t="s">
        <v>572</v>
      </c>
      <c r="G569" s="216">
        <v>-222</v>
      </c>
      <c r="H569" s="217"/>
      <c r="I569" s="216"/>
      <c r="J569" s="215">
        <f>H569+I569</f>
        <v>0</v>
      </c>
      <c r="K569" s="215"/>
      <c r="L569" s="214" t="e">
        <f t="shared" si="59"/>
        <v>#DIV/0!</v>
      </c>
      <c r="M569" s="228"/>
      <c r="N569" s="235" t="e">
        <f>L569+M569</f>
        <v>#DIV/0!</v>
      </c>
      <c r="O569" s="166" t="e">
        <f t="shared" si="62"/>
        <v>#DIV/0!</v>
      </c>
    </row>
    <row r="570" spans="1:15" ht="15" customHeight="1" hidden="1">
      <c r="A570" s="226" t="s">
        <v>613</v>
      </c>
      <c r="B570" s="218" t="s">
        <v>540</v>
      </c>
      <c r="C570" s="218" t="s">
        <v>364</v>
      </c>
      <c r="D570" s="218" t="s">
        <v>364</v>
      </c>
      <c r="E570" s="218" t="s">
        <v>612</v>
      </c>
      <c r="F570" s="218"/>
      <c r="G570" s="216"/>
      <c r="H570" s="217"/>
      <c r="I570" s="216"/>
      <c r="J570" s="215">
        <f>J571</f>
        <v>0</v>
      </c>
      <c r="K570" s="215">
        <f>K571</f>
        <v>0</v>
      </c>
      <c r="L570" s="214" t="e">
        <f t="shared" si="59"/>
        <v>#DIV/0!</v>
      </c>
      <c r="M570" s="228"/>
      <c r="N570" s="235"/>
      <c r="O570" s="166" t="e">
        <f t="shared" si="62"/>
        <v>#DIV/0!</v>
      </c>
    </row>
    <row r="571" spans="1:15" ht="12.75" customHeight="1" hidden="1">
      <c r="A571" s="226" t="s">
        <v>574</v>
      </c>
      <c r="B571" s="218" t="s">
        <v>540</v>
      </c>
      <c r="C571" s="218" t="s">
        <v>364</v>
      </c>
      <c r="D571" s="218" t="s">
        <v>364</v>
      </c>
      <c r="E571" s="218" t="s">
        <v>611</v>
      </c>
      <c r="F571" s="218" t="s">
        <v>572</v>
      </c>
      <c r="G571" s="216"/>
      <c r="H571" s="217"/>
      <c r="I571" s="216"/>
      <c r="J571" s="215">
        <f>H571+I571</f>
        <v>0</v>
      </c>
      <c r="K571" s="215"/>
      <c r="L571" s="214" t="e">
        <f t="shared" si="59"/>
        <v>#DIV/0!</v>
      </c>
      <c r="M571" s="228"/>
      <c r="N571" s="235"/>
      <c r="O571" s="166" t="e">
        <f t="shared" si="62"/>
        <v>#DIV/0!</v>
      </c>
    </row>
    <row r="572" spans="1:15" s="237" customFormat="1" ht="15">
      <c r="A572" s="249" t="s">
        <v>398</v>
      </c>
      <c r="B572" s="222" t="s">
        <v>540</v>
      </c>
      <c r="C572" s="222" t="s">
        <v>368</v>
      </c>
      <c r="D572" s="222"/>
      <c r="E572" s="222"/>
      <c r="F572" s="222"/>
      <c r="G572" s="241" t="e">
        <f>G595+G601+#REF!</f>
        <v>#REF!</v>
      </c>
      <c r="H572" s="248">
        <f>H595+H601+H573</f>
        <v>682.72</v>
      </c>
      <c r="I572" s="248">
        <f>I595+I601+I573</f>
        <v>0</v>
      </c>
      <c r="J572" s="240">
        <f>J573+J577+J595+J601+J604</f>
        <v>115666.37599999999</v>
      </c>
      <c r="K572" s="240">
        <f>K573+K577+K595+K601+K604</f>
        <v>115650.805</v>
      </c>
      <c r="L572" s="172">
        <f t="shared" si="59"/>
        <v>99.98653800651626</v>
      </c>
      <c r="M572" s="247">
        <f>M573+M577+M595+M601</f>
        <v>0</v>
      </c>
      <c r="N572" s="246" t="e">
        <f>N573+N577+N595+N601</f>
        <v>#DIV/0!</v>
      </c>
      <c r="O572" s="166">
        <f t="shared" si="62"/>
        <v>231217.19446199347</v>
      </c>
    </row>
    <row r="573" spans="1:15" ht="18" customHeight="1">
      <c r="A573" s="308" t="s">
        <v>400</v>
      </c>
      <c r="B573" s="143" t="s">
        <v>540</v>
      </c>
      <c r="C573" s="143" t="s">
        <v>368</v>
      </c>
      <c r="D573" s="143" t="s">
        <v>357</v>
      </c>
      <c r="E573" s="143"/>
      <c r="F573" s="143"/>
      <c r="G573" s="307"/>
      <c r="H573" s="307">
        <f aca="true" t="shared" si="63" ref="H573:K575">H574</f>
        <v>667</v>
      </c>
      <c r="I573" s="307">
        <f t="shared" si="63"/>
        <v>0</v>
      </c>
      <c r="J573" s="141">
        <f t="shared" si="63"/>
        <v>404.38</v>
      </c>
      <c r="K573" s="141">
        <f t="shared" si="63"/>
        <v>404.38</v>
      </c>
      <c r="L573" s="172">
        <f t="shared" si="59"/>
        <v>100</v>
      </c>
      <c r="M573" s="306">
        <f aca="true" t="shared" si="64" ref="M573:N575">M574</f>
        <v>0</v>
      </c>
      <c r="N573" s="305">
        <f t="shared" si="64"/>
        <v>100</v>
      </c>
      <c r="O573" s="166">
        <f t="shared" si="62"/>
        <v>708.76</v>
      </c>
    </row>
    <row r="574" spans="1:15" ht="39.75" customHeight="1">
      <c r="A574" s="243" t="s">
        <v>579</v>
      </c>
      <c r="B574" s="218" t="s">
        <v>540</v>
      </c>
      <c r="C574" s="218" t="s">
        <v>368</v>
      </c>
      <c r="D574" s="218" t="s">
        <v>357</v>
      </c>
      <c r="E574" s="218" t="s">
        <v>609</v>
      </c>
      <c r="F574" s="218"/>
      <c r="G574" s="302"/>
      <c r="H574" s="302">
        <f t="shared" si="63"/>
        <v>667</v>
      </c>
      <c r="I574" s="302">
        <f t="shared" si="63"/>
        <v>0</v>
      </c>
      <c r="J574" s="215">
        <f t="shared" si="63"/>
        <v>404.38</v>
      </c>
      <c r="K574" s="215">
        <f t="shared" si="63"/>
        <v>404.38</v>
      </c>
      <c r="L574" s="214">
        <f t="shared" si="59"/>
        <v>100</v>
      </c>
      <c r="M574" s="304">
        <f t="shared" si="64"/>
        <v>0</v>
      </c>
      <c r="N574" s="303">
        <f t="shared" si="64"/>
        <v>100</v>
      </c>
      <c r="O574" s="166">
        <f t="shared" si="62"/>
        <v>708.76</v>
      </c>
    </row>
    <row r="575" spans="1:15" ht="41.25" customHeight="1">
      <c r="A575" s="243" t="s">
        <v>610</v>
      </c>
      <c r="B575" s="218" t="s">
        <v>540</v>
      </c>
      <c r="C575" s="218" t="s">
        <v>368</v>
      </c>
      <c r="D575" s="218" t="s">
        <v>357</v>
      </c>
      <c r="E575" s="218" t="s">
        <v>573</v>
      </c>
      <c r="F575" s="218"/>
      <c r="G575" s="302"/>
      <c r="H575" s="302">
        <f t="shared" si="63"/>
        <v>667</v>
      </c>
      <c r="I575" s="302">
        <f t="shared" si="63"/>
        <v>0</v>
      </c>
      <c r="J575" s="215">
        <f t="shared" si="63"/>
        <v>404.38</v>
      </c>
      <c r="K575" s="215">
        <f t="shared" si="63"/>
        <v>404.38</v>
      </c>
      <c r="L575" s="214">
        <f t="shared" si="59"/>
        <v>100</v>
      </c>
      <c r="M575" s="304">
        <f t="shared" si="64"/>
        <v>0</v>
      </c>
      <c r="N575" s="303">
        <f t="shared" si="64"/>
        <v>100</v>
      </c>
      <c r="O575" s="166">
        <f t="shared" si="62"/>
        <v>708.76</v>
      </c>
    </row>
    <row r="576" spans="1:15" ht="18" customHeight="1">
      <c r="A576" s="243" t="s">
        <v>574</v>
      </c>
      <c r="B576" s="218" t="s">
        <v>540</v>
      </c>
      <c r="C576" s="218" t="s">
        <v>368</v>
      </c>
      <c r="D576" s="218" t="s">
        <v>357</v>
      </c>
      <c r="E576" s="218" t="s">
        <v>573</v>
      </c>
      <c r="F576" s="218" t="s">
        <v>572</v>
      </c>
      <c r="G576" s="302"/>
      <c r="H576" s="302">
        <v>667</v>
      </c>
      <c r="I576" s="302"/>
      <c r="J576" s="215">
        <v>404.38</v>
      </c>
      <c r="K576" s="215">
        <v>404.38</v>
      </c>
      <c r="L576" s="214">
        <f t="shared" si="59"/>
        <v>100</v>
      </c>
      <c r="M576" s="301"/>
      <c r="N576" s="235">
        <f>L576+M576</f>
        <v>100</v>
      </c>
      <c r="O576" s="166">
        <f t="shared" si="62"/>
        <v>708.76</v>
      </c>
    </row>
    <row r="577" spans="1:15" ht="15">
      <c r="A577" s="293" t="s">
        <v>401</v>
      </c>
      <c r="B577" s="143" t="s">
        <v>540</v>
      </c>
      <c r="C577" s="143" t="s">
        <v>368</v>
      </c>
      <c r="D577" s="143" t="s">
        <v>358</v>
      </c>
      <c r="E577" s="218"/>
      <c r="F577" s="218"/>
      <c r="G577" s="302"/>
      <c r="H577" s="302"/>
      <c r="I577" s="302"/>
      <c r="J577" s="141">
        <f>J578+J585+J592+J583</f>
        <v>114982.646</v>
      </c>
      <c r="K577" s="141">
        <f>K578+K585+K592+K583</f>
        <v>114982.646</v>
      </c>
      <c r="L577" s="172">
        <f t="shared" si="59"/>
        <v>100</v>
      </c>
      <c r="M577" s="276">
        <f>M581+M585+M593</f>
        <v>0</v>
      </c>
      <c r="N577" s="235" t="e">
        <f>N581+N585+N593</f>
        <v>#DIV/0!</v>
      </c>
      <c r="O577" s="166">
        <f t="shared" si="62"/>
        <v>229865.292</v>
      </c>
    </row>
    <row r="578" spans="1:15" ht="60">
      <c r="A578" s="226" t="s">
        <v>575</v>
      </c>
      <c r="B578" s="218" t="s">
        <v>540</v>
      </c>
      <c r="C578" s="218" t="s">
        <v>368</v>
      </c>
      <c r="D578" s="218" t="s">
        <v>358</v>
      </c>
      <c r="E578" s="218" t="s">
        <v>609</v>
      </c>
      <c r="F578" s="218"/>
      <c r="G578" s="302"/>
      <c r="H578" s="302"/>
      <c r="I578" s="302"/>
      <c r="J578" s="215">
        <f>J579+J581</f>
        <v>75364.01</v>
      </c>
      <c r="K578" s="215">
        <f>K579+K581</f>
        <v>75364.01</v>
      </c>
      <c r="L578" s="214">
        <f t="shared" si="59"/>
        <v>100</v>
      </c>
      <c r="M578" s="276"/>
      <c r="N578" s="235"/>
      <c r="O578" s="166">
        <f t="shared" si="62"/>
        <v>150628.02</v>
      </c>
    </row>
    <row r="579" spans="1:15" ht="60">
      <c r="A579" s="226" t="s">
        <v>575</v>
      </c>
      <c r="B579" s="218" t="s">
        <v>540</v>
      </c>
      <c r="C579" s="218" t="s">
        <v>368</v>
      </c>
      <c r="D579" s="218" t="s">
        <v>358</v>
      </c>
      <c r="E579" s="218" t="s">
        <v>608</v>
      </c>
      <c r="F579" s="218"/>
      <c r="G579" s="302"/>
      <c r="H579" s="302"/>
      <c r="I579" s="302"/>
      <c r="J579" s="215">
        <f>J580</f>
        <v>72200</v>
      </c>
      <c r="K579" s="215">
        <f>K580</f>
        <v>72200</v>
      </c>
      <c r="L579" s="214">
        <f t="shared" si="59"/>
        <v>100</v>
      </c>
      <c r="M579" s="276"/>
      <c r="N579" s="235"/>
      <c r="O579" s="166">
        <f t="shared" si="62"/>
        <v>144300</v>
      </c>
    </row>
    <row r="580" spans="1:15" ht="15">
      <c r="A580" s="226" t="s">
        <v>574</v>
      </c>
      <c r="B580" s="218" t="s">
        <v>540</v>
      </c>
      <c r="C580" s="218" t="s">
        <v>368</v>
      </c>
      <c r="D580" s="218" t="s">
        <v>358</v>
      </c>
      <c r="E580" s="218" t="s">
        <v>608</v>
      </c>
      <c r="F580" s="218" t="s">
        <v>572</v>
      </c>
      <c r="G580" s="302"/>
      <c r="H580" s="302"/>
      <c r="I580" s="302"/>
      <c r="J580" s="215">
        <v>72200</v>
      </c>
      <c r="K580" s="215">
        <v>72200</v>
      </c>
      <c r="L580" s="214">
        <f t="shared" si="59"/>
        <v>100</v>
      </c>
      <c r="M580" s="276"/>
      <c r="N580" s="235"/>
      <c r="O580" s="166">
        <f t="shared" si="62"/>
        <v>144300</v>
      </c>
    </row>
    <row r="581" spans="1:15" ht="60">
      <c r="A581" s="226" t="s">
        <v>575</v>
      </c>
      <c r="B581" s="218" t="s">
        <v>540</v>
      </c>
      <c r="C581" s="218" t="s">
        <v>368</v>
      </c>
      <c r="D581" s="218" t="s">
        <v>358</v>
      </c>
      <c r="E581" s="218" t="s">
        <v>573</v>
      </c>
      <c r="F581" s="218"/>
      <c r="G581" s="302"/>
      <c r="H581" s="302"/>
      <c r="I581" s="302"/>
      <c r="J581" s="215">
        <f>J582</f>
        <v>3164.01</v>
      </c>
      <c r="K581" s="215">
        <f>K582</f>
        <v>3164.01</v>
      </c>
      <c r="L581" s="214">
        <f t="shared" si="59"/>
        <v>100</v>
      </c>
      <c r="M581" s="276">
        <f>M582+M583</f>
        <v>0</v>
      </c>
      <c r="N581" s="235" t="e">
        <f>N582+N583</f>
        <v>#DIV/0!</v>
      </c>
      <c r="O581" s="166">
        <f t="shared" si="62"/>
        <v>6228.02</v>
      </c>
    </row>
    <row r="582" spans="1:15" ht="16.5" customHeight="1">
      <c r="A582" s="226" t="s">
        <v>574</v>
      </c>
      <c r="B582" s="218" t="s">
        <v>540</v>
      </c>
      <c r="C582" s="218" t="s">
        <v>368</v>
      </c>
      <c r="D582" s="218" t="s">
        <v>358</v>
      </c>
      <c r="E582" s="218" t="s">
        <v>573</v>
      </c>
      <c r="F582" s="218" t="s">
        <v>572</v>
      </c>
      <c r="G582" s="302"/>
      <c r="H582" s="302"/>
      <c r="I582" s="302"/>
      <c r="J582" s="215">
        <v>3164.01</v>
      </c>
      <c r="K582" s="215">
        <v>3164.01</v>
      </c>
      <c r="L582" s="214">
        <f t="shared" si="59"/>
        <v>100</v>
      </c>
      <c r="M582" s="301"/>
      <c r="N582" s="235">
        <f>L582+M582</f>
        <v>100</v>
      </c>
      <c r="O582" s="166">
        <f t="shared" si="62"/>
        <v>6228.02</v>
      </c>
    </row>
    <row r="583" spans="1:15" ht="30" customHeight="1" hidden="1">
      <c r="A583" s="106" t="s">
        <v>501</v>
      </c>
      <c r="B583" s="218" t="s">
        <v>540</v>
      </c>
      <c r="C583" s="218" t="s">
        <v>368</v>
      </c>
      <c r="D583" s="218" t="s">
        <v>358</v>
      </c>
      <c r="E583" s="218" t="s">
        <v>606</v>
      </c>
      <c r="F583" s="218"/>
      <c r="G583" s="302"/>
      <c r="H583" s="302"/>
      <c r="I583" s="302"/>
      <c r="J583" s="215">
        <f>J584</f>
        <v>0</v>
      </c>
      <c r="K583" s="215">
        <f>K584</f>
        <v>0</v>
      </c>
      <c r="L583" s="214" t="e">
        <f t="shared" si="59"/>
        <v>#DIV/0!</v>
      </c>
      <c r="M583" s="301"/>
      <c r="N583" s="235" t="e">
        <f>L583+M583</f>
        <v>#DIV/0!</v>
      </c>
      <c r="O583" s="166" t="e">
        <f t="shared" si="62"/>
        <v>#DIV/0!</v>
      </c>
    </row>
    <row r="584" spans="1:15" ht="30" customHeight="1" hidden="1">
      <c r="A584" s="106" t="s">
        <v>607</v>
      </c>
      <c r="B584" s="218" t="s">
        <v>540</v>
      </c>
      <c r="C584" s="218" t="s">
        <v>368</v>
      </c>
      <c r="D584" s="218" t="s">
        <v>358</v>
      </c>
      <c r="E584" s="218" t="s">
        <v>606</v>
      </c>
      <c r="F584" s="218" t="s">
        <v>498</v>
      </c>
      <c r="G584" s="302"/>
      <c r="H584" s="302"/>
      <c r="I584" s="302"/>
      <c r="J584" s="215">
        <v>0</v>
      </c>
      <c r="K584" s="215"/>
      <c r="L584" s="214" t="e">
        <f t="shared" si="59"/>
        <v>#DIV/0!</v>
      </c>
      <c r="M584" s="301"/>
      <c r="N584" s="235"/>
      <c r="O584" s="166" t="e">
        <f t="shared" si="62"/>
        <v>#DIV/0!</v>
      </c>
    </row>
    <row r="585" spans="1:15" ht="15" customHeight="1">
      <c r="A585" s="226" t="s">
        <v>605</v>
      </c>
      <c r="B585" s="218" t="s">
        <v>540</v>
      </c>
      <c r="C585" s="218" t="s">
        <v>368</v>
      </c>
      <c r="D585" s="218" t="s">
        <v>358</v>
      </c>
      <c r="E585" s="218" t="s">
        <v>604</v>
      </c>
      <c r="F585" s="218"/>
      <c r="G585" s="215">
        <f>G586+G590+G588</f>
        <v>158.016</v>
      </c>
      <c r="H585" s="215">
        <f>H586+H590+H588</f>
        <v>2334</v>
      </c>
      <c r="I585" s="215">
        <f>I586+I590+I588</f>
        <v>0</v>
      </c>
      <c r="J585" s="215">
        <f>J586+J590+J588</f>
        <v>36139</v>
      </c>
      <c r="K585" s="215">
        <f>K586+K590+K588</f>
        <v>36139</v>
      </c>
      <c r="L585" s="214">
        <f t="shared" si="59"/>
        <v>100</v>
      </c>
      <c r="M585" s="298">
        <f>M586</f>
        <v>0</v>
      </c>
      <c r="N585" s="300" t="e">
        <f>N586</f>
        <v>#DIV/0!</v>
      </c>
      <c r="O585" s="166">
        <f t="shared" si="62"/>
        <v>72178</v>
      </c>
    </row>
    <row r="586" spans="1:15" ht="45" hidden="1">
      <c r="A586" s="219" t="s">
        <v>603</v>
      </c>
      <c r="B586" s="218" t="s">
        <v>540</v>
      </c>
      <c r="C586" s="218" t="s">
        <v>368</v>
      </c>
      <c r="D586" s="218" t="s">
        <v>358</v>
      </c>
      <c r="E586" s="218" t="s">
        <v>554</v>
      </c>
      <c r="F586" s="218"/>
      <c r="G586" s="299">
        <f>G587</f>
        <v>52.672</v>
      </c>
      <c r="H586" s="299">
        <f>H587</f>
        <v>778</v>
      </c>
      <c r="I586" s="299">
        <f>I587</f>
        <v>0</v>
      </c>
      <c r="J586" s="215">
        <f>J587</f>
        <v>0</v>
      </c>
      <c r="K586" s="215">
        <f>K587</f>
        <v>0</v>
      </c>
      <c r="L586" s="214" t="e">
        <f t="shared" si="59"/>
        <v>#DIV/0!</v>
      </c>
      <c r="M586" s="298">
        <f>M587</f>
        <v>0</v>
      </c>
      <c r="N586" s="300" t="e">
        <f>N587</f>
        <v>#DIV/0!</v>
      </c>
      <c r="O586" s="166" t="e">
        <f t="shared" si="62"/>
        <v>#DIV/0!</v>
      </c>
    </row>
    <row r="587" spans="1:15" ht="15" hidden="1">
      <c r="A587" s="219" t="s">
        <v>574</v>
      </c>
      <c r="B587" s="218" t="s">
        <v>540</v>
      </c>
      <c r="C587" s="218" t="s">
        <v>368</v>
      </c>
      <c r="D587" s="218" t="s">
        <v>358</v>
      </c>
      <c r="E587" s="218" t="s">
        <v>554</v>
      </c>
      <c r="F587" s="218" t="s">
        <v>572</v>
      </c>
      <c r="G587" s="299">
        <f>52.672</f>
        <v>52.672</v>
      </c>
      <c r="H587" s="217">
        <v>778</v>
      </c>
      <c r="I587" s="299"/>
      <c r="J587" s="215">
        <f>4000-4000</f>
        <v>0</v>
      </c>
      <c r="K587" s="215"/>
      <c r="L587" s="214" t="e">
        <f t="shared" si="59"/>
        <v>#DIV/0!</v>
      </c>
      <c r="M587" s="298"/>
      <c r="N587" s="235" t="e">
        <f>L587+M587</f>
        <v>#DIV/0!</v>
      </c>
      <c r="O587" s="166" t="e">
        <f t="shared" si="62"/>
        <v>#DIV/0!</v>
      </c>
    </row>
    <row r="588" spans="1:15" ht="45">
      <c r="A588" s="219" t="s">
        <v>603</v>
      </c>
      <c r="B588" s="218" t="s">
        <v>540</v>
      </c>
      <c r="C588" s="218" t="s">
        <v>368</v>
      </c>
      <c r="D588" s="218" t="s">
        <v>358</v>
      </c>
      <c r="E588" s="218" t="s">
        <v>602</v>
      </c>
      <c r="F588" s="218"/>
      <c r="G588" s="299">
        <f>G589</f>
        <v>52.672</v>
      </c>
      <c r="H588" s="299">
        <f>H589</f>
        <v>778</v>
      </c>
      <c r="I588" s="299">
        <f>I589</f>
        <v>0</v>
      </c>
      <c r="J588" s="215">
        <f>J589</f>
        <v>14000</v>
      </c>
      <c r="K588" s="215">
        <f>K589</f>
        <v>14000</v>
      </c>
      <c r="L588" s="214">
        <f aca="true" t="shared" si="65" ref="L588:L651">K588/J588*100</f>
        <v>100</v>
      </c>
      <c r="M588" s="298"/>
      <c r="N588" s="235"/>
      <c r="O588" s="166">
        <f t="shared" si="62"/>
        <v>27900</v>
      </c>
    </row>
    <row r="589" spans="1:15" ht="15">
      <c r="A589" s="219" t="s">
        <v>574</v>
      </c>
      <c r="B589" s="218" t="s">
        <v>540</v>
      </c>
      <c r="C589" s="218" t="s">
        <v>368</v>
      </c>
      <c r="D589" s="218" t="s">
        <v>358</v>
      </c>
      <c r="E589" s="218" t="s">
        <v>602</v>
      </c>
      <c r="F589" s="218" t="s">
        <v>572</v>
      </c>
      <c r="G589" s="299">
        <f>52.672</f>
        <v>52.672</v>
      </c>
      <c r="H589" s="217">
        <v>778</v>
      </c>
      <c r="I589" s="299"/>
      <c r="J589" s="215">
        <v>14000</v>
      </c>
      <c r="K589" s="215">
        <v>14000</v>
      </c>
      <c r="L589" s="214">
        <f t="shared" si="65"/>
        <v>100</v>
      </c>
      <c r="M589" s="298"/>
      <c r="N589" s="235"/>
      <c r="O589" s="166">
        <f t="shared" si="62"/>
        <v>27900</v>
      </c>
    </row>
    <row r="590" spans="1:15" ht="45">
      <c r="A590" s="219" t="s">
        <v>601</v>
      </c>
      <c r="B590" s="218" t="s">
        <v>540</v>
      </c>
      <c r="C590" s="218" t="s">
        <v>368</v>
      </c>
      <c r="D590" s="218" t="s">
        <v>358</v>
      </c>
      <c r="E590" s="218" t="s">
        <v>600</v>
      </c>
      <c r="F590" s="218"/>
      <c r="G590" s="299">
        <f>G591</f>
        <v>52.672</v>
      </c>
      <c r="H590" s="299">
        <f>H591</f>
        <v>778</v>
      </c>
      <c r="I590" s="299">
        <f>I591</f>
        <v>0</v>
      </c>
      <c r="J590" s="215">
        <f>J591</f>
        <v>22139</v>
      </c>
      <c r="K590" s="215">
        <f>K591</f>
        <v>22139</v>
      </c>
      <c r="L590" s="214">
        <f t="shared" si="65"/>
        <v>100</v>
      </c>
      <c r="M590" s="298"/>
      <c r="N590" s="235"/>
      <c r="O590" s="166">
        <f t="shared" si="62"/>
        <v>44178</v>
      </c>
    </row>
    <row r="591" spans="1:15" ht="15">
      <c r="A591" s="219" t="s">
        <v>574</v>
      </c>
      <c r="B591" s="218" t="s">
        <v>540</v>
      </c>
      <c r="C591" s="218" t="s">
        <v>368</v>
      </c>
      <c r="D591" s="218" t="s">
        <v>358</v>
      </c>
      <c r="E591" s="218" t="s">
        <v>600</v>
      </c>
      <c r="F591" s="218" t="s">
        <v>572</v>
      </c>
      <c r="G591" s="299">
        <f>52.672</f>
        <v>52.672</v>
      </c>
      <c r="H591" s="217">
        <v>778</v>
      </c>
      <c r="I591" s="299"/>
      <c r="J591" s="215">
        <v>22139</v>
      </c>
      <c r="K591" s="215">
        <v>22139</v>
      </c>
      <c r="L591" s="214">
        <f t="shared" si="65"/>
        <v>100</v>
      </c>
      <c r="M591" s="298"/>
      <c r="N591" s="235"/>
      <c r="O591" s="166">
        <f t="shared" si="62"/>
        <v>44178</v>
      </c>
    </row>
    <row r="592" spans="1:15" ht="75">
      <c r="A592" s="106" t="s">
        <v>599</v>
      </c>
      <c r="B592" s="218" t="s">
        <v>540</v>
      </c>
      <c r="C592" s="218" t="s">
        <v>368</v>
      </c>
      <c r="D592" s="218" t="s">
        <v>358</v>
      </c>
      <c r="E592" s="218" t="s">
        <v>598</v>
      </c>
      <c r="F592" s="218"/>
      <c r="G592" s="299"/>
      <c r="H592" s="217"/>
      <c r="I592" s="299"/>
      <c r="J592" s="215">
        <f>J593</f>
        <v>3479.636</v>
      </c>
      <c r="K592" s="215">
        <f>K593</f>
        <v>3479.636</v>
      </c>
      <c r="L592" s="214">
        <f t="shared" si="65"/>
        <v>100</v>
      </c>
      <c r="M592" s="298"/>
      <c r="N592" s="235"/>
      <c r="O592" s="166">
        <f t="shared" si="62"/>
        <v>6859.272</v>
      </c>
    </row>
    <row r="593" spans="1:15" ht="28.5" customHeight="1">
      <c r="A593" s="106" t="s">
        <v>501</v>
      </c>
      <c r="B593" s="218" t="s">
        <v>540</v>
      </c>
      <c r="C593" s="218" t="s">
        <v>368</v>
      </c>
      <c r="D593" s="218" t="s">
        <v>358</v>
      </c>
      <c r="E593" s="218" t="s">
        <v>597</v>
      </c>
      <c r="F593" s="218"/>
      <c r="G593" s="216">
        <f>G594</f>
        <v>200</v>
      </c>
      <c r="H593" s="216">
        <f>H594</f>
        <v>0</v>
      </c>
      <c r="I593" s="216">
        <f>I594</f>
        <v>0</v>
      </c>
      <c r="J593" s="215">
        <f>J594</f>
        <v>3479.636</v>
      </c>
      <c r="K593" s="215">
        <f>K594</f>
        <v>3479.636</v>
      </c>
      <c r="L593" s="214">
        <f t="shared" si="65"/>
        <v>100</v>
      </c>
      <c r="M593" s="228">
        <f>M594</f>
        <v>0</v>
      </c>
      <c r="N593" s="227">
        <f>N594</f>
        <v>100</v>
      </c>
      <c r="O593" s="166">
        <f t="shared" si="62"/>
        <v>6859.272</v>
      </c>
    </row>
    <row r="594" spans="1:15" ht="18" customHeight="1">
      <c r="A594" s="106" t="s">
        <v>541</v>
      </c>
      <c r="B594" s="218" t="s">
        <v>540</v>
      </c>
      <c r="C594" s="218" t="s">
        <v>368</v>
      </c>
      <c r="D594" s="218" t="s">
        <v>358</v>
      </c>
      <c r="E594" s="218" t="s">
        <v>597</v>
      </c>
      <c r="F594" s="218" t="s">
        <v>538</v>
      </c>
      <c r="G594" s="216">
        <v>200</v>
      </c>
      <c r="H594" s="217"/>
      <c r="I594" s="216"/>
      <c r="J594" s="297">
        <f>3434.936+44.7</f>
        <v>3479.636</v>
      </c>
      <c r="K594" s="297">
        <v>3479.636</v>
      </c>
      <c r="L594" s="214">
        <f t="shared" si="65"/>
        <v>100</v>
      </c>
      <c r="M594" s="228"/>
      <c r="N594" s="235">
        <f>L594+M594</f>
        <v>100</v>
      </c>
      <c r="O594" s="166">
        <f t="shared" si="62"/>
        <v>6859.272</v>
      </c>
    </row>
    <row r="595" spans="1:15" s="115" customFormat="1" ht="29.25">
      <c r="A595" s="296" t="s">
        <v>596</v>
      </c>
      <c r="B595" s="143" t="s">
        <v>540</v>
      </c>
      <c r="C595" s="143" t="s">
        <v>368</v>
      </c>
      <c r="D595" s="143" t="s">
        <v>364</v>
      </c>
      <c r="E595" s="143"/>
      <c r="F595" s="143"/>
      <c r="G595" s="168">
        <f>G596+G599</f>
        <v>50</v>
      </c>
      <c r="H595" s="168">
        <f>H596+H599</f>
        <v>0</v>
      </c>
      <c r="I595" s="168">
        <f>I596+I599</f>
        <v>0</v>
      </c>
      <c r="J595" s="141">
        <f>J596+J599</f>
        <v>23.65</v>
      </c>
      <c r="K595" s="141">
        <f>K596+K599</f>
        <v>23.579</v>
      </c>
      <c r="L595" s="172">
        <f t="shared" si="65"/>
        <v>99.69978858350952</v>
      </c>
      <c r="M595" s="295">
        <f>M596+M599</f>
        <v>0</v>
      </c>
      <c r="N595" s="294" t="e">
        <f>N596+N599</f>
        <v>#DIV/0!</v>
      </c>
      <c r="O595" s="166">
        <f t="shared" si="62"/>
        <v>-52.47078858350952</v>
      </c>
    </row>
    <row r="596" spans="1:15" ht="30">
      <c r="A596" s="292" t="s">
        <v>595</v>
      </c>
      <c r="B596" s="218" t="s">
        <v>540</v>
      </c>
      <c r="C596" s="218" t="s">
        <v>368</v>
      </c>
      <c r="D596" s="218" t="s">
        <v>364</v>
      </c>
      <c r="E596" s="218" t="s">
        <v>594</v>
      </c>
      <c r="F596" s="218"/>
      <c r="G596" s="216">
        <f aca="true" t="shared" si="66" ref="G596:K597">G597</f>
        <v>-42.5</v>
      </c>
      <c r="H596" s="216">
        <f t="shared" si="66"/>
        <v>0</v>
      </c>
      <c r="I596" s="216">
        <f t="shared" si="66"/>
        <v>0</v>
      </c>
      <c r="J596" s="215">
        <f t="shared" si="66"/>
        <v>23.65</v>
      </c>
      <c r="K596" s="215">
        <f t="shared" si="66"/>
        <v>23.579</v>
      </c>
      <c r="L596" s="214">
        <f t="shared" si="65"/>
        <v>99.69978858350952</v>
      </c>
      <c r="M596" s="228">
        <f>M597</f>
        <v>0</v>
      </c>
      <c r="N596" s="227">
        <f>N597</f>
        <v>99.69978858350952</v>
      </c>
      <c r="O596" s="166">
        <f t="shared" si="62"/>
        <v>-52.47078858350952</v>
      </c>
    </row>
    <row r="597" spans="1:15" ht="30">
      <c r="A597" s="292" t="s">
        <v>592</v>
      </c>
      <c r="B597" s="218" t="s">
        <v>540</v>
      </c>
      <c r="C597" s="218" t="s">
        <v>368</v>
      </c>
      <c r="D597" s="218" t="s">
        <v>364</v>
      </c>
      <c r="E597" s="218" t="s">
        <v>593</v>
      </c>
      <c r="F597" s="218"/>
      <c r="G597" s="216">
        <f t="shared" si="66"/>
        <v>-42.5</v>
      </c>
      <c r="H597" s="216">
        <f t="shared" si="66"/>
        <v>0</v>
      </c>
      <c r="I597" s="216">
        <f t="shared" si="66"/>
        <v>0</v>
      </c>
      <c r="J597" s="215">
        <f t="shared" si="66"/>
        <v>23.65</v>
      </c>
      <c r="K597" s="215">
        <f t="shared" si="66"/>
        <v>23.579</v>
      </c>
      <c r="L597" s="214">
        <f t="shared" si="65"/>
        <v>99.69978858350952</v>
      </c>
      <c r="M597" s="228">
        <f>M598</f>
        <v>0</v>
      </c>
      <c r="N597" s="227">
        <f>N598</f>
        <v>99.69978858350952</v>
      </c>
      <c r="O597" s="166">
        <f t="shared" si="62"/>
        <v>-52.47078858350952</v>
      </c>
    </row>
    <row r="598" spans="1:16" ht="30">
      <c r="A598" s="292" t="s">
        <v>587</v>
      </c>
      <c r="B598" s="218" t="s">
        <v>540</v>
      </c>
      <c r="C598" s="218" t="s">
        <v>368</v>
      </c>
      <c r="D598" s="218" t="s">
        <v>364</v>
      </c>
      <c r="E598" s="218" t="s">
        <v>593</v>
      </c>
      <c r="F598" s="218" t="s">
        <v>488</v>
      </c>
      <c r="G598" s="216">
        <v>-42.5</v>
      </c>
      <c r="H598" s="217"/>
      <c r="I598" s="216"/>
      <c r="J598" s="215">
        <v>23.65</v>
      </c>
      <c r="K598" s="215">
        <v>23.579</v>
      </c>
      <c r="L598" s="214">
        <f t="shared" si="65"/>
        <v>99.69978858350952</v>
      </c>
      <c r="M598" s="228"/>
      <c r="N598" s="235">
        <f>L598+M598</f>
        <v>99.69978858350952</v>
      </c>
      <c r="O598" s="166">
        <f aca="true" t="shared" si="67" ref="O598:O629">J598+K598-L598</f>
        <v>-52.47078858350952</v>
      </c>
      <c r="P598" s="190">
        <f>L598-O598</f>
        <v>152.17057716701902</v>
      </c>
    </row>
    <row r="599" spans="1:15" ht="30" hidden="1">
      <c r="A599" s="106" t="s">
        <v>592</v>
      </c>
      <c r="B599" s="218" t="s">
        <v>540</v>
      </c>
      <c r="C599" s="218" t="s">
        <v>368</v>
      </c>
      <c r="D599" s="218" t="s">
        <v>364</v>
      </c>
      <c r="E599" s="218" t="s">
        <v>591</v>
      </c>
      <c r="F599" s="218"/>
      <c r="G599" s="217">
        <f>G600</f>
        <v>92.5</v>
      </c>
      <c r="H599" s="217">
        <f>H600</f>
        <v>0</v>
      </c>
      <c r="I599" s="217">
        <f>I600</f>
        <v>0</v>
      </c>
      <c r="J599" s="215">
        <f>J600</f>
        <v>0</v>
      </c>
      <c r="K599" s="215">
        <f>K600</f>
        <v>0</v>
      </c>
      <c r="L599" s="214" t="e">
        <f t="shared" si="65"/>
        <v>#DIV/0!</v>
      </c>
      <c r="M599" s="276">
        <f>M600</f>
        <v>0</v>
      </c>
      <c r="N599" s="235" t="e">
        <f>N600</f>
        <v>#DIV/0!</v>
      </c>
      <c r="O599" s="166" t="e">
        <f t="shared" si="67"/>
        <v>#DIV/0!</v>
      </c>
    </row>
    <row r="600" spans="1:15" ht="30" hidden="1">
      <c r="A600" s="106" t="s">
        <v>491</v>
      </c>
      <c r="B600" s="218" t="s">
        <v>540</v>
      </c>
      <c r="C600" s="218" t="s">
        <v>368</v>
      </c>
      <c r="D600" s="218" t="s">
        <v>364</v>
      </c>
      <c r="E600" s="218" t="s">
        <v>591</v>
      </c>
      <c r="F600" s="218" t="s">
        <v>488</v>
      </c>
      <c r="G600" s="217">
        <f>42.5+50</f>
        <v>92.5</v>
      </c>
      <c r="H600" s="217"/>
      <c r="I600" s="217"/>
      <c r="J600" s="215"/>
      <c r="K600" s="215"/>
      <c r="L600" s="214" t="e">
        <f t="shared" si="65"/>
        <v>#DIV/0!</v>
      </c>
      <c r="M600" s="276"/>
      <c r="N600" s="235" t="e">
        <f>L600+M600</f>
        <v>#DIV/0!</v>
      </c>
      <c r="O600" s="166" t="e">
        <f t="shared" si="67"/>
        <v>#DIV/0!</v>
      </c>
    </row>
    <row r="601" spans="1:15" s="115" customFormat="1" ht="30">
      <c r="A601" s="226" t="s">
        <v>403</v>
      </c>
      <c r="B601" s="143" t="s">
        <v>540</v>
      </c>
      <c r="C601" s="143" t="s">
        <v>368</v>
      </c>
      <c r="D601" s="143" t="s">
        <v>368</v>
      </c>
      <c r="E601" s="143"/>
      <c r="F601" s="143"/>
      <c r="G601" s="128">
        <f aca="true" t="shared" si="68" ref="G601:K602">G602</f>
        <v>0</v>
      </c>
      <c r="H601" s="128">
        <f t="shared" si="68"/>
        <v>15.72</v>
      </c>
      <c r="I601" s="128">
        <f t="shared" si="68"/>
        <v>0</v>
      </c>
      <c r="J601" s="141">
        <f t="shared" si="68"/>
        <v>15.5</v>
      </c>
      <c r="K601" s="141">
        <f t="shared" si="68"/>
        <v>0</v>
      </c>
      <c r="L601" s="172">
        <f t="shared" si="65"/>
        <v>0</v>
      </c>
      <c r="M601" s="230">
        <f>M602</f>
        <v>0</v>
      </c>
      <c r="N601" s="229">
        <f>N602</f>
        <v>0</v>
      </c>
      <c r="O601" s="166">
        <f t="shared" si="67"/>
        <v>15.5</v>
      </c>
    </row>
    <row r="602" spans="1:15" ht="45">
      <c r="A602" s="226" t="s">
        <v>590</v>
      </c>
      <c r="B602" s="218" t="s">
        <v>540</v>
      </c>
      <c r="C602" s="218" t="s">
        <v>368</v>
      </c>
      <c r="D602" s="218" t="s">
        <v>368</v>
      </c>
      <c r="E602" s="218" t="s">
        <v>589</v>
      </c>
      <c r="F602" s="218"/>
      <c r="G602" s="216">
        <f t="shared" si="68"/>
        <v>0</v>
      </c>
      <c r="H602" s="216">
        <f t="shared" si="68"/>
        <v>15.72</v>
      </c>
      <c r="I602" s="216">
        <f t="shared" si="68"/>
        <v>0</v>
      </c>
      <c r="J602" s="215">
        <f t="shared" si="68"/>
        <v>15.5</v>
      </c>
      <c r="K602" s="215">
        <f t="shared" si="68"/>
        <v>0</v>
      </c>
      <c r="L602" s="214">
        <f t="shared" si="65"/>
        <v>0</v>
      </c>
      <c r="M602" s="228">
        <f>M603</f>
        <v>0</v>
      </c>
      <c r="N602" s="227">
        <f>N603</f>
        <v>0</v>
      </c>
      <c r="O602" s="166">
        <f t="shared" si="67"/>
        <v>15.5</v>
      </c>
    </row>
    <row r="603" spans="1:15" ht="30">
      <c r="A603" s="226" t="s">
        <v>491</v>
      </c>
      <c r="B603" s="218" t="s">
        <v>540</v>
      </c>
      <c r="C603" s="218" t="s">
        <v>368</v>
      </c>
      <c r="D603" s="218" t="s">
        <v>368</v>
      </c>
      <c r="E603" s="218" t="s">
        <v>589</v>
      </c>
      <c r="F603" s="218" t="s">
        <v>488</v>
      </c>
      <c r="G603" s="216"/>
      <c r="H603" s="216">
        <v>15.72</v>
      </c>
      <c r="I603" s="216"/>
      <c r="J603" s="215">
        <v>15.5</v>
      </c>
      <c r="K603" s="215"/>
      <c r="L603" s="214">
        <f t="shared" si="65"/>
        <v>0</v>
      </c>
      <c r="M603" s="228"/>
      <c r="N603" s="235">
        <f>L603+M603</f>
        <v>0</v>
      </c>
      <c r="O603" s="166">
        <f t="shared" si="67"/>
        <v>15.5</v>
      </c>
    </row>
    <row r="604" spans="1:15" ht="29.25">
      <c r="A604" s="293" t="s">
        <v>404</v>
      </c>
      <c r="B604" s="143" t="s">
        <v>540</v>
      </c>
      <c r="C604" s="143" t="s">
        <v>368</v>
      </c>
      <c r="D604" s="143" t="s">
        <v>378</v>
      </c>
      <c r="E604" s="218"/>
      <c r="F604" s="218"/>
      <c r="G604" s="216"/>
      <c r="H604" s="216"/>
      <c r="I604" s="216"/>
      <c r="J604" s="215">
        <f>J605</f>
        <v>240.2</v>
      </c>
      <c r="K604" s="215">
        <f>K605</f>
        <v>240.2</v>
      </c>
      <c r="L604" s="214">
        <f t="shared" si="65"/>
        <v>100</v>
      </c>
      <c r="M604" s="228"/>
      <c r="N604" s="235"/>
      <c r="O604" s="166">
        <f t="shared" si="67"/>
        <v>380.4</v>
      </c>
    </row>
    <row r="605" spans="1:15" ht="45">
      <c r="A605" s="106" t="s">
        <v>588</v>
      </c>
      <c r="B605" s="218" t="s">
        <v>540</v>
      </c>
      <c r="C605" s="218" t="s">
        <v>368</v>
      </c>
      <c r="D605" s="218" t="s">
        <v>378</v>
      </c>
      <c r="E605" s="218" t="s">
        <v>499</v>
      </c>
      <c r="F605" s="218"/>
      <c r="G605" s="216"/>
      <c r="H605" s="216"/>
      <c r="I605" s="216"/>
      <c r="J605" s="215">
        <f>J606</f>
        <v>240.2</v>
      </c>
      <c r="K605" s="215">
        <f>K606</f>
        <v>240.2</v>
      </c>
      <c r="L605" s="214">
        <f t="shared" si="65"/>
        <v>100</v>
      </c>
      <c r="M605" s="228"/>
      <c r="N605" s="235"/>
      <c r="O605" s="166">
        <f t="shared" si="67"/>
        <v>380.4</v>
      </c>
    </row>
    <row r="606" spans="1:15" ht="30">
      <c r="A606" s="292" t="s">
        <v>587</v>
      </c>
      <c r="B606" s="218" t="s">
        <v>540</v>
      </c>
      <c r="C606" s="218" t="s">
        <v>368</v>
      </c>
      <c r="D606" s="218" t="s">
        <v>378</v>
      </c>
      <c r="E606" s="218" t="s">
        <v>499</v>
      </c>
      <c r="F606" s="218" t="s">
        <v>498</v>
      </c>
      <c r="G606" s="216"/>
      <c r="H606" s="216"/>
      <c r="I606" s="216"/>
      <c r="J606" s="215">
        <v>240.2</v>
      </c>
      <c r="K606" s="215">
        <v>240.2</v>
      </c>
      <c r="L606" s="214">
        <f t="shared" si="65"/>
        <v>100</v>
      </c>
      <c r="M606" s="228"/>
      <c r="N606" s="235"/>
      <c r="O606" s="166">
        <f t="shared" si="67"/>
        <v>380.4</v>
      </c>
    </row>
    <row r="607" spans="1:15" s="237" customFormat="1" ht="29.25">
      <c r="A607" s="242" t="s">
        <v>586</v>
      </c>
      <c r="B607" s="222" t="s">
        <v>540</v>
      </c>
      <c r="C607" s="222" t="s">
        <v>386</v>
      </c>
      <c r="D607" s="222"/>
      <c r="E607" s="222"/>
      <c r="F607" s="222"/>
      <c r="G607" s="241">
        <f>G614+G622</f>
        <v>50</v>
      </c>
      <c r="H607" s="241">
        <f>H614+H622</f>
        <v>710</v>
      </c>
      <c r="I607" s="241">
        <f>I614+I622</f>
        <v>0</v>
      </c>
      <c r="J607" s="240">
        <f>J614+J622+J608+J618</f>
        <v>863.737</v>
      </c>
      <c r="K607" s="240">
        <f>K614+K622+K608+K618</f>
        <v>856.927</v>
      </c>
      <c r="L607" s="172">
        <f t="shared" si="65"/>
        <v>99.21156555757135</v>
      </c>
      <c r="M607" s="287">
        <f>M614+M622+M608</f>
        <v>-102</v>
      </c>
      <c r="N607" s="286" t="e">
        <f>N614+N622+N608</f>
        <v>#DIV/0!</v>
      </c>
      <c r="O607" s="166">
        <f t="shared" si="67"/>
        <v>1621.4524344424287</v>
      </c>
    </row>
    <row r="608" spans="1:15" s="237" customFormat="1" ht="15">
      <c r="A608" s="219" t="s">
        <v>407</v>
      </c>
      <c r="B608" s="143" t="s">
        <v>540</v>
      </c>
      <c r="C608" s="143" t="s">
        <v>386</v>
      </c>
      <c r="D608" s="143" t="s">
        <v>357</v>
      </c>
      <c r="E608" s="222"/>
      <c r="F608" s="222"/>
      <c r="G608" s="241"/>
      <c r="H608" s="241"/>
      <c r="I608" s="241"/>
      <c r="J608" s="141">
        <f>J609+J612</f>
        <v>707</v>
      </c>
      <c r="K608" s="141">
        <f>K609+K612</f>
        <v>707</v>
      </c>
      <c r="L608" s="172">
        <f t="shared" si="65"/>
        <v>100</v>
      </c>
      <c r="M608" s="230">
        <f>M609</f>
        <v>0</v>
      </c>
      <c r="N608" s="229" t="e">
        <f>N609</f>
        <v>#DIV/0!</v>
      </c>
      <c r="O608" s="166">
        <f t="shared" si="67"/>
        <v>1314</v>
      </c>
    </row>
    <row r="609" spans="1:15" s="237" customFormat="1" ht="60">
      <c r="A609" s="219" t="s">
        <v>575</v>
      </c>
      <c r="B609" s="218" t="s">
        <v>540</v>
      </c>
      <c r="C609" s="218" t="s">
        <v>386</v>
      </c>
      <c r="D609" s="218" t="s">
        <v>357</v>
      </c>
      <c r="E609" s="218" t="s">
        <v>585</v>
      </c>
      <c r="F609" s="218"/>
      <c r="G609" s="290"/>
      <c r="H609" s="290"/>
      <c r="I609" s="290"/>
      <c r="J609" s="215">
        <f>J610+J611</f>
        <v>707</v>
      </c>
      <c r="K609" s="215">
        <f>K610+K611</f>
        <v>707</v>
      </c>
      <c r="L609" s="214">
        <f t="shared" si="65"/>
        <v>100</v>
      </c>
      <c r="M609" s="228">
        <f>M610+M611</f>
        <v>0</v>
      </c>
      <c r="N609" s="227" t="e">
        <f>N610+N611</f>
        <v>#DIV/0!</v>
      </c>
      <c r="O609" s="166">
        <f t="shared" si="67"/>
        <v>1314</v>
      </c>
    </row>
    <row r="610" spans="1:15" s="237" customFormat="1" ht="15" hidden="1">
      <c r="A610" s="219" t="s">
        <v>574</v>
      </c>
      <c r="B610" s="218" t="s">
        <v>540</v>
      </c>
      <c r="C610" s="218" t="s">
        <v>386</v>
      </c>
      <c r="D610" s="218" t="s">
        <v>357</v>
      </c>
      <c r="E610" s="218" t="s">
        <v>559</v>
      </c>
      <c r="F610" s="218" t="s">
        <v>572</v>
      </c>
      <c r="G610" s="290"/>
      <c r="H610" s="290"/>
      <c r="I610" s="290"/>
      <c r="J610" s="291"/>
      <c r="K610" s="291"/>
      <c r="L610" s="214" t="e">
        <f t="shared" si="65"/>
        <v>#DIV/0!</v>
      </c>
      <c r="M610" s="289"/>
      <c r="N610" s="288" t="e">
        <f>L610+M610</f>
        <v>#DIV/0!</v>
      </c>
      <c r="O610" s="166" t="e">
        <f t="shared" si="67"/>
        <v>#DIV/0!</v>
      </c>
    </row>
    <row r="611" spans="1:15" s="237" customFormat="1" ht="30">
      <c r="A611" s="219" t="s">
        <v>584</v>
      </c>
      <c r="B611" s="218" t="s">
        <v>540</v>
      </c>
      <c r="C611" s="218" t="s">
        <v>386</v>
      </c>
      <c r="D611" s="218" t="s">
        <v>357</v>
      </c>
      <c r="E611" s="218" t="s">
        <v>573</v>
      </c>
      <c r="F611" s="218" t="s">
        <v>572</v>
      </c>
      <c r="G611" s="290"/>
      <c r="H611" s="290"/>
      <c r="I611" s="290"/>
      <c r="J611" s="291">
        <v>707</v>
      </c>
      <c r="K611" s="215">
        <v>707</v>
      </c>
      <c r="L611" s="214">
        <f t="shared" si="65"/>
        <v>100</v>
      </c>
      <c r="M611" s="289"/>
      <c r="N611" s="288">
        <f>L611+M611</f>
        <v>100</v>
      </c>
      <c r="O611" s="166">
        <f t="shared" si="67"/>
        <v>1314</v>
      </c>
    </row>
    <row r="612" spans="1:15" s="237" customFormat="1" ht="30" hidden="1">
      <c r="A612" s="281" t="s">
        <v>583</v>
      </c>
      <c r="B612" s="218" t="s">
        <v>540</v>
      </c>
      <c r="C612" s="218" t="s">
        <v>386</v>
      </c>
      <c r="D612" s="218" t="s">
        <v>357</v>
      </c>
      <c r="E612" s="218" t="s">
        <v>582</v>
      </c>
      <c r="F612" s="218"/>
      <c r="G612" s="290"/>
      <c r="H612" s="290"/>
      <c r="I612" s="290"/>
      <c r="J612" s="215">
        <f>J613</f>
        <v>0</v>
      </c>
      <c r="K612" s="215">
        <f>K613</f>
        <v>0</v>
      </c>
      <c r="L612" s="214" t="e">
        <f t="shared" si="65"/>
        <v>#DIV/0!</v>
      </c>
      <c r="M612" s="289"/>
      <c r="N612" s="288"/>
      <c r="O612" s="166" t="e">
        <f t="shared" si="67"/>
        <v>#DIV/0!</v>
      </c>
    </row>
    <row r="613" spans="1:15" s="237" customFormat="1" ht="15" hidden="1">
      <c r="A613" s="226" t="s">
        <v>574</v>
      </c>
      <c r="B613" s="218" t="s">
        <v>540</v>
      </c>
      <c r="C613" s="218" t="s">
        <v>386</v>
      </c>
      <c r="D613" s="218" t="s">
        <v>357</v>
      </c>
      <c r="E613" s="218" t="s">
        <v>554</v>
      </c>
      <c r="F613" s="218" t="s">
        <v>572</v>
      </c>
      <c r="G613" s="290"/>
      <c r="H613" s="290"/>
      <c r="I613" s="290"/>
      <c r="J613" s="215"/>
      <c r="K613" s="215"/>
      <c r="L613" s="214" t="e">
        <f t="shared" si="65"/>
        <v>#DIV/0!</v>
      </c>
      <c r="M613" s="289"/>
      <c r="N613" s="288"/>
      <c r="O613" s="166" t="e">
        <f t="shared" si="67"/>
        <v>#DIV/0!</v>
      </c>
    </row>
    <row r="614" spans="1:15" s="115" customFormat="1" ht="27.75" customHeight="1" hidden="1">
      <c r="A614" s="220" t="s">
        <v>408</v>
      </c>
      <c r="B614" s="143" t="s">
        <v>540</v>
      </c>
      <c r="C614" s="143" t="s">
        <v>386</v>
      </c>
      <c r="D614" s="143" t="s">
        <v>362</v>
      </c>
      <c r="E614" s="143"/>
      <c r="F614" s="143"/>
      <c r="G614" s="128">
        <f aca="true" t="shared" si="69" ref="G614:K616">G615</f>
        <v>0</v>
      </c>
      <c r="H614" s="128">
        <f t="shared" si="69"/>
        <v>666</v>
      </c>
      <c r="I614" s="128">
        <f t="shared" si="69"/>
        <v>0</v>
      </c>
      <c r="J614" s="141">
        <f t="shared" si="69"/>
        <v>0</v>
      </c>
      <c r="K614" s="141">
        <f t="shared" si="69"/>
        <v>0</v>
      </c>
      <c r="L614" s="214" t="e">
        <f t="shared" si="65"/>
        <v>#DIV/0!</v>
      </c>
      <c r="M614" s="228">
        <f aca="true" t="shared" si="70" ref="M614:N616">M615</f>
        <v>20</v>
      </c>
      <c r="N614" s="227" t="e">
        <f t="shared" si="70"/>
        <v>#DIV/0!</v>
      </c>
      <c r="O614" s="166" t="e">
        <f t="shared" si="67"/>
        <v>#DIV/0!</v>
      </c>
    </row>
    <row r="615" spans="1:15" ht="60" hidden="1">
      <c r="A615" s="219" t="s">
        <v>544</v>
      </c>
      <c r="B615" s="218" t="s">
        <v>540</v>
      </c>
      <c r="C615" s="218" t="s">
        <v>386</v>
      </c>
      <c r="D615" s="218" t="s">
        <v>362</v>
      </c>
      <c r="E615" s="218" t="s">
        <v>543</v>
      </c>
      <c r="F615" s="218"/>
      <c r="G615" s="216">
        <f t="shared" si="69"/>
        <v>0</v>
      </c>
      <c r="H615" s="216">
        <f t="shared" si="69"/>
        <v>666</v>
      </c>
      <c r="I615" s="216">
        <f t="shared" si="69"/>
        <v>0</v>
      </c>
      <c r="J615" s="215">
        <f t="shared" si="69"/>
        <v>0</v>
      </c>
      <c r="K615" s="215">
        <f t="shared" si="69"/>
        <v>0</v>
      </c>
      <c r="L615" s="214" t="e">
        <f t="shared" si="65"/>
        <v>#DIV/0!</v>
      </c>
      <c r="M615" s="228">
        <f t="shared" si="70"/>
        <v>20</v>
      </c>
      <c r="N615" s="227" t="e">
        <f t="shared" si="70"/>
        <v>#DIV/0!</v>
      </c>
      <c r="O615" s="166" t="e">
        <f t="shared" si="67"/>
        <v>#DIV/0!</v>
      </c>
    </row>
    <row r="616" spans="1:15" ht="45" hidden="1">
      <c r="A616" s="226" t="s">
        <v>542</v>
      </c>
      <c r="B616" s="218" t="s">
        <v>540</v>
      </c>
      <c r="C616" s="218" t="s">
        <v>386</v>
      </c>
      <c r="D616" s="218" t="s">
        <v>362</v>
      </c>
      <c r="E616" s="218" t="s">
        <v>539</v>
      </c>
      <c r="F616" s="218"/>
      <c r="G616" s="216">
        <f t="shared" si="69"/>
        <v>0</v>
      </c>
      <c r="H616" s="216">
        <f t="shared" si="69"/>
        <v>666</v>
      </c>
      <c r="I616" s="216">
        <f t="shared" si="69"/>
        <v>0</v>
      </c>
      <c r="J616" s="215">
        <f t="shared" si="69"/>
        <v>0</v>
      </c>
      <c r="K616" s="215">
        <f t="shared" si="69"/>
        <v>0</v>
      </c>
      <c r="L616" s="214" t="e">
        <f t="shared" si="65"/>
        <v>#DIV/0!</v>
      </c>
      <c r="M616" s="228">
        <f t="shared" si="70"/>
        <v>20</v>
      </c>
      <c r="N616" s="227" t="e">
        <f t="shared" si="70"/>
        <v>#DIV/0!</v>
      </c>
      <c r="O616" s="166" t="e">
        <f t="shared" si="67"/>
        <v>#DIV/0!</v>
      </c>
    </row>
    <row r="617" spans="1:15" ht="15" hidden="1">
      <c r="A617" s="226" t="s">
        <v>541</v>
      </c>
      <c r="B617" s="218" t="s">
        <v>540</v>
      </c>
      <c r="C617" s="218" t="s">
        <v>386</v>
      </c>
      <c r="D617" s="218" t="s">
        <v>362</v>
      </c>
      <c r="E617" s="218" t="s">
        <v>539</v>
      </c>
      <c r="F617" s="218" t="s">
        <v>538</v>
      </c>
      <c r="G617" s="216"/>
      <c r="H617" s="216">
        <v>666</v>
      </c>
      <c r="I617" s="216"/>
      <c r="J617" s="215"/>
      <c r="K617" s="215"/>
      <c r="L617" s="214" t="e">
        <f t="shared" si="65"/>
        <v>#DIV/0!</v>
      </c>
      <c r="M617" s="228">
        <v>20</v>
      </c>
      <c r="N617" s="235" t="e">
        <f>L617+M617</f>
        <v>#DIV/0!</v>
      </c>
      <c r="O617" s="166" t="e">
        <f t="shared" si="67"/>
        <v>#DIV/0!</v>
      </c>
    </row>
    <row r="618" spans="1:15" ht="29.25">
      <c r="A618" s="220" t="s">
        <v>581</v>
      </c>
      <c r="B618" s="143" t="s">
        <v>540</v>
      </c>
      <c r="C618" s="143" t="s">
        <v>386</v>
      </c>
      <c r="D618" s="143" t="s">
        <v>362</v>
      </c>
      <c r="E618" s="143"/>
      <c r="F618" s="143"/>
      <c r="G618" s="128">
        <f aca="true" t="shared" si="71" ref="G618:K620">G619</f>
        <v>50</v>
      </c>
      <c r="H618" s="128">
        <f t="shared" si="71"/>
        <v>44</v>
      </c>
      <c r="I618" s="128">
        <f t="shared" si="71"/>
        <v>0</v>
      </c>
      <c r="J618" s="141">
        <f t="shared" si="71"/>
        <v>156.737</v>
      </c>
      <c r="K618" s="141">
        <f t="shared" si="71"/>
        <v>149.927</v>
      </c>
      <c r="L618" s="172">
        <f t="shared" si="65"/>
        <v>95.65514205324843</v>
      </c>
      <c r="M618" s="228"/>
      <c r="N618" s="235"/>
      <c r="O618" s="166">
        <f t="shared" si="67"/>
        <v>211.00885794675156</v>
      </c>
    </row>
    <row r="619" spans="1:15" ht="45">
      <c r="A619" s="219" t="s">
        <v>503</v>
      </c>
      <c r="B619" s="218" t="s">
        <v>540</v>
      </c>
      <c r="C619" s="218" t="s">
        <v>386</v>
      </c>
      <c r="D619" s="218" t="s">
        <v>362</v>
      </c>
      <c r="E619" s="218" t="s">
        <v>502</v>
      </c>
      <c r="F619" s="218"/>
      <c r="G619" s="216">
        <f t="shared" si="71"/>
        <v>50</v>
      </c>
      <c r="H619" s="216">
        <f t="shared" si="71"/>
        <v>44</v>
      </c>
      <c r="I619" s="216">
        <f t="shared" si="71"/>
        <v>0</v>
      </c>
      <c r="J619" s="215">
        <f t="shared" si="71"/>
        <v>156.737</v>
      </c>
      <c r="K619" s="215">
        <f t="shared" si="71"/>
        <v>149.927</v>
      </c>
      <c r="L619" s="214">
        <f t="shared" si="65"/>
        <v>95.65514205324843</v>
      </c>
      <c r="M619" s="228"/>
      <c r="N619" s="235"/>
      <c r="O619" s="166">
        <f t="shared" si="67"/>
        <v>211.00885794675156</v>
      </c>
    </row>
    <row r="620" spans="1:15" ht="30">
      <c r="A620" s="219" t="s">
        <v>501</v>
      </c>
      <c r="B620" s="218" t="s">
        <v>540</v>
      </c>
      <c r="C620" s="218" t="s">
        <v>386</v>
      </c>
      <c r="D620" s="218" t="s">
        <v>362</v>
      </c>
      <c r="E620" s="218" t="s">
        <v>499</v>
      </c>
      <c r="F620" s="218"/>
      <c r="G620" s="216">
        <f t="shared" si="71"/>
        <v>50</v>
      </c>
      <c r="H620" s="216">
        <f t="shared" si="71"/>
        <v>44</v>
      </c>
      <c r="I620" s="216">
        <f t="shared" si="71"/>
        <v>0</v>
      </c>
      <c r="J620" s="215">
        <f t="shared" si="71"/>
        <v>156.737</v>
      </c>
      <c r="K620" s="215">
        <f t="shared" si="71"/>
        <v>149.927</v>
      </c>
      <c r="L620" s="214">
        <f t="shared" si="65"/>
        <v>95.65514205324843</v>
      </c>
      <c r="M620" s="228"/>
      <c r="N620" s="235"/>
      <c r="O620" s="166">
        <f t="shared" si="67"/>
        <v>211.00885794675156</v>
      </c>
    </row>
    <row r="621" spans="1:15" ht="30">
      <c r="A621" s="219" t="s">
        <v>500</v>
      </c>
      <c r="B621" s="218" t="s">
        <v>540</v>
      </c>
      <c r="C621" s="218" t="s">
        <v>386</v>
      </c>
      <c r="D621" s="218" t="s">
        <v>362</v>
      </c>
      <c r="E621" s="218" t="s">
        <v>499</v>
      </c>
      <c r="F621" s="218" t="s">
        <v>498</v>
      </c>
      <c r="G621" s="216">
        <v>50</v>
      </c>
      <c r="H621" s="216">
        <v>44</v>
      </c>
      <c r="I621" s="216"/>
      <c r="J621" s="215">
        <v>156.737</v>
      </c>
      <c r="K621" s="215">
        <v>149.927</v>
      </c>
      <c r="L621" s="214">
        <f t="shared" si="65"/>
        <v>95.65514205324843</v>
      </c>
      <c r="M621" s="228"/>
      <c r="N621" s="235"/>
      <c r="O621" s="166">
        <f t="shared" si="67"/>
        <v>211.00885794675156</v>
      </c>
    </row>
    <row r="622" spans="1:15" s="115" customFormat="1" ht="43.5" hidden="1">
      <c r="A622" s="220" t="s">
        <v>504</v>
      </c>
      <c r="B622" s="143" t="s">
        <v>540</v>
      </c>
      <c r="C622" s="143" t="s">
        <v>386</v>
      </c>
      <c r="D622" s="143" t="s">
        <v>366</v>
      </c>
      <c r="E622" s="143"/>
      <c r="F622" s="143"/>
      <c r="G622" s="128">
        <f aca="true" t="shared" si="72" ref="G622:K624">G623</f>
        <v>50</v>
      </c>
      <c r="H622" s="128">
        <f t="shared" si="72"/>
        <v>44</v>
      </c>
      <c r="I622" s="128">
        <f t="shared" si="72"/>
        <v>0</v>
      </c>
      <c r="J622" s="141">
        <f t="shared" si="72"/>
        <v>0</v>
      </c>
      <c r="K622" s="141">
        <f t="shared" si="72"/>
        <v>0</v>
      </c>
      <c r="L622" s="214" t="e">
        <f t="shared" si="65"/>
        <v>#DIV/0!</v>
      </c>
      <c r="M622" s="230">
        <f aca="true" t="shared" si="73" ref="M622:N624">M623</f>
        <v>-122</v>
      </c>
      <c r="N622" s="229" t="e">
        <f t="shared" si="73"/>
        <v>#DIV/0!</v>
      </c>
      <c r="O622" s="166" t="e">
        <f t="shared" si="67"/>
        <v>#DIV/0!</v>
      </c>
    </row>
    <row r="623" spans="1:15" ht="45" hidden="1">
      <c r="A623" s="219" t="s">
        <v>503</v>
      </c>
      <c r="B623" s="218" t="s">
        <v>540</v>
      </c>
      <c r="C623" s="218" t="s">
        <v>386</v>
      </c>
      <c r="D623" s="218" t="s">
        <v>366</v>
      </c>
      <c r="E623" s="218" t="s">
        <v>502</v>
      </c>
      <c r="F623" s="218"/>
      <c r="G623" s="216">
        <f t="shared" si="72"/>
        <v>50</v>
      </c>
      <c r="H623" s="216">
        <f t="shared" si="72"/>
        <v>44</v>
      </c>
      <c r="I623" s="216">
        <f t="shared" si="72"/>
        <v>0</v>
      </c>
      <c r="J623" s="215">
        <f t="shared" si="72"/>
        <v>0</v>
      </c>
      <c r="K623" s="215">
        <f t="shared" si="72"/>
        <v>0</v>
      </c>
      <c r="L623" s="214" t="e">
        <f t="shared" si="65"/>
        <v>#DIV/0!</v>
      </c>
      <c r="M623" s="228">
        <f t="shared" si="73"/>
        <v>-122</v>
      </c>
      <c r="N623" s="227" t="e">
        <f t="shared" si="73"/>
        <v>#DIV/0!</v>
      </c>
      <c r="O623" s="166" t="e">
        <f t="shared" si="67"/>
        <v>#DIV/0!</v>
      </c>
    </row>
    <row r="624" spans="1:15" ht="30" hidden="1">
      <c r="A624" s="219" t="s">
        <v>501</v>
      </c>
      <c r="B624" s="218" t="s">
        <v>540</v>
      </c>
      <c r="C624" s="218" t="s">
        <v>386</v>
      </c>
      <c r="D624" s="218" t="s">
        <v>366</v>
      </c>
      <c r="E624" s="218" t="s">
        <v>499</v>
      </c>
      <c r="F624" s="218"/>
      <c r="G624" s="216">
        <f t="shared" si="72"/>
        <v>50</v>
      </c>
      <c r="H624" s="216">
        <f t="shared" si="72"/>
        <v>44</v>
      </c>
      <c r="I624" s="216">
        <f t="shared" si="72"/>
        <v>0</v>
      </c>
      <c r="J624" s="215">
        <f t="shared" si="72"/>
        <v>0</v>
      </c>
      <c r="K624" s="215">
        <f t="shared" si="72"/>
        <v>0</v>
      </c>
      <c r="L624" s="214" t="e">
        <f t="shared" si="65"/>
        <v>#DIV/0!</v>
      </c>
      <c r="M624" s="228">
        <f t="shared" si="73"/>
        <v>-122</v>
      </c>
      <c r="N624" s="227" t="e">
        <f t="shared" si="73"/>
        <v>#DIV/0!</v>
      </c>
      <c r="O624" s="166" t="e">
        <f t="shared" si="67"/>
        <v>#DIV/0!</v>
      </c>
    </row>
    <row r="625" spans="1:15" ht="30" hidden="1">
      <c r="A625" s="219" t="s">
        <v>500</v>
      </c>
      <c r="B625" s="218" t="s">
        <v>540</v>
      </c>
      <c r="C625" s="218" t="s">
        <v>386</v>
      </c>
      <c r="D625" s="218" t="s">
        <v>366</v>
      </c>
      <c r="E625" s="218" t="s">
        <v>499</v>
      </c>
      <c r="F625" s="218" t="s">
        <v>498</v>
      </c>
      <c r="G625" s="216">
        <v>50</v>
      </c>
      <c r="H625" s="216">
        <v>44</v>
      </c>
      <c r="I625" s="216"/>
      <c r="J625" s="215"/>
      <c r="K625" s="215"/>
      <c r="L625" s="214" t="e">
        <f t="shared" si="65"/>
        <v>#DIV/0!</v>
      </c>
      <c r="M625" s="228">
        <v>-122</v>
      </c>
      <c r="N625" s="235" t="e">
        <f>L625+M625</f>
        <v>#DIV/0!</v>
      </c>
      <c r="O625" s="166" t="e">
        <f t="shared" si="67"/>
        <v>#DIV/0!</v>
      </c>
    </row>
    <row r="626" spans="1:15" s="237" customFormat="1" ht="15">
      <c r="A626" s="242" t="s">
        <v>580</v>
      </c>
      <c r="B626" s="222" t="s">
        <v>540</v>
      </c>
      <c r="C626" s="222" t="s">
        <v>378</v>
      </c>
      <c r="D626" s="222"/>
      <c r="E626" s="222"/>
      <c r="F626" s="222"/>
      <c r="G626" s="241" t="e">
        <f>G627+G634</f>
        <v>#REF!</v>
      </c>
      <c r="H626" s="241" t="e">
        <f>H627+H634</f>
        <v>#REF!</v>
      </c>
      <c r="I626" s="241" t="e">
        <f>I627+I634</f>
        <v>#REF!</v>
      </c>
      <c r="J626" s="240">
        <f>J627+J634</f>
        <v>58410</v>
      </c>
      <c r="K626" s="240">
        <f>K627+K634</f>
        <v>58410</v>
      </c>
      <c r="L626" s="172">
        <f t="shared" si="65"/>
        <v>100</v>
      </c>
      <c r="M626" s="287" t="e">
        <f>M627+M634</f>
        <v>#REF!</v>
      </c>
      <c r="N626" s="286" t="e">
        <f>N627+N634</f>
        <v>#REF!</v>
      </c>
      <c r="O626" s="166">
        <f t="shared" si="67"/>
        <v>116720</v>
      </c>
    </row>
    <row r="627" spans="1:15" s="115" customFormat="1" ht="14.25" customHeight="1">
      <c r="A627" s="245" t="s">
        <v>414</v>
      </c>
      <c r="B627" s="143" t="s">
        <v>540</v>
      </c>
      <c r="C627" s="143" t="s">
        <v>378</v>
      </c>
      <c r="D627" s="143" t="s">
        <v>357</v>
      </c>
      <c r="E627" s="143"/>
      <c r="F627" s="143"/>
      <c r="G627" s="128" t="e">
        <f>G630</f>
        <v>#REF!</v>
      </c>
      <c r="H627" s="128" t="e">
        <f>H630</f>
        <v>#REF!</v>
      </c>
      <c r="I627" s="128" t="e">
        <f>I630</f>
        <v>#REF!</v>
      </c>
      <c r="J627" s="141">
        <f>J630+J632+J628</f>
        <v>58410</v>
      </c>
      <c r="K627" s="141">
        <f>K630+K632+K628</f>
        <v>58410</v>
      </c>
      <c r="L627" s="172">
        <f t="shared" si="65"/>
        <v>100</v>
      </c>
      <c r="M627" s="230" t="e">
        <f>M630</f>
        <v>#REF!</v>
      </c>
      <c r="N627" s="229" t="e">
        <f>N630</f>
        <v>#REF!</v>
      </c>
      <c r="O627" s="166">
        <f t="shared" si="67"/>
        <v>116720</v>
      </c>
    </row>
    <row r="628" spans="1:15" ht="66.75" customHeight="1">
      <c r="A628" s="226" t="s">
        <v>575</v>
      </c>
      <c r="B628" s="218" t="s">
        <v>540</v>
      </c>
      <c r="C628" s="218" t="s">
        <v>378</v>
      </c>
      <c r="D628" s="218" t="s">
        <v>357</v>
      </c>
      <c r="E628" s="218" t="s">
        <v>573</v>
      </c>
      <c r="F628" s="218"/>
      <c r="G628" s="216"/>
      <c r="H628" s="216"/>
      <c r="I628" s="216"/>
      <c r="J628" s="215">
        <f>J629</f>
        <v>10</v>
      </c>
      <c r="K628" s="215">
        <f>K629</f>
        <v>10</v>
      </c>
      <c r="L628" s="214">
        <f t="shared" si="65"/>
        <v>100</v>
      </c>
      <c r="M628" s="228"/>
      <c r="N628" s="227"/>
      <c r="O628" s="166">
        <f t="shared" si="67"/>
        <v>-80</v>
      </c>
    </row>
    <row r="629" spans="1:15" ht="14.25" customHeight="1">
      <c r="A629" s="226" t="s">
        <v>574</v>
      </c>
      <c r="B629" s="218" t="s">
        <v>540</v>
      </c>
      <c r="C629" s="218" t="s">
        <v>378</v>
      </c>
      <c r="D629" s="218" t="s">
        <v>357</v>
      </c>
      <c r="E629" s="218" t="s">
        <v>573</v>
      </c>
      <c r="F629" s="218" t="s">
        <v>572</v>
      </c>
      <c r="G629" s="216"/>
      <c r="H629" s="216"/>
      <c r="I629" s="216"/>
      <c r="J629" s="215">
        <v>10</v>
      </c>
      <c r="K629" s="215">
        <v>10</v>
      </c>
      <c r="L629" s="214">
        <f t="shared" si="65"/>
        <v>100</v>
      </c>
      <c r="M629" s="228"/>
      <c r="N629" s="227"/>
      <c r="O629" s="166">
        <f t="shared" si="67"/>
        <v>-80</v>
      </c>
    </row>
    <row r="630" spans="1:15" ht="45" customHeight="1">
      <c r="A630" s="219" t="s">
        <v>579</v>
      </c>
      <c r="B630" s="218" t="s">
        <v>540</v>
      </c>
      <c r="C630" s="218" t="s">
        <v>378</v>
      </c>
      <c r="D630" s="218" t="s">
        <v>357</v>
      </c>
      <c r="E630" s="218" t="s">
        <v>578</v>
      </c>
      <c r="F630" s="218"/>
      <c r="G630" s="216" t="e">
        <f>#REF!</f>
        <v>#REF!</v>
      </c>
      <c r="H630" s="216" t="e">
        <f>#REF!</f>
        <v>#REF!</v>
      </c>
      <c r="I630" s="216" t="e">
        <f>#REF!</f>
        <v>#REF!</v>
      </c>
      <c r="J630" s="215">
        <f>J631</f>
        <v>57900</v>
      </c>
      <c r="K630" s="215">
        <f>K631</f>
        <v>57900</v>
      </c>
      <c r="L630" s="214">
        <f t="shared" si="65"/>
        <v>100</v>
      </c>
      <c r="M630" s="228" t="e">
        <f>#REF!</f>
        <v>#REF!</v>
      </c>
      <c r="N630" s="227" t="e">
        <f>#REF!</f>
        <v>#REF!</v>
      </c>
      <c r="O630" s="166">
        <f aca="true" t="shared" si="74" ref="O630:O661">J630+K630-L630</f>
        <v>115700</v>
      </c>
    </row>
    <row r="631" spans="1:15" ht="15" customHeight="1">
      <c r="A631" s="219" t="s">
        <v>574</v>
      </c>
      <c r="B631" s="218" t="s">
        <v>540</v>
      </c>
      <c r="C631" s="218" t="s">
        <v>378</v>
      </c>
      <c r="D631" s="218" t="s">
        <v>357</v>
      </c>
      <c r="E631" s="218" t="s">
        <v>578</v>
      </c>
      <c r="F631" s="218" t="s">
        <v>572</v>
      </c>
      <c r="G631" s="216">
        <f>7525+549</f>
        <v>8074</v>
      </c>
      <c r="H631" s="217"/>
      <c r="I631" s="216"/>
      <c r="J631" s="215">
        <v>57900</v>
      </c>
      <c r="K631" s="215">
        <v>57900</v>
      </c>
      <c r="L631" s="214">
        <f t="shared" si="65"/>
        <v>100</v>
      </c>
      <c r="M631" s="228"/>
      <c r="N631" s="235">
        <f>L631+M631</f>
        <v>100</v>
      </c>
      <c r="O631" s="166">
        <f t="shared" si="74"/>
        <v>115700</v>
      </c>
    </row>
    <row r="632" spans="1:15" ht="51.75" customHeight="1">
      <c r="A632" s="219" t="s">
        <v>577</v>
      </c>
      <c r="B632" s="218" t="s">
        <v>540</v>
      </c>
      <c r="C632" s="218" t="s">
        <v>378</v>
      </c>
      <c r="D632" s="218" t="s">
        <v>357</v>
      </c>
      <c r="E632" s="218" t="s">
        <v>576</v>
      </c>
      <c r="F632" s="218"/>
      <c r="G632" s="216"/>
      <c r="H632" s="217"/>
      <c r="I632" s="216"/>
      <c r="J632" s="215">
        <f>J633</f>
        <v>500</v>
      </c>
      <c r="K632" s="215">
        <f>K633</f>
        <v>500</v>
      </c>
      <c r="L632" s="214">
        <f t="shared" si="65"/>
        <v>100</v>
      </c>
      <c r="M632" s="228"/>
      <c r="N632" s="235"/>
      <c r="O632" s="166">
        <f t="shared" si="74"/>
        <v>900</v>
      </c>
    </row>
    <row r="633" spans="1:15" ht="15" customHeight="1">
      <c r="A633" s="219" t="s">
        <v>574</v>
      </c>
      <c r="B633" s="218" t="s">
        <v>540</v>
      </c>
      <c r="C633" s="218" t="s">
        <v>378</v>
      </c>
      <c r="D633" s="218" t="s">
        <v>357</v>
      </c>
      <c r="E633" s="218" t="s">
        <v>576</v>
      </c>
      <c r="F633" s="218" t="s">
        <v>572</v>
      </c>
      <c r="G633" s="216"/>
      <c r="H633" s="217"/>
      <c r="I633" s="216"/>
      <c r="J633" s="215">
        <v>500</v>
      </c>
      <c r="K633" s="215">
        <v>500</v>
      </c>
      <c r="L633" s="214">
        <f t="shared" si="65"/>
        <v>100</v>
      </c>
      <c r="M633" s="228"/>
      <c r="N633" s="235"/>
      <c r="O633" s="166">
        <f t="shared" si="74"/>
        <v>900</v>
      </c>
    </row>
    <row r="634" spans="1:15" s="115" customFormat="1" ht="15" hidden="1">
      <c r="A634" s="220" t="s">
        <v>427</v>
      </c>
      <c r="B634" s="143" t="s">
        <v>540</v>
      </c>
      <c r="C634" s="143" t="s">
        <v>378</v>
      </c>
      <c r="D634" s="143" t="s">
        <v>386</v>
      </c>
      <c r="E634" s="143"/>
      <c r="F634" s="143"/>
      <c r="G634" s="128">
        <f aca="true" t="shared" si="75" ref="G634:K636">G635</f>
        <v>0</v>
      </c>
      <c r="H634" s="128">
        <f t="shared" si="75"/>
        <v>628.8</v>
      </c>
      <c r="I634" s="128">
        <f t="shared" si="75"/>
        <v>0</v>
      </c>
      <c r="J634" s="141">
        <f t="shared" si="75"/>
        <v>0</v>
      </c>
      <c r="K634" s="141">
        <f t="shared" si="75"/>
        <v>0</v>
      </c>
      <c r="L634" s="214" t="e">
        <f t="shared" si="65"/>
        <v>#DIV/0!</v>
      </c>
      <c r="M634" s="230">
        <f aca="true" t="shared" si="76" ref="M634:N636">M635</f>
        <v>0</v>
      </c>
      <c r="N634" s="229" t="e">
        <f t="shared" si="76"/>
        <v>#DIV/0!</v>
      </c>
      <c r="O634" s="166" t="e">
        <f t="shared" si="74"/>
        <v>#DIV/0!</v>
      </c>
    </row>
    <row r="635" spans="1:15" ht="30" hidden="1">
      <c r="A635" s="219" t="s">
        <v>494</v>
      </c>
      <c r="B635" s="218" t="s">
        <v>540</v>
      </c>
      <c r="C635" s="218" t="s">
        <v>378</v>
      </c>
      <c r="D635" s="218" t="s">
        <v>386</v>
      </c>
      <c r="E635" s="218" t="s">
        <v>493</v>
      </c>
      <c r="F635" s="218"/>
      <c r="G635" s="216">
        <f t="shared" si="75"/>
        <v>0</v>
      </c>
      <c r="H635" s="216">
        <f t="shared" si="75"/>
        <v>628.8</v>
      </c>
      <c r="I635" s="216">
        <f t="shared" si="75"/>
        <v>0</v>
      </c>
      <c r="J635" s="215">
        <f t="shared" si="75"/>
        <v>0</v>
      </c>
      <c r="K635" s="215">
        <f t="shared" si="75"/>
        <v>0</v>
      </c>
      <c r="L635" s="214" t="e">
        <f t="shared" si="65"/>
        <v>#DIV/0!</v>
      </c>
      <c r="M635" s="228">
        <f t="shared" si="76"/>
        <v>0</v>
      </c>
      <c r="N635" s="227" t="e">
        <f t="shared" si="76"/>
        <v>#DIV/0!</v>
      </c>
      <c r="O635" s="166" t="e">
        <f t="shared" si="74"/>
        <v>#DIV/0!</v>
      </c>
    </row>
    <row r="636" spans="1:15" ht="45" hidden="1">
      <c r="A636" s="219" t="s">
        <v>496</v>
      </c>
      <c r="B636" s="218" t="s">
        <v>540</v>
      </c>
      <c r="C636" s="218" t="s">
        <v>378</v>
      </c>
      <c r="D636" s="218" t="s">
        <v>386</v>
      </c>
      <c r="E636" s="218" t="s">
        <v>489</v>
      </c>
      <c r="F636" s="218"/>
      <c r="G636" s="216">
        <f t="shared" si="75"/>
        <v>0</v>
      </c>
      <c r="H636" s="216">
        <f t="shared" si="75"/>
        <v>628.8</v>
      </c>
      <c r="I636" s="216">
        <f t="shared" si="75"/>
        <v>0</v>
      </c>
      <c r="J636" s="215">
        <f t="shared" si="75"/>
        <v>0</v>
      </c>
      <c r="K636" s="215">
        <f t="shared" si="75"/>
        <v>0</v>
      </c>
      <c r="L636" s="214" t="e">
        <f t="shared" si="65"/>
        <v>#DIV/0!</v>
      </c>
      <c r="M636" s="228">
        <f t="shared" si="76"/>
        <v>0</v>
      </c>
      <c r="N636" s="227" t="e">
        <f t="shared" si="76"/>
        <v>#DIV/0!</v>
      </c>
      <c r="O636" s="166" t="e">
        <f t="shared" si="74"/>
        <v>#DIV/0!</v>
      </c>
    </row>
    <row r="637" spans="1:15" ht="30" hidden="1">
      <c r="A637" s="226" t="s">
        <v>491</v>
      </c>
      <c r="B637" s="218" t="s">
        <v>540</v>
      </c>
      <c r="C637" s="218" t="s">
        <v>378</v>
      </c>
      <c r="D637" s="218" t="s">
        <v>386</v>
      </c>
      <c r="E637" s="218" t="s">
        <v>489</v>
      </c>
      <c r="F637" s="218" t="s">
        <v>488</v>
      </c>
      <c r="G637" s="216"/>
      <c r="H637" s="217">
        <v>628.8</v>
      </c>
      <c r="I637" s="216"/>
      <c r="J637" s="215"/>
      <c r="K637" s="215"/>
      <c r="L637" s="214" t="e">
        <f t="shared" si="65"/>
        <v>#DIV/0!</v>
      </c>
      <c r="M637" s="228"/>
      <c r="N637" s="235" t="e">
        <f>L637+M637</f>
        <v>#DIV/0!</v>
      </c>
      <c r="O637" s="166" t="e">
        <f t="shared" si="74"/>
        <v>#DIV/0!</v>
      </c>
    </row>
    <row r="638" spans="1:15" s="237" customFormat="1" ht="15">
      <c r="A638" s="242" t="s">
        <v>417</v>
      </c>
      <c r="B638" s="222" t="s">
        <v>540</v>
      </c>
      <c r="C638" s="222" t="s">
        <v>420</v>
      </c>
      <c r="D638" s="222"/>
      <c r="E638" s="222"/>
      <c r="F638" s="222"/>
      <c r="G638" s="241">
        <f>G642</f>
        <v>-7703.900000000001</v>
      </c>
      <c r="H638" s="241">
        <f>H642</f>
        <v>110</v>
      </c>
      <c r="I638" s="241">
        <f>I642</f>
        <v>0</v>
      </c>
      <c r="J638" s="240">
        <f>J642+J639</f>
        <v>5148.935</v>
      </c>
      <c r="K638" s="240">
        <f>K642+K639</f>
        <v>4660.95456</v>
      </c>
      <c r="L638" s="172">
        <f t="shared" si="65"/>
        <v>90.5226917799506</v>
      </c>
      <c r="M638" s="285">
        <f>M642+M639</f>
        <v>90</v>
      </c>
      <c r="N638" s="284" t="e">
        <f>N642+N639</f>
        <v>#DIV/0!</v>
      </c>
      <c r="O638" s="166">
        <f t="shared" si="74"/>
        <v>9719.36686822005</v>
      </c>
    </row>
    <row r="639" spans="1:15" s="115" customFormat="1" ht="29.25" hidden="1">
      <c r="A639" s="220" t="s">
        <v>421</v>
      </c>
      <c r="B639" s="143" t="s">
        <v>540</v>
      </c>
      <c r="C639" s="143" t="s">
        <v>420</v>
      </c>
      <c r="D639" s="143" t="s">
        <v>358</v>
      </c>
      <c r="E639" s="143"/>
      <c r="F639" s="143"/>
      <c r="G639" s="128"/>
      <c r="H639" s="128"/>
      <c r="I639" s="128"/>
      <c r="J639" s="141">
        <f>J640</f>
        <v>0</v>
      </c>
      <c r="K639" s="141">
        <f>K640</f>
        <v>0</v>
      </c>
      <c r="L639" s="214" t="e">
        <f t="shared" si="65"/>
        <v>#DIV/0!</v>
      </c>
      <c r="M639" s="283"/>
      <c r="N639" s="283"/>
      <c r="O639" s="166" t="e">
        <f t="shared" si="74"/>
        <v>#DIV/0!</v>
      </c>
    </row>
    <row r="640" spans="1:15" ht="60" hidden="1">
      <c r="A640" s="226" t="s">
        <v>575</v>
      </c>
      <c r="B640" s="218" t="s">
        <v>540</v>
      </c>
      <c r="C640" s="218" t="s">
        <v>420</v>
      </c>
      <c r="D640" s="218" t="s">
        <v>358</v>
      </c>
      <c r="E640" s="218" t="s">
        <v>573</v>
      </c>
      <c r="F640" s="218"/>
      <c r="G640" s="216"/>
      <c r="H640" s="216"/>
      <c r="I640" s="216"/>
      <c r="J640" s="215">
        <f>J641</f>
        <v>0</v>
      </c>
      <c r="K640" s="215">
        <f>K641</f>
        <v>0</v>
      </c>
      <c r="L640" s="214" t="e">
        <f t="shared" si="65"/>
        <v>#DIV/0!</v>
      </c>
      <c r="M640" s="282"/>
      <c r="N640" s="282"/>
      <c r="O640" s="166" t="e">
        <f t="shared" si="74"/>
        <v>#DIV/0!</v>
      </c>
    </row>
    <row r="641" spans="1:15" ht="15" hidden="1">
      <c r="A641" s="226" t="s">
        <v>574</v>
      </c>
      <c r="B641" s="218" t="s">
        <v>540</v>
      </c>
      <c r="C641" s="218" t="s">
        <v>420</v>
      </c>
      <c r="D641" s="218" t="s">
        <v>358</v>
      </c>
      <c r="E641" s="218" t="s">
        <v>573</v>
      </c>
      <c r="F641" s="218" t="s">
        <v>572</v>
      </c>
      <c r="G641" s="216"/>
      <c r="H641" s="216"/>
      <c r="I641" s="216"/>
      <c r="J641" s="215">
        <v>0</v>
      </c>
      <c r="K641" s="215"/>
      <c r="L641" s="214" t="e">
        <f t="shared" si="65"/>
        <v>#DIV/0!</v>
      </c>
      <c r="M641" s="282"/>
      <c r="N641" s="282"/>
      <c r="O641" s="166" t="e">
        <f t="shared" si="74"/>
        <v>#DIV/0!</v>
      </c>
    </row>
    <row r="642" spans="1:15" s="115" customFormat="1" ht="30">
      <c r="A642" s="219" t="s">
        <v>424</v>
      </c>
      <c r="B642" s="143" t="s">
        <v>540</v>
      </c>
      <c r="C642" s="143" t="s">
        <v>420</v>
      </c>
      <c r="D642" s="143" t="s">
        <v>360</v>
      </c>
      <c r="E642" s="143"/>
      <c r="F642" s="143"/>
      <c r="G642" s="128">
        <f>G643+G664+G649+G651</f>
        <v>-7703.900000000001</v>
      </c>
      <c r="H642" s="168">
        <f>H643+H664+H649+H651+H654</f>
        <v>110</v>
      </c>
      <c r="I642" s="168">
        <f>I643+I664+I649+I651+I654</f>
        <v>0</v>
      </c>
      <c r="J642" s="141">
        <f>J643+J664+J649+J651+J654+J656+J660+J658+J662</f>
        <v>5148.935</v>
      </c>
      <c r="K642" s="141">
        <f>K643+K664+K649+K651+K654+K656+K660+K658+K662</f>
        <v>4660.95456</v>
      </c>
      <c r="L642" s="172">
        <f t="shared" si="65"/>
        <v>90.5226917799506</v>
      </c>
      <c r="M642" s="253">
        <f>M643+M664+M649+M651+M654+M656+M660</f>
        <v>90</v>
      </c>
      <c r="N642" s="252" t="e">
        <f>N643+N664+N649+N651+N654+N656+N660</f>
        <v>#DIV/0!</v>
      </c>
      <c r="O642" s="166">
        <f t="shared" si="74"/>
        <v>9719.36686822005</v>
      </c>
    </row>
    <row r="643" spans="1:15" ht="15.75" customHeight="1" hidden="1">
      <c r="A643" s="281" t="s">
        <v>571</v>
      </c>
      <c r="B643" s="218" t="s">
        <v>540</v>
      </c>
      <c r="C643" s="218" t="s">
        <v>420</v>
      </c>
      <c r="D643" s="218" t="s">
        <v>360</v>
      </c>
      <c r="E643" s="218" t="s">
        <v>570</v>
      </c>
      <c r="F643" s="218"/>
      <c r="G643" s="216">
        <f>G644</f>
        <v>-8006.3</v>
      </c>
      <c r="H643" s="217">
        <f>H644+H647</f>
        <v>0</v>
      </c>
      <c r="I643" s="217">
        <f>I644+I647</f>
        <v>0</v>
      </c>
      <c r="J643" s="215">
        <f>J644+J647</f>
        <v>0</v>
      </c>
      <c r="K643" s="215">
        <f>K644+K647</f>
        <v>0</v>
      </c>
      <c r="L643" s="214" t="e">
        <f t="shared" si="65"/>
        <v>#DIV/0!</v>
      </c>
      <c r="M643" s="276">
        <f>M644+M647</f>
        <v>0</v>
      </c>
      <c r="N643" s="235" t="e">
        <f>N644+N647</f>
        <v>#DIV/0!</v>
      </c>
      <c r="O643" s="166" t="e">
        <f t="shared" si="74"/>
        <v>#DIV/0!</v>
      </c>
    </row>
    <row r="644" spans="1:15" ht="45.75" customHeight="1" hidden="1">
      <c r="A644" s="226" t="s">
        <v>569</v>
      </c>
      <c r="B644" s="218" t="s">
        <v>540</v>
      </c>
      <c r="C644" s="218" t="s">
        <v>420</v>
      </c>
      <c r="D644" s="218" t="s">
        <v>360</v>
      </c>
      <c r="E644" s="218" t="s">
        <v>559</v>
      </c>
      <c r="F644" s="218"/>
      <c r="G644" s="216">
        <f>G645+G646</f>
        <v>-8006.3</v>
      </c>
      <c r="H644" s="216">
        <f>H645+H646</f>
        <v>0</v>
      </c>
      <c r="I644" s="216">
        <f>I645+I646</f>
        <v>0</v>
      </c>
      <c r="J644" s="215">
        <f>J645+J646</f>
        <v>0</v>
      </c>
      <c r="K644" s="215">
        <f>K645+K646</f>
        <v>0</v>
      </c>
      <c r="L644" s="214" t="e">
        <f t="shared" si="65"/>
        <v>#DIV/0!</v>
      </c>
      <c r="M644" s="228">
        <f>M645+M646</f>
        <v>0</v>
      </c>
      <c r="N644" s="227" t="e">
        <f>N645+N646</f>
        <v>#DIV/0!</v>
      </c>
      <c r="O644" s="166" t="e">
        <f t="shared" si="74"/>
        <v>#DIV/0!</v>
      </c>
    </row>
    <row r="645" spans="1:15" ht="60.75" customHeight="1" hidden="1">
      <c r="A645" s="226" t="s">
        <v>568</v>
      </c>
      <c r="B645" s="218" t="s">
        <v>540</v>
      </c>
      <c r="C645" s="218" t="s">
        <v>420</v>
      </c>
      <c r="D645" s="218" t="s">
        <v>360</v>
      </c>
      <c r="E645" s="218" t="s">
        <v>559</v>
      </c>
      <c r="F645" s="218" t="s">
        <v>567</v>
      </c>
      <c r="G645" s="216">
        <f>218.7-7525</f>
        <v>-7306.3</v>
      </c>
      <c r="H645" s="217"/>
      <c r="I645" s="216"/>
      <c r="J645" s="215">
        <f>H645+I645</f>
        <v>0</v>
      </c>
      <c r="K645" s="215"/>
      <c r="L645" s="214" t="e">
        <f t="shared" si="65"/>
        <v>#DIV/0!</v>
      </c>
      <c r="M645" s="228"/>
      <c r="N645" s="235" t="e">
        <f>L645+M645</f>
        <v>#DIV/0!</v>
      </c>
      <c r="O645" s="166" t="e">
        <f t="shared" si="74"/>
        <v>#DIV/0!</v>
      </c>
    </row>
    <row r="646" spans="1:15" ht="29.25" customHeight="1" hidden="1">
      <c r="A646" s="226" t="s">
        <v>491</v>
      </c>
      <c r="B646" s="218" t="s">
        <v>540</v>
      </c>
      <c r="C646" s="218" t="s">
        <v>420</v>
      </c>
      <c r="D646" s="218" t="s">
        <v>360</v>
      </c>
      <c r="E646" s="218" t="s">
        <v>559</v>
      </c>
      <c r="F646" s="218" t="s">
        <v>488</v>
      </c>
      <c r="G646" s="216">
        <v>-700</v>
      </c>
      <c r="H646" s="217"/>
      <c r="I646" s="216"/>
      <c r="J646" s="215">
        <f>H646+I646</f>
        <v>0</v>
      </c>
      <c r="K646" s="215"/>
      <c r="L646" s="214" t="e">
        <f t="shared" si="65"/>
        <v>#DIV/0!</v>
      </c>
      <c r="M646" s="228"/>
      <c r="N646" s="235" t="e">
        <f>L646+M646</f>
        <v>#DIV/0!</v>
      </c>
      <c r="O646" s="166" t="e">
        <f t="shared" si="74"/>
        <v>#DIV/0!</v>
      </c>
    </row>
    <row r="647" spans="1:15" ht="35.25" customHeight="1" hidden="1">
      <c r="A647" s="226" t="s">
        <v>566</v>
      </c>
      <c r="B647" s="218" t="s">
        <v>540</v>
      </c>
      <c r="C647" s="218" t="s">
        <v>420</v>
      </c>
      <c r="D647" s="218" t="s">
        <v>360</v>
      </c>
      <c r="E647" s="218" t="s">
        <v>565</v>
      </c>
      <c r="F647" s="218"/>
      <c r="G647" s="216"/>
      <c r="H647" s="217">
        <f>H648</f>
        <v>0</v>
      </c>
      <c r="I647" s="217">
        <f>I648</f>
        <v>0</v>
      </c>
      <c r="J647" s="215">
        <f>J648</f>
        <v>0</v>
      </c>
      <c r="K647" s="215">
        <f>K648</f>
        <v>0</v>
      </c>
      <c r="L647" s="214" t="e">
        <f t="shared" si="65"/>
        <v>#DIV/0!</v>
      </c>
      <c r="M647" s="276">
        <f>M648</f>
        <v>0</v>
      </c>
      <c r="N647" s="235" t="e">
        <f>N648</f>
        <v>#DIV/0!</v>
      </c>
      <c r="O647" s="166" t="e">
        <f t="shared" si="74"/>
        <v>#DIV/0!</v>
      </c>
    </row>
    <row r="648" spans="1:15" ht="30" customHeight="1" hidden="1">
      <c r="A648" s="226" t="s">
        <v>491</v>
      </c>
      <c r="B648" s="218" t="s">
        <v>540</v>
      </c>
      <c r="C648" s="218" t="s">
        <v>420</v>
      </c>
      <c r="D648" s="218" t="s">
        <v>360</v>
      </c>
      <c r="E648" s="218" t="s">
        <v>565</v>
      </c>
      <c r="F648" s="218" t="s">
        <v>488</v>
      </c>
      <c r="G648" s="216"/>
      <c r="H648" s="217"/>
      <c r="I648" s="216"/>
      <c r="J648" s="215">
        <f>H648+I648</f>
        <v>0</v>
      </c>
      <c r="K648" s="215"/>
      <c r="L648" s="214" t="e">
        <f t="shared" si="65"/>
        <v>#DIV/0!</v>
      </c>
      <c r="M648" s="228"/>
      <c r="N648" s="235" t="e">
        <f>L648+M648</f>
        <v>#DIV/0!</v>
      </c>
      <c r="O648" s="166" t="e">
        <f t="shared" si="74"/>
        <v>#DIV/0!</v>
      </c>
    </row>
    <row r="649" spans="1:15" ht="30.75" customHeight="1" hidden="1">
      <c r="A649" s="106" t="s">
        <v>564</v>
      </c>
      <c r="B649" s="218" t="s">
        <v>540</v>
      </c>
      <c r="C649" s="218" t="s">
        <v>420</v>
      </c>
      <c r="D649" s="218" t="s">
        <v>360</v>
      </c>
      <c r="E649" s="218" t="s">
        <v>563</v>
      </c>
      <c r="F649" s="218"/>
      <c r="G649" s="216">
        <f>G650</f>
        <v>302.4</v>
      </c>
      <c r="H649" s="217">
        <f>H650</f>
        <v>0</v>
      </c>
      <c r="I649" s="216">
        <f>I650</f>
        <v>0</v>
      </c>
      <c r="J649" s="215">
        <f>H649+I649</f>
        <v>0</v>
      </c>
      <c r="K649" s="215">
        <f>K650</f>
        <v>0</v>
      </c>
      <c r="L649" s="214" t="e">
        <f t="shared" si="65"/>
        <v>#DIV/0!</v>
      </c>
      <c r="M649" s="228">
        <f>M650</f>
        <v>0</v>
      </c>
      <c r="N649" s="235" t="e">
        <f>L649+M649</f>
        <v>#DIV/0!</v>
      </c>
      <c r="O649" s="166" t="e">
        <f t="shared" si="74"/>
        <v>#DIV/0!</v>
      </c>
    </row>
    <row r="650" spans="1:15" ht="15.75" customHeight="1" hidden="1">
      <c r="A650" s="219" t="s">
        <v>547</v>
      </c>
      <c r="B650" s="218" t="s">
        <v>540</v>
      </c>
      <c r="C650" s="218" t="s">
        <v>420</v>
      </c>
      <c r="D650" s="218" t="s">
        <v>360</v>
      </c>
      <c r="E650" s="218" t="s">
        <v>563</v>
      </c>
      <c r="F650" s="218" t="s">
        <v>545</v>
      </c>
      <c r="G650" s="216">
        <v>302.4</v>
      </c>
      <c r="H650" s="217"/>
      <c r="I650" s="216"/>
      <c r="J650" s="215">
        <f>H650+I650</f>
        <v>0</v>
      </c>
      <c r="K650" s="215"/>
      <c r="L650" s="214" t="e">
        <f t="shared" si="65"/>
        <v>#DIV/0!</v>
      </c>
      <c r="M650" s="228"/>
      <c r="N650" s="235" t="e">
        <f>L650+M650</f>
        <v>#DIV/0!</v>
      </c>
      <c r="O650" s="166" t="e">
        <f t="shared" si="74"/>
        <v>#DIV/0!</v>
      </c>
    </row>
    <row r="651" spans="1:15" ht="32.25" customHeight="1" hidden="1">
      <c r="A651" s="219" t="s">
        <v>525</v>
      </c>
      <c r="B651" s="218" t="s">
        <v>540</v>
      </c>
      <c r="C651" s="218" t="s">
        <v>420</v>
      </c>
      <c r="D651" s="218" t="s">
        <v>360</v>
      </c>
      <c r="E651" s="218" t="s">
        <v>524</v>
      </c>
      <c r="F651" s="218"/>
      <c r="G651" s="216">
        <f aca="true" t="shared" si="77" ref="G651:K652">G652</f>
        <v>0</v>
      </c>
      <c r="H651" s="216">
        <f t="shared" si="77"/>
        <v>110</v>
      </c>
      <c r="I651" s="216">
        <f t="shared" si="77"/>
        <v>0</v>
      </c>
      <c r="J651" s="215">
        <f t="shared" si="77"/>
        <v>0</v>
      </c>
      <c r="K651" s="215">
        <f t="shared" si="77"/>
        <v>0</v>
      </c>
      <c r="L651" s="214" t="e">
        <f t="shared" si="65"/>
        <v>#DIV/0!</v>
      </c>
      <c r="M651" s="228">
        <f>M652</f>
        <v>0</v>
      </c>
      <c r="N651" s="227" t="e">
        <f>N652</f>
        <v>#DIV/0!</v>
      </c>
      <c r="O651" s="166" t="e">
        <f t="shared" si="74"/>
        <v>#DIV/0!</v>
      </c>
    </row>
    <row r="652" spans="1:15" ht="57" customHeight="1" hidden="1">
      <c r="A652" s="219" t="s">
        <v>562</v>
      </c>
      <c r="B652" s="218" t="s">
        <v>540</v>
      </c>
      <c r="C652" s="218" t="s">
        <v>420</v>
      </c>
      <c r="D652" s="218" t="s">
        <v>360</v>
      </c>
      <c r="E652" s="218" t="s">
        <v>522</v>
      </c>
      <c r="F652" s="218"/>
      <c r="G652" s="216">
        <f t="shared" si="77"/>
        <v>0</v>
      </c>
      <c r="H652" s="216">
        <f t="shared" si="77"/>
        <v>110</v>
      </c>
      <c r="I652" s="216">
        <f t="shared" si="77"/>
        <v>0</v>
      </c>
      <c r="J652" s="215">
        <f t="shared" si="77"/>
        <v>0</v>
      </c>
      <c r="K652" s="215">
        <f t="shared" si="77"/>
        <v>0</v>
      </c>
      <c r="L652" s="214" t="e">
        <f aca="true" t="shared" si="78" ref="L652:L715">K652/J652*100</f>
        <v>#DIV/0!</v>
      </c>
      <c r="M652" s="228">
        <f>M653</f>
        <v>0</v>
      </c>
      <c r="N652" s="227" t="e">
        <f>N653</f>
        <v>#DIV/0!</v>
      </c>
      <c r="O652" s="166" t="e">
        <f t="shared" si="74"/>
        <v>#DIV/0!</v>
      </c>
    </row>
    <row r="653" spans="1:15" ht="30.75" customHeight="1" hidden="1" thickBot="1">
      <c r="A653" s="280" t="s">
        <v>491</v>
      </c>
      <c r="B653" s="279" t="s">
        <v>540</v>
      </c>
      <c r="C653" s="279" t="s">
        <v>420</v>
      </c>
      <c r="D653" s="279" t="s">
        <v>360</v>
      </c>
      <c r="E653" s="279" t="s">
        <v>522</v>
      </c>
      <c r="F653" s="279" t="s">
        <v>488</v>
      </c>
      <c r="G653" s="277"/>
      <c r="H653" s="278">
        <v>110</v>
      </c>
      <c r="I653" s="277"/>
      <c r="J653" s="275"/>
      <c r="K653" s="275"/>
      <c r="L653" s="214" t="e">
        <f t="shared" si="78"/>
        <v>#DIV/0!</v>
      </c>
      <c r="M653" s="228"/>
      <c r="N653" s="235" t="e">
        <f>L653+M653</f>
        <v>#DIV/0!</v>
      </c>
      <c r="O653" s="166" t="e">
        <f t="shared" si="74"/>
        <v>#DIV/0!</v>
      </c>
    </row>
    <row r="654" spans="1:15" ht="48" customHeight="1" hidden="1">
      <c r="A654" s="226" t="s">
        <v>561</v>
      </c>
      <c r="B654" s="218" t="s">
        <v>540</v>
      </c>
      <c r="C654" s="218" t="s">
        <v>420</v>
      </c>
      <c r="D654" s="218" t="s">
        <v>360</v>
      </c>
      <c r="E654" s="218" t="s">
        <v>551</v>
      </c>
      <c r="F654" s="218"/>
      <c r="G654" s="216"/>
      <c r="H654" s="217">
        <f>H655</f>
        <v>0</v>
      </c>
      <c r="I654" s="217">
        <f>I655</f>
        <v>0</v>
      </c>
      <c r="J654" s="215">
        <f>J655</f>
        <v>0</v>
      </c>
      <c r="K654" s="215">
        <f>K655</f>
        <v>0</v>
      </c>
      <c r="L654" s="214" t="e">
        <f t="shared" si="78"/>
        <v>#DIV/0!</v>
      </c>
      <c r="M654" s="276">
        <f>M655</f>
        <v>0</v>
      </c>
      <c r="N654" s="235" t="e">
        <f>N655</f>
        <v>#DIV/0!</v>
      </c>
      <c r="O654" s="166" t="e">
        <f t="shared" si="74"/>
        <v>#DIV/0!</v>
      </c>
    </row>
    <row r="655" spans="1:15" ht="30.75" customHeight="1" hidden="1">
      <c r="A655" s="226" t="s">
        <v>491</v>
      </c>
      <c r="B655" s="218" t="s">
        <v>540</v>
      </c>
      <c r="C655" s="218" t="s">
        <v>420</v>
      </c>
      <c r="D655" s="218" t="s">
        <v>360</v>
      </c>
      <c r="E655" s="218" t="s">
        <v>551</v>
      </c>
      <c r="F655" s="218" t="s">
        <v>488</v>
      </c>
      <c r="G655" s="216"/>
      <c r="H655" s="217"/>
      <c r="I655" s="216"/>
      <c r="J655" s="215">
        <f>H655+I655</f>
        <v>0</v>
      </c>
      <c r="K655" s="215"/>
      <c r="L655" s="214" t="e">
        <f t="shared" si="78"/>
        <v>#DIV/0!</v>
      </c>
      <c r="M655" s="228"/>
      <c r="N655" s="235" t="e">
        <f>L655+M655</f>
        <v>#DIV/0!</v>
      </c>
      <c r="O655" s="166" t="e">
        <f t="shared" si="74"/>
        <v>#DIV/0!</v>
      </c>
    </row>
    <row r="656" spans="1:15" ht="30.75" customHeight="1">
      <c r="A656" s="226" t="s">
        <v>560</v>
      </c>
      <c r="B656" s="218" t="s">
        <v>540</v>
      </c>
      <c r="C656" s="218" t="s">
        <v>420</v>
      </c>
      <c r="D656" s="218" t="s">
        <v>360</v>
      </c>
      <c r="E656" s="218" t="s">
        <v>559</v>
      </c>
      <c r="F656" s="218"/>
      <c r="G656" s="216"/>
      <c r="H656" s="217"/>
      <c r="I656" s="216"/>
      <c r="J656" s="215">
        <f>J657</f>
        <v>2717.588</v>
      </c>
      <c r="K656" s="215">
        <f>K657</f>
        <v>2717.588</v>
      </c>
      <c r="L656" s="214">
        <f t="shared" si="78"/>
        <v>100</v>
      </c>
      <c r="M656" s="228"/>
      <c r="N656" s="235"/>
      <c r="O656" s="166">
        <f t="shared" si="74"/>
        <v>5335.176</v>
      </c>
    </row>
    <row r="657" spans="1:15" ht="43.5" customHeight="1">
      <c r="A657" s="226" t="s">
        <v>555</v>
      </c>
      <c r="B657" s="218" t="s">
        <v>540</v>
      </c>
      <c r="C657" s="218" t="s">
        <v>420</v>
      </c>
      <c r="D657" s="218" t="s">
        <v>360</v>
      </c>
      <c r="E657" s="218" t="s">
        <v>559</v>
      </c>
      <c r="F657" s="218" t="s">
        <v>553</v>
      </c>
      <c r="G657" s="216"/>
      <c r="H657" s="217"/>
      <c r="I657" s="216"/>
      <c r="J657" s="215">
        <v>2717.588</v>
      </c>
      <c r="K657" s="215">
        <v>2717.588</v>
      </c>
      <c r="L657" s="214">
        <f t="shared" si="78"/>
        <v>100</v>
      </c>
      <c r="M657" s="228"/>
      <c r="N657" s="235"/>
      <c r="O657" s="166">
        <f t="shared" si="74"/>
        <v>5335.176</v>
      </c>
    </row>
    <row r="658" spans="1:15" ht="45">
      <c r="A658" s="226" t="s">
        <v>558</v>
      </c>
      <c r="B658" s="218" t="s">
        <v>540</v>
      </c>
      <c r="C658" s="218" t="s">
        <v>420</v>
      </c>
      <c r="D658" s="218" t="s">
        <v>360</v>
      </c>
      <c r="E658" s="218" t="s">
        <v>557</v>
      </c>
      <c r="F658" s="218"/>
      <c r="G658" s="216"/>
      <c r="H658" s="217"/>
      <c r="I658" s="216"/>
      <c r="J658" s="215">
        <f>J659</f>
        <v>472.469</v>
      </c>
      <c r="K658" s="215">
        <f>K659</f>
        <v>472.469</v>
      </c>
      <c r="L658" s="214">
        <f t="shared" si="78"/>
        <v>100</v>
      </c>
      <c r="M658" s="228"/>
      <c r="N658" s="235"/>
      <c r="O658" s="166">
        <f t="shared" si="74"/>
        <v>844.938</v>
      </c>
    </row>
    <row r="659" spans="1:15" ht="15">
      <c r="A659" s="219" t="s">
        <v>547</v>
      </c>
      <c r="B659" s="218" t="s">
        <v>540</v>
      </c>
      <c r="C659" s="218" t="s">
        <v>420</v>
      </c>
      <c r="D659" s="218" t="s">
        <v>360</v>
      </c>
      <c r="E659" s="218" t="s">
        <v>557</v>
      </c>
      <c r="F659" s="218" t="s">
        <v>545</v>
      </c>
      <c r="G659" s="216"/>
      <c r="H659" s="217"/>
      <c r="I659" s="216"/>
      <c r="J659" s="215">
        <v>472.469</v>
      </c>
      <c r="K659" s="215">
        <v>472.469</v>
      </c>
      <c r="L659" s="214">
        <f t="shared" si="78"/>
        <v>100</v>
      </c>
      <c r="M659" s="228"/>
      <c r="N659" s="235"/>
      <c r="O659" s="166">
        <f t="shared" si="74"/>
        <v>844.938</v>
      </c>
    </row>
    <row r="660" spans="1:15" ht="54" customHeight="1">
      <c r="A660" s="226" t="s">
        <v>556</v>
      </c>
      <c r="B660" s="218" t="s">
        <v>540</v>
      </c>
      <c r="C660" s="218" t="s">
        <v>420</v>
      </c>
      <c r="D660" s="218" t="s">
        <v>360</v>
      </c>
      <c r="E660" s="218" t="s">
        <v>554</v>
      </c>
      <c r="F660" s="218"/>
      <c r="G660" s="216"/>
      <c r="H660" s="217"/>
      <c r="I660" s="216"/>
      <c r="J660" s="215">
        <f>J661</f>
        <v>884.374</v>
      </c>
      <c r="K660" s="215">
        <f>K661</f>
        <v>884.374</v>
      </c>
      <c r="L660" s="214">
        <f t="shared" si="78"/>
        <v>100</v>
      </c>
      <c r="M660" s="228"/>
      <c r="N660" s="235"/>
      <c r="O660" s="166">
        <f t="shared" si="74"/>
        <v>1668.748</v>
      </c>
    </row>
    <row r="661" spans="1:15" ht="60" customHeight="1">
      <c r="A661" s="226" t="s">
        <v>555</v>
      </c>
      <c r="B661" s="218" t="s">
        <v>540</v>
      </c>
      <c r="C661" s="218" t="s">
        <v>420</v>
      </c>
      <c r="D661" s="218" t="s">
        <v>360</v>
      </c>
      <c r="E661" s="218" t="s">
        <v>554</v>
      </c>
      <c r="F661" s="218" t="s">
        <v>553</v>
      </c>
      <c r="G661" s="216"/>
      <c r="H661" s="217"/>
      <c r="I661" s="216"/>
      <c r="J661" s="215">
        <v>884.374</v>
      </c>
      <c r="K661" s="215">
        <v>884.374</v>
      </c>
      <c r="L661" s="214">
        <f t="shared" si="78"/>
        <v>100</v>
      </c>
      <c r="M661" s="228"/>
      <c r="N661" s="235"/>
      <c r="O661" s="166">
        <f t="shared" si="74"/>
        <v>1668.748</v>
      </c>
    </row>
    <row r="662" spans="1:15" ht="45">
      <c r="A662" s="226" t="s">
        <v>552</v>
      </c>
      <c r="B662" s="218" t="s">
        <v>540</v>
      </c>
      <c r="C662" s="218" t="s">
        <v>420</v>
      </c>
      <c r="D662" s="218" t="s">
        <v>360</v>
      </c>
      <c r="E662" s="218" t="s">
        <v>551</v>
      </c>
      <c r="F662" s="218"/>
      <c r="G662" s="216"/>
      <c r="H662" s="217"/>
      <c r="I662" s="216"/>
      <c r="J662" s="215">
        <f>J663</f>
        <v>398.461</v>
      </c>
      <c r="K662" s="215">
        <f>K663</f>
        <v>383.881</v>
      </c>
      <c r="L662" s="214">
        <f t="shared" si="78"/>
        <v>96.34092169622622</v>
      </c>
      <c r="M662" s="228"/>
      <c r="N662" s="235"/>
      <c r="O662" s="166">
        <f aca="true" t="shared" si="79" ref="O662:O693">J662+K662-L662</f>
        <v>686.0010783037737</v>
      </c>
    </row>
    <row r="663" spans="1:15" ht="15">
      <c r="A663" s="219" t="s">
        <v>547</v>
      </c>
      <c r="B663" s="218" t="s">
        <v>540</v>
      </c>
      <c r="C663" s="218" t="s">
        <v>420</v>
      </c>
      <c r="D663" s="218" t="s">
        <v>360</v>
      </c>
      <c r="E663" s="218" t="s">
        <v>551</v>
      </c>
      <c r="F663" s="218" t="s">
        <v>545</v>
      </c>
      <c r="G663" s="216"/>
      <c r="H663" s="217"/>
      <c r="I663" s="216"/>
      <c r="J663" s="215">
        <v>398.461</v>
      </c>
      <c r="K663" s="215">
        <v>383.881</v>
      </c>
      <c r="L663" s="214">
        <f t="shared" si="78"/>
        <v>96.34092169622622</v>
      </c>
      <c r="M663" s="228"/>
      <c r="N663" s="235"/>
      <c r="O663" s="166">
        <f t="shared" si="79"/>
        <v>686.0010783037737</v>
      </c>
    </row>
    <row r="664" spans="1:15" ht="30.75" customHeight="1">
      <c r="A664" s="219" t="s">
        <v>525</v>
      </c>
      <c r="B664" s="218" t="s">
        <v>540</v>
      </c>
      <c r="C664" s="218" t="s">
        <v>420</v>
      </c>
      <c r="D664" s="218" t="s">
        <v>360</v>
      </c>
      <c r="E664" s="218" t="s">
        <v>524</v>
      </c>
      <c r="F664" s="218"/>
      <c r="G664" s="215">
        <f>G665</f>
        <v>0</v>
      </c>
      <c r="H664" s="215">
        <f>H665</f>
        <v>0</v>
      </c>
      <c r="I664" s="215">
        <f>I665</f>
        <v>0</v>
      </c>
      <c r="J664" s="215">
        <f>J665+J669</f>
        <v>676.043</v>
      </c>
      <c r="K664" s="215">
        <f>K665+K669</f>
        <v>202.64256</v>
      </c>
      <c r="L664" s="214">
        <f t="shared" si="78"/>
        <v>29.974803377891647</v>
      </c>
      <c r="M664" s="228">
        <f>M667</f>
        <v>90</v>
      </c>
      <c r="N664" s="227" t="e">
        <f>N667</f>
        <v>#DIV/0!</v>
      </c>
      <c r="O664" s="166">
        <f t="shared" si="79"/>
        <v>848.7107566221084</v>
      </c>
    </row>
    <row r="665" spans="1:15" ht="45">
      <c r="A665" s="219" t="s">
        <v>523</v>
      </c>
      <c r="B665" s="218" t="s">
        <v>540</v>
      </c>
      <c r="C665" s="218" t="s">
        <v>420</v>
      </c>
      <c r="D665" s="218" t="s">
        <v>360</v>
      </c>
      <c r="E665" s="218" t="s">
        <v>522</v>
      </c>
      <c r="F665" s="218"/>
      <c r="G665" s="216"/>
      <c r="H665" s="216"/>
      <c r="I665" s="216"/>
      <c r="J665" s="215">
        <f>J666</f>
        <v>212.363</v>
      </c>
      <c r="K665" s="215">
        <f>K666</f>
        <v>202.64256</v>
      </c>
      <c r="L665" s="214">
        <f t="shared" si="78"/>
        <v>95.42272429754712</v>
      </c>
      <c r="M665" s="228"/>
      <c r="N665" s="227"/>
      <c r="O665" s="166">
        <f t="shared" si="79"/>
        <v>319.5828357024529</v>
      </c>
    </row>
    <row r="666" spans="1:15" ht="30">
      <c r="A666" s="219" t="s">
        <v>491</v>
      </c>
      <c r="B666" s="218" t="s">
        <v>540</v>
      </c>
      <c r="C666" s="218" t="s">
        <v>420</v>
      </c>
      <c r="D666" s="218" t="s">
        <v>360</v>
      </c>
      <c r="E666" s="218" t="s">
        <v>522</v>
      </c>
      <c r="F666" s="218" t="s">
        <v>488</v>
      </c>
      <c r="G666" s="216"/>
      <c r="H666" s="216"/>
      <c r="I666" s="216"/>
      <c r="J666" s="215">
        <v>212.363</v>
      </c>
      <c r="K666" s="215">
        <v>202.64256</v>
      </c>
      <c r="L666" s="214">
        <f t="shared" si="78"/>
        <v>95.42272429754712</v>
      </c>
      <c r="M666" s="228"/>
      <c r="N666" s="227"/>
      <c r="O666" s="166">
        <f t="shared" si="79"/>
        <v>319.5828357024529</v>
      </c>
    </row>
    <row r="667" spans="1:15" ht="88.5" customHeight="1" hidden="1">
      <c r="A667" s="219" t="s">
        <v>550</v>
      </c>
      <c r="B667" s="218" t="s">
        <v>540</v>
      </c>
      <c r="C667" s="218" t="s">
        <v>420</v>
      </c>
      <c r="D667" s="218" t="s">
        <v>360</v>
      </c>
      <c r="E667" s="218" t="s">
        <v>549</v>
      </c>
      <c r="F667" s="218"/>
      <c r="G667" s="216">
        <f>G668</f>
        <v>0</v>
      </c>
      <c r="H667" s="216">
        <f>H668</f>
        <v>110</v>
      </c>
      <c r="I667" s="216">
        <f>I668</f>
        <v>0</v>
      </c>
      <c r="J667" s="215">
        <f>J668</f>
        <v>0</v>
      </c>
      <c r="K667" s="215">
        <f>K668</f>
        <v>0</v>
      </c>
      <c r="L667" s="214" t="e">
        <f t="shared" si="78"/>
        <v>#DIV/0!</v>
      </c>
      <c r="M667" s="228">
        <f>M668</f>
        <v>90</v>
      </c>
      <c r="N667" s="227" t="e">
        <f>N668</f>
        <v>#DIV/0!</v>
      </c>
      <c r="O667" s="166" t="e">
        <f t="shared" si="79"/>
        <v>#DIV/0!</v>
      </c>
    </row>
    <row r="668" spans="1:15" ht="17.25" customHeight="1" hidden="1" thickBot="1">
      <c r="A668" s="219" t="s">
        <v>547</v>
      </c>
      <c r="B668" s="218" t="s">
        <v>540</v>
      </c>
      <c r="C668" s="218" t="s">
        <v>420</v>
      </c>
      <c r="D668" s="218" t="s">
        <v>360</v>
      </c>
      <c r="E668" s="218" t="s">
        <v>549</v>
      </c>
      <c r="F668" s="218" t="s">
        <v>545</v>
      </c>
      <c r="G668" s="216"/>
      <c r="H668" s="217">
        <v>110</v>
      </c>
      <c r="I668" s="216"/>
      <c r="J668" s="275"/>
      <c r="K668" s="215"/>
      <c r="L668" s="214" t="e">
        <f t="shared" si="78"/>
        <v>#DIV/0!</v>
      </c>
      <c r="M668" s="274">
        <v>90</v>
      </c>
      <c r="N668" s="224" t="e">
        <f>L668+M668</f>
        <v>#DIV/0!</v>
      </c>
      <c r="O668" s="166" t="e">
        <f t="shared" si="79"/>
        <v>#DIV/0!</v>
      </c>
    </row>
    <row r="669" spans="1:15" ht="29.25" customHeight="1" thickBot="1">
      <c r="A669" s="219" t="s">
        <v>548</v>
      </c>
      <c r="B669" s="218" t="s">
        <v>540</v>
      </c>
      <c r="C669" s="218" t="s">
        <v>420</v>
      </c>
      <c r="D669" s="218" t="s">
        <v>360</v>
      </c>
      <c r="E669" s="218" t="s">
        <v>546</v>
      </c>
      <c r="F669" s="218"/>
      <c r="G669" s="216"/>
      <c r="H669" s="217"/>
      <c r="I669" s="216"/>
      <c r="J669" s="215">
        <f>J670</f>
        <v>463.68</v>
      </c>
      <c r="K669" s="215">
        <f>K670</f>
        <v>0</v>
      </c>
      <c r="L669" s="214">
        <f t="shared" si="78"/>
        <v>0</v>
      </c>
      <c r="M669" s="270"/>
      <c r="N669" s="212"/>
      <c r="O669" s="166">
        <f t="shared" si="79"/>
        <v>463.68</v>
      </c>
    </row>
    <row r="670" spans="1:15" ht="17.25" customHeight="1" thickBot="1">
      <c r="A670" s="219" t="s">
        <v>547</v>
      </c>
      <c r="B670" s="218" t="s">
        <v>540</v>
      </c>
      <c r="C670" s="218" t="s">
        <v>420</v>
      </c>
      <c r="D670" s="218" t="s">
        <v>360</v>
      </c>
      <c r="E670" s="218" t="s">
        <v>546</v>
      </c>
      <c r="F670" s="218" t="s">
        <v>545</v>
      </c>
      <c r="G670" s="216"/>
      <c r="H670" s="217"/>
      <c r="I670" s="216"/>
      <c r="J670" s="215">
        <v>463.68</v>
      </c>
      <c r="K670" s="215"/>
      <c r="L670" s="214">
        <f t="shared" si="78"/>
        <v>0</v>
      </c>
      <c r="M670" s="270"/>
      <c r="N670" s="212"/>
      <c r="O670" s="166">
        <f t="shared" si="79"/>
        <v>463.68</v>
      </c>
    </row>
    <row r="671" spans="1:15" ht="17.25" customHeight="1" thickBot="1">
      <c r="A671" s="242" t="s">
        <v>429</v>
      </c>
      <c r="B671" s="273" t="s">
        <v>540</v>
      </c>
      <c r="C671" s="273" t="s">
        <v>391</v>
      </c>
      <c r="D671" s="273"/>
      <c r="E671" s="273"/>
      <c r="F671" s="273"/>
      <c r="G671" s="271"/>
      <c r="H671" s="272"/>
      <c r="I671" s="271"/>
      <c r="J671" s="221">
        <f aca="true" t="shared" si="80" ref="J671:K674">J672</f>
        <v>966.721</v>
      </c>
      <c r="K671" s="221">
        <f t="shared" si="80"/>
        <v>966.721</v>
      </c>
      <c r="L671" s="172">
        <f t="shared" si="78"/>
        <v>100</v>
      </c>
      <c r="M671" s="270"/>
      <c r="N671" s="212"/>
      <c r="O671" s="166">
        <f t="shared" si="79"/>
        <v>1833.442</v>
      </c>
    </row>
    <row r="672" spans="1:15" ht="30" customHeight="1" thickBot="1">
      <c r="A672" s="220" t="s">
        <v>408</v>
      </c>
      <c r="B672" s="143" t="s">
        <v>540</v>
      </c>
      <c r="C672" s="143" t="s">
        <v>391</v>
      </c>
      <c r="D672" s="143" t="s">
        <v>358</v>
      </c>
      <c r="E672" s="143"/>
      <c r="F672" s="143"/>
      <c r="G672" s="128">
        <f aca="true" t="shared" si="81" ref="G672:I674">G673</f>
        <v>0</v>
      </c>
      <c r="H672" s="128">
        <f t="shared" si="81"/>
        <v>666</v>
      </c>
      <c r="I672" s="128">
        <f t="shared" si="81"/>
        <v>0</v>
      </c>
      <c r="J672" s="141">
        <f t="shared" si="80"/>
        <v>966.721</v>
      </c>
      <c r="K672" s="141">
        <f t="shared" si="80"/>
        <v>966.721</v>
      </c>
      <c r="L672" s="172">
        <f t="shared" si="78"/>
        <v>100</v>
      </c>
      <c r="M672" s="270"/>
      <c r="N672" s="212"/>
      <c r="O672" s="166">
        <f t="shared" si="79"/>
        <v>1833.442</v>
      </c>
    </row>
    <row r="673" spans="1:15" ht="29.25" customHeight="1" thickBot="1">
      <c r="A673" s="219" t="s">
        <v>544</v>
      </c>
      <c r="B673" s="218" t="s">
        <v>540</v>
      </c>
      <c r="C673" s="218" t="s">
        <v>391</v>
      </c>
      <c r="D673" s="218" t="s">
        <v>358</v>
      </c>
      <c r="E673" s="218" t="s">
        <v>543</v>
      </c>
      <c r="F673" s="218"/>
      <c r="G673" s="216">
        <f t="shared" si="81"/>
        <v>0</v>
      </c>
      <c r="H673" s="216">
        <f t="shared" si="81"/>
        <v>666</v>
      </c>
      <c r="I673" s="216">
        <f t="shared" si="81"/>
        <v>0</v>
      </c>
      <c r="J673" s="215">
        <f t="shared" si="80"/>
        <v>966.721</v>
      </c>
      <c r="K673" s="215">
        <f t="shared" si="80"/>
        <v>966.721</v>
      </c>
      <c r="L673" s="214">
        <f t="shared" si="78"/>
        <v>100</v>
      </c>
      <c r="M673" s="270"/>
      <c r="N673" s="212"/>
      <c r="O673" s="166">
        <f t="shared" si="79"/>
        <v>1833.442</v>
      </c>
    </row>
    <row r="674" spans="1:15" ht="45" customHeight="1" thickBot="1">
      <c r="A674" s="226" t="s">
        <v>542</v>
      </c>
      <c r="B674" s="218" t="s">
        <v>540</v>
      </c>
      <c r="C674" s="218" t="s">
        <v>391</v>
      </c>
      <c r="D674" s="218" t="s">
        <v>358</v>
      </c>
      <c r="E674" s="218" t="s">
        <v>539</v>
      </c>
      <c r="F674" s="218"/>
      <c r="G674" s="216">
        <f t="shared" si="81"/>
        <v>0</v>
      </c>
      <c r="H674" s="216">
        <f t="shared" si="81"/>
        <v>666</v>
      </c>
      <c r="I674" s="216">
        <f t="shared" si="81"/>
        <v>0</v>
      </c>
      <c r="J674" s="215">
        <f t="shared" si="80"/>
        <v>966.721</v>
      </c>
      <c r="K674" s="215">
        <f t="shared" si="80"/>
        <v>966.721</v>
      </c>
      <c r="L674" s="214">
        <f t="shared" si="78"/>
        <v>100</v>
      </c>
      <c r="M674" s="270"/>
      <c r="N674" s="212"/>
      <c r="O674" s="166">
        <f t="shared" si="79"/>
        <v>1833.442</v>
      </c>
    </row>
    <row r="675" spans="1:15" ht="16.5" customHeight="1" thickBot="1">
      <c r="A675" s="219" t="s">
        <v>541</v>
      </c>
      <c r="B675" s="218" t="s">
        <v>540</v>
      </c>
      <c r="C675" s="218" t="s">
        <v>391</v>
      </c>
      <c r="D675" s="218" t="s">
        <v>358</v>
      </c>
      <c r="E675" s="218" t="s">
        <v>539</v>
      </c>
      <c r="F675" s="218" t="s">
        <v>538</v>
      </c>
      <c r="G675" s="216"/>
      <c r="H675" s="216">
        <v>666</v>
      </c>
      <c r="I675" s="216"/>
      <c r="J675" s="215">
        <v>966.721</v>
      </c>
      <c r="K675" s="215">
        <v>966.721</v>
      </c>
      <c r="L675" s="214">
        <f t="shared" si="78"/>
        <v>100</v>
      </c>
      <c r="M675" s="270"/>
      <c r="N675" s="212"/>
      <c r="O675" s="166">
        <f t="shared" si="79"/>
        <v>1833.442</v>
      </c>
    </row>
    <row r="676" spans="1:16" ht="30" thickBot="1">
      <c r="A676" s="269" t="s">
        <v>537</v>
      </c>
      <c r="B676" s="160" t="s">
        <v>490</v>
      </c>
      <c r="C676" s="160"/>
      <c r="D676" s="160"/>
      <c r="E676" s="160"/>
      <c r="F676" s="160"/>
      <c r="G676" s="164">
        <f>G677+G697</f>
        <v>166.57999999999998</v>
      </c>
      <c r="H676" s="164">
        <f>H677+H697+H723</f>
        <v>6376.0199999999995</v>
      </c>
      <c r="I676" s="164">
        <f>I677+I697+I723</f>
        <v>0</v>
      </c>
      <c r="J676" s="268">
        <f>J677+J697+J723+J686+J728+J682</f>
        <v>9202.79528</v>
      </c>
      <c r="K676" s="268">
        <f>K677+K697+K723+K686+K728+K682</f>
        <v>9202.79405</v>
      </c>
      <c r="L676" s="172">
        <f t="shared" si="78"/>
        <v>99.99998663449568</v>
      </c>
      <c r="M676" s="267">
        <f>M677+M697+M723+M686</f>
        <v>52.756</v>
      </c>
      <c r="N676" s="266" t="e">
        <f>N677+N697+N723+N686</f>
        <v>#DIV/0!</v>
      </c>
      <c r="O676" s="166">
        <f t="shared" si="79"/>
        <v>18305.589343365507</v>
      </c>
      <c r="P676" s="166"/>
    </row>
    <row r="677" spans="1:15" s="237" customFormat="1" ht="15">
      <c r="A677" s="242" t="s">
        <v>354</v>
      </c>
      <c r="B677" s="222" t="s">
        <v>490</v>
      </c>
      <c r="C677" s="222" t="s">
        <v>357</v>
      </c>
      <c r="D677" s="222"/>
      <c r="E677" s="222"/>
      <c r="F677" s="222"/>
      <c r="G677" s="241">
        <f aca="true" t="shared" si="82" ref="G677:K680">G678</f>
        <v>0</v>
      </c>
      <c r="H677" s="241">
        <f t="shared" si="82"/>
        <v>774.87</v>
      </c>
      <c r="I677" s="241">
        <f t="shared" si="82"/>
        <v>0</v>
      </c>
      <c r="J677" s="240">
        <f t="shared" si="82"/>
        <v>832.74</v>
      </c>
      <c r="K677" s="240">
        <f t="shared" si="82"/>
        <v>832.7396</v>
      </c>
      <c r="L677" s="172">
        <f t="shared" si="78"/>
        <v>99.99995196579965</v>
      </c>
      <c r="M677" s="265">
        <f aca="true" t="shared" si="83" ref="M677:N680">M678</f>
        <v>-78.244</v>
      </c>
      <c r="N677" s="264">
        <f t="shared" si="83"/>
        <v>21.755951965799653</v>
      </c>
      <c r="O677" s="166">
        <f t="shared" si="79"/>
        <v>1565.4796480342004</v>
      </c>
    </row>
    <row r="678" spans="1:15" s="115" customFormat="1" ht="75">
      <c r="A678" s="219" t="s">
        <v>536</v>
      </c>
      <c r="B678" s="143" t="s">
        <v>490</v>
      </c>
      <c r="C678" s="143" t="s">
        <v>357</v>
      </c>
      <c r="D678" s="143" t="s">
        <v>362</v>
      </c>
      <c r="E678" s="143"/>
      <c r="F678" s="143"/>
      <c r="G678" s="128">
        <f t="shared" si="82"/>
        <v>0</v>
      </c>
      <c r="H678" s="128">
        <f t="shared" si="82"/>
        <v>774.87</v>
      </c>
      <c r="I678" s="128">
        <f t="shared" si="82"/>
        <v>0</v>
      </c>
      <c r="J678" s="141">
        <f t="shared" si="82"/>
        <v>832.74</v>
      </c>
      <c r="K678" s="141">
        <f t="shared" si="82"/>
        <v>832.7396</v>
      </c>
      <c r="L678" s="172">
        <f t="shared" si="78"/>
        <v>99.99995196579965</v>
      </c>
      <c r="M678" s="230">
        <f t="shared" si="83"/>
        <v>-78.244</v>
      </c>
      <c r="N678" s="229">
        <f t="shared" si="83"/>
        <v>21.755951965799653</v>
      </c>
      <c r="O678" s="166">
        <f t="shared" si="79"/>
        <v>1565.4796480342004</v>
      </c>
    </row>
    <row r="679" spans="1:15" ht="30">
      <c r="A679" s="219" t="s">
        <v>535</v>
      </c>
      <c r="B679" s="218" t="s">
        <v>490</v>
      </c>
      <c r="C679" s="218" t="s">
        <v>357</v>
      </c>
      <c r="D679" s="218" t="s">
        <v>362</v>
      </c>
      <c r="E679" s="218" t="s">
        <v>534</v>
      </c>
      <c r="F679" s="218"/>
      <c r="G679" s="216">
        <f t="shared" si="82"/>
        <v>0</v>
      </c>
      <c r="H679" s="216">
        <f t="shared" si="82"/>
        <v>774.87</v>
      </c>
      <c r="I679" s="216">
        <f t="shared" si="82"/>
        <v>0</v>
      </c>
      <c r="J679" s="215">
        <f t="shared" si="82"/>
        <v>832.74</v>
      </c>
      <c r="K679" s="215">
        <f t="shared" si="82"/>
        <v>832.7396</v>
      </c>
      <c r="L679" s="214">
        <f t="shared" si="78"/>
        <v>99.99995196579965</v>
      </c>
      <c r="M679" s="228">
        <f t="shared" si="83"/>
        <v>-78.244</v>
      </c>
      <c r="N679" s="227">
        <f t="shared" si="83"/>
        <v>21.755951965799653</v>
      </c>
      <c r="O679" s="166">
        <f t="shared" si="79"/>
        <v>1565.4796480342004</v>
      </c>
    </row>
    <row r="680" spans="1:15" ht="15">
      <c r="A680" s="219" t="s">
        <v>533</v>
      </c>
      <c r="B680" s="218" t="s">
        <v>490</v>
      </c>
      <c r="C680" s="218" t="s">
        <v>357</v>
      </c>
      <c r="D680" s="218" t="s">
        <v>362</v>
      </c>
      <c r="E680" s="218" t="s">
        <v>532</v>
      </c>
      <c r="F680" s="218"/>
      <c r="G680" s="216">
        <f t="shared" si="82"/>
        <v>0</v>
      </c>
      <c r="H680" s="216">
        <f t="shared" si="82"/>
        <v>774.87</v>
      </c>
      <c r="I680" s="216">
        <f t="shared" si="82"/>
        <v>0</v>
      </c>
      <c r="J680" s="215">
        <f t="shared" si="82"/>
        <v>832.74</v>
      </c>
      <c r="K680" s="215">
        <f t="shared" si="82"/>
        <v>832.7396</v>
      </c>
      <c r="L680" s="214">
        <f t="shared" si="78"/>
        <v>99.99995196579965</v>
      </c>
      <c r="M680" s="228">
        <f t="shared" si="83"/>
        <v>-78.244</v>
      </c>
      <c r="N680" s="227">
        <f t="shared" si="83"/>
        <v>21.755951965799653</v>
      </c>
      <c r="O680" s="166">
        <f t="shared" si="79"/>
        <v>1565.4796480342004</v>
      </c>
    </row>
    <row r="681" spans="1:16" ht="30">
      <c r="A681" s="226" t="s">
        <v>491</v>
      </c>
      <c r="B681" s="218" t="s">
        <v>490</v>
      </c>
      <c r="C681" s="218" t="s">
        <v>357</v>
      </c>
      <c r="D681" s="218" t="s">
        <v>362</v>
      </c>
      <c r="E681" s="218" t="s">
        <v>532</v>
      </c>
      <c r="F681" s="218" t="s">
        <v>488</v>
      </c>
      <c r="G681" s="216"/>
      <c r="H681" s="250">
        <v>774.87</v>
      </c>
      <c r="I681" s="250"/>
      <c r="J681" s="215">
        <v>832.74</v>
      </c>
      <c r="K681" s="215">
        <v>832.7396</v>
      </c>
      <c r="L681" s="214">
        <f t="shared" si="78"/>
        <v>99.99995196579965</v>
      </c>
      <c r="M681" s="228">
        <f>-78.244</f>
        <v>-78.244</v>
      </c>
      <c r="N681" s="235">
        <f>L681+M681</f>
        <v>21.755951965799653</v>
      </c>
      <c r="O681" s="166">
        <f t="shared" si="79"/>
        <v>1565.4796480342004</v>
      </c>
      <c r="P681" s="166">
        <f>L681-O681</f>
        <v>-1465.4796960684007</v>
      </c>
    </row>
    <row r="682" spans="1:16" s="255" customFormat="1" ht="15">
      <c r="A682" s="263" t="s">
        <v>381</v>
      </c>
      <c r="B682" s="262" t="s">
        <v>490</v>
      </c>
      <c r="C682" s="262" t="s">
        <v>362</v>
      </c>
      <c r="D682" s="262"/>
      <c r="E682" s="262"/>
      <c r="F682" s="262"/>
      <c r="G682" s="261"/>
      <c r="H682" s="260"/>
      <c r="I682" s="260"/>
      <c r="J682" s="259">
        <f aca="true" t="shared" si="84" ref="J682:K684">J683</f>
        <v>51.97888</v>
      </c>
      <c r="K682" s="259">
        <f t="shared" si="84"/>
        <v>51.97888</v>
      </c>
      <c r="L682" s="172">
        <f t="shared" si="78"/>
        <v>100</v>
      </c>
      <c r="M682" s="258">
        <f>M683</f>
        <v>0</v>
      </c>
      <c r="N682" s="257">
        <f>N683</f>
        <v>0</v>
      </c>
      <c r="O682" s="166">
        <f t="shared" si="79"/>
        <v>3.9577599999999933</v>
      </c>
      <c r="P682" s="256"/>
    </row>
    <row r="683" spans="1:16" ht="15">
      <c r="A683" s="254" t="s">
        <v>383</v>
      </c>
      <c r="B683" s="143" t="s">
        <v>490</v>
      </c>
      <c r="C683" s="143" t="s">
        <v>362</v>
      </c>
      <c r="D683" s="143" t="s">
        <v>357</v>
      </c>
      <c r="E683" s="143"/>
      <c r="F683" s="143"/>
      <c r="G683" s="216"/>
      <c r="H683" s="250"/>
      <c r="I683" s="250"/>
      <c r="J683" s="141">
        <f t="shared" si="84"/>
        <v>51.97888</v>
      </c>
      <c r="K683" s="141">
        <f t="shared" si="84"/>
        <v>51.97888</v>
      </c>
      <c r="L683" s="172">
        <f t="shared" si="78"/>
        <v>100</v>
      </c>
      <c r="M683" s="253">
        <f>M684</f>
        <v>0</v>
      </c>
      <c r="N683" s="252">
        <f>N684</f>
        <v>0</v>
      </c>
      <c r="O683" s="166">
        <f t="shared" si="79"/>
        <v>3.9577599999999933</v>
      </c>
      <c r="P683" s="166"/>
    </row>
    <row r="684" spans="1:16" ht="30">
      <c r="A684" s="251" t="s">
        <v>531</v>
      </c>
      <c r="B684" s="218" t="s">
        <v>490</v>
      </c>
      <c r="C684" s="218" t="s">
        <v>362</v>
      </c>
      <c r="D684" s="218" t="s">
        <v>357</v>
      </c>
      <c r="E684" s="218" t="s">
        <v>530</v>
      </c>
      <c r="F684" s="218"/>
      <c r="G684" s="216"/>
      <c r="H684" s="250"/>
      <c r="I684" s="250"/>
      <c r="J684" s="215">
        <f t="shared" si="84"/>
        <v>51.97888</v>
      </c>
      <c r="K684" s="215">
        <f t="shared" si="84"/>
        <v>51.97888</v>
      </c>
      <c r="L684" s="214">
        <f t="shared" si="78"/>
        <v>100</v>
      </c>
      <c r="M684" s="228"/>
      <c r="N684" s="235"/>
      <c r="O684" s="166">
        <f t="shared" si="79"/>
        <v>3.9577599999999933</v>
      </c>
      <c r="P684" s="166"/>
    </row>
    <row r="685" spans="1:16" ht="30">
      <c r="A685" s="226" t="s">
        <v>491</v>
      </c>
      <c r="B685" s="218" t="s">
        <v>490</v>
      </c>
      <c r="C685" s="218" t="s">
        <v>362</v>
      </c>
      <c r="D685" s="218" t="s">
        <v>357</v>
      </c>
      <c r="E685" s="218" t="s">
        <v>530</v>
      </c>
      <c r="F685" s="218" t="s">
        <v>498</v>
      </c>
      <c r="G685" s="216"/>
      <c r="H685" s="250"/>
      <c r="I685" s="250"/>
      <c r="J685" s="215">
        <v>51.97888</v>
      </c>
      <c r="K685" s="215">
        <v>51.97888</v>
      </c>
      <c r="L685" s="214">
        <f t="shared" si="78"/>
        <v>100</v>
      </c>
      <c r="M685" s="228"/>
      <c r="N685" s="235"/>
      <c r="O685" s="166">
        <f t="shared" si="79"/>
        <v>3.9577599999999933</v>
      </c>
      <c r="P685" s="166"/>
    </row>
    <row r="686" spans="1:15" s="237" customFormat="1" ht="15">
      <c r="A686" s="249" t="s">
        <v>398</v>
      </c>
      <c r="B686" s="222" t="s">
        <v>490</v>
      </c>
      <c r="C686" s="222" t="s">
        <v>368</v>
      </c>
      <c r="D686" s="222"/>
      <c r="E686" s="222"/>
      <c r="F686" s="222"/>
      <c r="G686" s="241" t="e">
        <f>G708+G722+#REF!</f>
        <v>#REF!</v>
      </c>
      <c r="H686" s="248">
        <f>H708+H722+H687</f>
        <v>3071.02</v>
      </c>
      <c r="I686" s="248">
        <f>I708+I722+I687</f>
        <v>0</v>
      </c>
      <c r="J686" s="240">
        <f>J687</f>
        <v>257.6017</v>
      </c>
      <c r="K686" s="240">
        <f>K687</f>
        <v>257.6017</v>
      </c>
      <c r="L686" s="172">
        <f t="shared" si="78"/>
        <v>100</v>
      </c>
      <c r="M686" s="247">
        <f aca="true" t="shared" si="85" ref="M686:N688">M687</f>
        <v>50</v>
      </c>
      <c r="N686" s="246" t="e">
        <f t="shared" si="85"/>
        <v>#DIV/0!</v>
      </c>
      <c r="O686" s="166">
        <f t="shared" si="79"/>
        <v>415.2034</v>
      </c>
    </row>
    <row r="687" spans="1:15" s="115" customFormat="1" ht="29.25">
      <c r="A687" s="245" t="s">
        <v>403</v>
      </c>
      <c r="B687" s="143" t="s">
        <v>490</v>
      </c>
      <c r="C687" s="143" t="s">
        <v>368</v>
      </c>
      <c r="D687" s="143" t="s">
        <v>368</v>
      </c>
      <c r="E687" s="143"/>
      <c r="F687" s="143"/>
      <c r="G687" s="126">
        <f>G688+G692+G694+G690</f>
        <v>0</v>
      </c>
      <c r="H687" s="126">
        <f>H688+H692+H694+H690</f>
        <v>15.72</v>
      </c>
      <c r="I687" s="126">
        <f>I688+I692+I694+I690</f>
        <v>0</v>
      </c>
      <c r="J687" s="141">
        <f>J688+J692+J694+J690</f>
        <v>257.6017</v>
      </c>
      <c r="K687" s="141">
        <f>K688+K692+K694+K690</f>
        <v>257.6017</v>
      </c>
      <c r="L687" s="172">
        <f t="shared" si="78"/>
        <v>100</v>
      </c>
      <c r="M687" s="230">
        <f t="shared" si="85"/>
        <v>50</v>
      </c>
      <c r="N687" s="229" t="e">
        <f t="shared" si="85"/>
        <v>#DIV/0!</v>
      </c>
      <c r="O687" s="166">
        <f t="shared" si="79"/>
        <v>415.2034</v>
      </c>
    </row>
    <row r="688" spans="1:15" ht="30" hidden="1">
      <c r="A688" s="226" t="s">
        <v>529</v>
      </c>
      <c r="B688" s="218" t="s">
        <v>490</v>
      </c>
      <c r="C688" s="218" t="s">
        <v>368</v>
      </c>
      <c r="D688" s="218" t="s">
        <v>368</v>
      </c>
      <c r="E688" s="218" t="s">
        <v>527</v>
      </c>
      <c r="F688" s="218"/>
      <c r="G688" s="216">
        <f>G689</f>
        <v>0</v>
      </c>
      <c r="H688" s="216">
        <f>H689</f>
        <v>15.72</v>
      </c>
      <c r="I688" s="216">
        <f>I689</f>
        <v>0</v>
      </c>
      <c r="J688" s="215">
        <f>J689</f>
        <v>0</v>
      </c>
      <c r="K688" s="215">
        <f>K689</f>
        <v>0</v>
      </c>
      <c r="L688" s="214" t="e">
        <f t="shared" si="78"/>
        <v>#DIV/0!</v>
      </c>
      <c r="M688" s="228">
        <f t="shared" si="85"/>
        <v>50</v>
      </c>
      <c r="N688" s="227" t="e">
        <f t="shared" si="85"/>
        <v>#DIV/0!</v>
      </c>
      <c r="O688" s="166" t="e">
        <f t="shared" si="79"/>
        <v>#DIV/0!</v>
      </c>
    </row>
    <row r="689" spans="1:15" ht="30" hidden="1">
      <c r="A689" s="226" t="s">
        <v>491</v>
      </c>
      <c r="B689" s="218" t="s">
        <v>490</v>
      </c>
      <c r="C689" s="218" t="s">
        <v>368</v>
      </c>
      <c r="D689" s="218" t="s">
        <v>368</v>
      </c>
      <c r="E689" s="218" t="s">
        <v>527</v>
      </c>
      <c r="F689" s="218" t="s">
        <v>488</v>
      </c>
      <c r="G689" s="216"/>
      <c r="H689" s="216">
        <v>15.72</v>
      </c>
      <c r="I689" s="216"/>
      <c r="J689" s="215"/>
      <c r="K689" s="215"/>
      <c r="L689" s="214" t="e">
        <f t="shared" si="78"/>
        <v>#DIV/0!</v>
      </c>
      <c r="M689" s="228">
        <v>50</v>
      </c>
      <c r="N689" s="235" t="e">
        <f>L689+M689</f>
        <v>#DIV/0!</v>
      </c>
      <c r="O689" s="166" t="e">
        <f t="shared" si="79"/>
        <v>#DIV/0!</v>
      </c>
    </row>
    <row r="690" spans="1:15" ht="30">
      <c r="A690" s="244" t="s">
        <v>528</v>
      </c>
      <c r="B690" s="218" t="s">
        <v>490</v>
      </c>
      <c r="C690" s="218" t="s">
        <v>368</v>
      </c>
      <c r="D690" s="218" t="s">
        <v>368</v>
      </c>
      <c r="E690" s="218" t="s">
        <v>527</v>
      </c>
      <c r="F690" s="218"/>
      <c r="G690" s="216"/>
      <c r="H690" s="216"/>
      <c r="I690" s="216"/>
      <c r="J690" s="215">
        <f>J691</f>
        <v>58.014</v>
      </c>
      <c r="K690" s="215">
        <f>K691</f>
        <v>58.014</v>
      </c>
      <c r="L690" s="214">
        <f t="shared" si="78"/>
        <v>100</v>
      </c>
      <c r="M690" s="228"/>
      <c r="N690" s="235"/>
      <c r="O690" s="166">
        <f t="shared" si="79"/>
        <v>16.028000000000006</v>
      </c>
    </row>
    <row r="691" spans="1:15" ht="30">
      <c r="A691" s="243" t="s">
        <v>514</v>
      </c>
      <c r="B691" s="218" t="s">
        <v>490</v>
      </c>
      <c r="C691" s="218" t="s">
        <v>368</v>
      </c>
      <c r="D691" s="218" t="s">
        <v>368</v>
      </c>
      <c r="E691" s="218" t="s">
        <v>527</v>
      </c>
      <c r="F691" s="218" t="s">
        <v>498</v>
      </c>
      <c r="G691" s="216"/>
      <c r="H691" s="216"/>
      <c r="I691" s="216"/>
      <c r="J691" s="215">
        <v>58.014</v>
      </c>
      <c r="K691" s="215">
        <v>58.014</v>
      </c>
      <c r="L691" s="214">
        <f t="shared" si="78"/>
        <v>100</v>
      </c>
      <c r="M691" s="228"/>
      <c r="N691" s="235"/>
      <c r="O691" s="166">
        <f t="shared" si="79"/>
        <v>16.028000000000006</v>
      </c>
    </row>
    <row r="692" spans="1:15" ht="30">
      <c r="A692" s="219" t="s">
        <v>501</v>
      </c>
      <c r="B692" s="218" t="s">
        <v>490</v>
      </c>
      <c r="C692" s="218" t="s">
        <v>368</v>
      </c>
      <c r="D692" s="218" t="s">
        <v>368</v>
      </c>
      <c r="E692" s="218" t="s">
        <v>526</v>
      </c>
      <c r="F692" s="218"/>
      <c r="G692" s="216"/>
      <c r="H692" s="216"/>
      <c r="I692" s="216"/>
      <c r="J692" s="215">
        <f>J693</f>
        <v>128.5877</v>
      </c>
      <c r="K692" s="215">
        <f>K693</f>
        <v>128.5877</v>
      </c>
      <c r="L692" s="214">
        <f t="shared" si="78"/>
        <v>100</v>
      </c>
      <c r="M692" s="228"/>
      <c r="N692" s="235"/>
      <c r="O692" s="166">
        <f t="shared" si="79"/>
        <v>157.17540000000002</v>
      </c>
    </row>
    <row r="693" spans="1:16" ht="30">
      <c r="A693" s="243" t="s">
        <v>514</v>
      </c>
      <c r="B693" s="218" t="s">
        <v>490</v>
      </c>
      <c r="C693" s="218" t="s">
        <v>368</v>
      </c>
      <c r="D693" s="218" t="s">
        <v>368</v>
      </c>
      <c r="E693" s="218" t="s">
        <v>526</v>
      </c>
      <c r="F693" s="218" t="s">
        <v>498</v>
      </c>
      <c r="G693" s="216"/>
      <c r="H693" s="216"/>
      <c r="I693" s="216"/>
      <c r="J693" s="215">
        <v>128.5877</v>
      </c>
      <c r="K693" s="215">
        <v>128.5877</v>
      </c>
      <c r="L693" s="214">
        <f t="shared" si="78"/>
        <v>100</v>
      </c>
      <c r="M693" s="228"/>
      <c r="N693" s="235"/>
      <c r="O693" s="166">
        <f t="shared" si="79"/>
        <v>157.17540000000002</v>
      </c>
      <c r="P693" s="166">
        <f>L693-O693</f>
        <v>-57.175400000000025</v>
      </c>
    </row>
    <row r="694" spans="1:15" ht="30">
      <c r="A694" s="219" t="s">
        <v>525</v>
      </c>
      <c r="B694" s="218" t="s">
        <v>490</v>
      </c>
      <c r="C694" s="218" t="s">
        <v>368</v>
      </c>
      <c r="D694" s="218" t="s">
        <v>368</v>
      </c>
      <c r="E694" s="218" t="s">
        <v>524</v>
      </c>
      <c r="F694" s="218"/>
      <c r="G694" s="216"/>
      <c r="H694" s="216"/>
      <c r="I694" s="216"/>
      <c r="J694" s="215">
        <f>J695</f>
        <v>71</v>
      </c>
      <c r="K694" s="215">
        <f>K695</f>
        <v>71</v>
      </c>
      <c r="L694" s="214">
        <f t="shared" si="78"/>
        <v>100</v>
      </c>
      <c r="M694" s="228"/>
      <c r="N694" s="235"/>
      <c r="O694" s="166">
        <f aca="true" t="shared" si="86" ref="O694:O725">J694+K694-L694</f>
        <v>42</v>
      </c>
    </row>
    <row r="695" spans="1:15" ht="45">
      <c r="A695" s="219" t="s">
        <v>523</v>
      </c>
      <c r="B695" s="218" t="s">
        <v>490</v>
      </c>
      <c r="C695" s="218" t="s">
        <v>368</v>
      </c>
      <c r="D695" s="218" t="s">
        <v>368</v>
      </c>
      <c r="E695" s="218" t="s">
        <v>522</v>
      </c>
      <c r="F695" s="218"/>
      <c r="G695" s="216"/>
      <c r="H695" s="216"/>
      <c r="I695" s="216"/>
      <c r="J695" s="215">
        <f>J696</f>
        <v>71</v>
      </c>
      <c r="K695" s="215">
        <f>K696</f>
        <v>71</v>
      </c>
      <c r="L695" s="214">
        <f t="shared" si="78"/>
        <v>100</v>
      </c>
      <c r="M695" s="228"/>
      <c r="N695" s="235"/>
      <c r="O695" s="166">
        <f t="shared" si="86"/>
        <v>42</v>
      </c>
    </row>
    <row r="696" spans="1:16" ht="30">
      <c r="A696" s="219" t="s">
        <v>491</v>
      </c>
      <c r="B696" s="218" t="s">
        <v>490</v>
      </c>
      <c r="C696" s="218" t="s">
        <v>368</v>
      </c>
      <c r="D696" s="218" t="s">
        <v>368</v>
      </c>
      <c r="E696" s="218" t="s">
        <v>522</v>
      </c>
      <c r="F696" s="218" t="s">
        <v>488</v>
      </c>
      <c r="G696" s="216"/>
      <c r="H696" s="216"/>
      <c r="I696" s="216"/>
      <c r="J696" s="215">
        <v>71</v>
      </c>
      <c r="K696" s="215">
        <v>71</v>
      </c>
      <c r="L696" s="214">
        <f t="shared" si="78"/>
        <v>100</v>
      </c>
      <c r="M696" s="228"/>
      <c r="N696" s="235"/>
      <c r="O696" s="166">
        <f t="shared" si="86"/>
        <v>42</v>
      </c>
      <c r="P696" s="166">
        <f>L696-O696</f>
        <v>58</v>
      </c>
    </row>
    <row r="697" spans="1:15" s="237" customFormat="1" ht="29.25">
      <c r="A697" s="242" t="s">
        <v>521</v>
      </c>
      <c r="B697" s="222" t="s">
        <v>490</v>
      </c>
      <c r="C697" s="222" t="s">
        <v>386</v>
      </c>
      <c r="D697" s="222"/>
      <c r="E697" s="222"/>
      <c r="F697" s="222"/>
      <c r="G697" s="241">
        <f>G698+G719</f>
        <v>166.57999999999998</v>
      </c>
      <c r="H697" s="241">
        <f>H698+H719</f>
        <v>5601.15</v>
      </c>
      <c r="I697" s="241">
        <f>I698+I719</f>
        <v>0</v>
      </c>
      <c r="J697" s="240">
        <f>J698+J719+J715</f>
        <v>6781.7357</v>
      </c>
      <c r="K697" s="240">
        <f>K698+K719+K715</f>
        <v>6781.73487</v>
      </c>
      <c r="L697" s="172">
        <f t="shared" si="78"/>
        <v>99.99998776124525</v>
      </c>
      <c r="M697" s="239">
        <f>M698+M719+M715</f>
        <v>1</v>
      </c>
      <c r="N697" s="238" t="e">
        <f>N698+N719+N715</f>
        <v>#DIV/0!</v>
      </c>
      <c r="O697" s="166">
        <f t="shared" si="86"/>
        <v>13463.470582238757</v>
      </c>
    </row>
    <row r="698" spans="1:15" s="115" customFormat="1" ht="15">
      <c r="A698" s="220" t="s">
        <v>407</v>
      </c>
      <c r="B698" s="143" t="s">
        <v>490</v>
      </c>
      <c r="C698" s="143" t="s">
        <v>386</v>
      </c>
      <c r="D698" s="143" t="s">
        <v>357</v>
      </c>
      <c r="E698" s="143"/>
      <c r="F698" s="143"/>
      <c r="G698" s="128">
        <f>G699+G706</f>
        <v>137.57999999999998</v>
      </c>
      <c r="H698" s="128">
        <f>H699+H706</f>
        <v>3820.25</v>
      </c>
      <c r="I698" s="128">
        <f>I699+I706</f>
        <v>0</v>
      </c>
      <c r="J698" s="141">
        <f>J699+J706+J711+J713</f>
        <v>4535.57715</v>
      </c>
      <c r="K698" s="141">
        <f>K699+K706+K711+K713</f>
        <v>4535.57712</v>
      </c>
      <c r="L698" s="172">
        <f t="shared" si="78"/>
        <v>99.99999933856267</v>
      </c>
      <c r="M698" s="230">
        <f>M699+M706</f>
        <v>51</v>
      </c>
      <c r="N698" s="229">
        <f>N699+N706</f>
        <v>350.99999754866457</v>
      </c>
      <c r="O698" s="166">
        <f t="shared" si="86"/>
        <v>8971.154270661436</v>
      </c>
    </row>
    <row r="699" spans="1:15" ht="15">
      <c r="A699" s="219" t="s">
        <v>520</v>
      </c>
      <c r="B699" s="218" t="s">
        <v>490</v>
      </c>
      <c r="C699" s="218" t="s">
        <v>386</v>
      </c>
      <c r="D699" s="218" t="s">
        <v>357</v>
      </c>
      <c r="E699" s="218" t="s">
        <v>519</v>
      </c>
      <c r="F699" s="218"/>
      <c r="G699" s="216">
        <f>G700</f>
        <v>67.58</v>
      </c>
      <c r="H699" s="216">
        <f>H700</f>
        <v>2510.85</v>
      </c>
      <c r="I699" s="216">
        <f>I700</f>
        <v>0</v>
      </c>
      <c r="J699" s="215">
        <f>J700</f>
        <v>1223.82272</v>
      </c>
      <c r="K699" s="215">
        <f>K700</f>
        <v>1223.82269</v>
      </c>
      <c r="L699" s="214">
        <f t="shared" si="78"/>
        <v>99.99999754866458</v>
      </c>
      <c r="M699" s="228">
        <f>M700</f>
        <v>-39</v>
      </c>
      <c r="N699" s="227">
        <f>N700</f>
        <v>60.99999754866458</v>
      </c>
      <c r="O699" s="166">
        <f t="shared" si="86"/>
        <v>2347.6454124513357</v>
      </c>
    </row>
    <row r="700" spans="1:15" ht="30">
      <c r="A700" s="219" t="s">
        <v>501</v>
      </c>
      <c r="B700" s="218" t="s">
        <v>490</v>
      </c>
      <c r="C700" s="218" t="s">
        <v>386</v>
      </c>
      <c r="D700" s="218" t="s">
        <v>357</v>
      </c>
      <c r="E700" s="218" t="s">
        <v>515</v>
      </c>
      <c r="F700" s="218"/>
      <c r="G700" s="216">
        <f>G701</f>
        <v>67.58</v>
      </c>
      <c r="H700" s="216">
        <f>H701</f>
        <v>2510.85</v>
      </c>
      <c r="I700" s="216">
        <f>I701</f>
        <v>0</v>
      </c>
      <c r="J700" s="215">
        <f>J701+J702+J704</f>
        <v>1223.82272</v>
      </c>
      <c r="K700" s="215">
        <f>K701+K702+K704</f>
        <v>1223.82269</v>
      </c>
      <c r="L700" s="214">
        <f t="shared" si="78"/>
        <v>99.99999754866458</v>
      </c>
      <c r="M700" s="228">
        <f>M701</f>
        <v>-39</v>
      </c>
      <c r="N700" s="227">
        <f>N701</f>
        <v>60.99999754866458</v>
      </c>
      <c r="O700" s="166">
        <f t="shared" si="86"/>
        <v>2347.6454124513357</v>
      </c>
    </row>
    <row r="701" spans="1:16" ht="30">
      <c r="A701" s="219" t="s">
        <v>500</v>
      </c>
      <c r="B701" s="218" t="s">
        <v>490</v>
      </c>
      <c r="C701" s="218" t="s">
        <v>386</v>
      </c>
      <c r="D701" s="218" t="s">
        <v>357</v>
      </c>
      <c r="E701" s="218" t="s">
        <v>515</v>
      </c>
      <c r="F701" s="218" t="s">
        <v>498</v>
      </c>
      <c r="G701" s="216">
        <f>67.58</f>
        <v>67.58</v>
      </c>
      <c r="H701" s="217">
        <v>2510.85</v>
      </c>
      <c r="I701" s="216"/>
      <c r="J701" s="215">
        <v>1223.82272</v>
      </c>
      <c r="K701" s="215">
        <v>1223.82269</v>
      </c>
      <c r="L701" s="214">
        <f t="shared" si="78"/>
        <v>99.99999754866458</v>
      </c>
      <c r="M701" s="236">
        <f>-4-35</f>
        <v>-39</v>
      </c>
      <c r="N701" s="235">
        <f>L701+M701</f>
        <v>60.99999754866458</v>
      </c>
      <c r="O701" s="166">
        <f t="shared" si="86"/>
        <v>2347.6454124513357</v>
      </c>
      <c r="P701" s="166">
        <f>L701-O701</f>
        <v>-2247.6454149026713</v>
      </c>
    </row>
    <row r="702" spans="1:16" ht="30" hidden="1">
      <c r="A702" s="106" t="s">
        <v>518</v>
      </c>
      <c r="B702" s="218" t="s">
        <v>490</v>
      </c>
      <c r="C702" s="218" t="s">
        <v>386</v>
      </c>
      <c r="D702" s="218" t="s">
        <v>357</v>
      </c>
      <c r="E702" s="218" t="s">
        <v>515</v>
      </c>
      <c r="F702" s="218"/>
      <c r="G702" s="216"/>
      <c r="H702" s="217"/>
      <c r="I702" s="216"/>
      <c r="J702" s="215">
        <f>J703</f>
        <v>0</v>
      </c>
      <c r="K702" s="215">
        <f>K703</f>
        <v>0</v>
      </c>
      <c r="L702" s="214" t="e">
        <f t="shared" si="78"/>
        <v>#DIV/0!</v>
      </c>
      <c r="M702" s="236"/>
      <c r="N702" s="235"/>
      <c r="O702" s="166" t="e">
        <f t="shared" si="86"/>
        <v>#DIV/0!</v>
      </c>
      <c r="P702" s="233"/>
    </row>
    <row r="703" spans="1:16" ht="30" hidden="1">
      <c r="A703" s="106" t="s">
        <v>514</v>
      </c>
      <c r="B703" s="218" t="s">
        <v>490</v>
      </c>
      <c r="C703" s="218" t="s">
        <v>386</v>
      </c>
      <c r="D703" s="218" t="s">
        <v>357</v>
      </c>
      <c r="E703" s="218" t="s">
        <v>517</v>
      </c>
      <c r="F703" s="218" t="s">
        <v>498</v>
      </c>
      <c r="G703" s="216"/>
      <c r="H703" s="217"/>
      <c r="I703" s="216"/>
      <c r="J703" s="215"/>
      <c r="K703" s="215"/>
      <c r="L703" s="214" t="e">
        <f t="shared" si="78"/>
        <v>#DIV/0!</v>
      </c>
      <c r="M703" s="236"/>
      <c r="N703" s="235"/>
      <c r="O703" s="166" t="e">
        <f t="shared" si="86"/>
        <v>#DIV/0!</v>
      </c>
      <c r="P703" s="233"/>
    </row>
    <row r="704" spans="1:16" ht="45" hidden="1">
      <c r="A704" s="106" t="s">
        <v>516</v>
      </c>
      <c r="B704" s="218" t="s">
        <v>490</v>
      </c>
      <c r="C704" s="218" t="s">
        <v>386</v>
      </c>
      <c r="D704" s="218" t="s">
        <v>357</v>
      </c>
      <c r="E704" s="218" t="s">
        <v>515</v>
      </c>
      <c r="F704" s="218"/>
      <c r="G704" s="216"/>
      <c r="H704" s="217"/>
      <c r="I704" s="216"/>
      <c r="J704" s="215">
        <f>J705</f>
        <v>0</v>
      </c>
      <c r="K704" s="215">
        <f>K705</f>
        <v>0</v>
      </c>
      <c r="L704" s="214" t="e">
        <f t="shared" si="78"/>
        <v>#DIV/0!</v>
      </c>
      <c r="M704" s="236"/>
      <c r="N704" s="235"/>
      <c r="O704" s="166" t="e">
        <f t="shared" si="86"/>
        <v>#DIV/0!</v>
      </c>
      <c r="P704" s="233"/>
    </row>
    <row r="705" spans="1:16" ht="30" hidden="1">
      <c r="A705" s="106" t="s">
        <v>514</v>
      </c>
      <c r="B705" s="218" t="s">
        <v>490</v>
      </c>
      <c r="C705" s="218" t="s">
        <v>386</v>
      </c>
      <c r="D705" s="218" t="s">
        <v>357</v>
      </c>
      <c r="E705" s="218" t="s">
        <v>513</v>
      </c>
      <c r="F705" s="218" t="s">
        <v>498</v>
      </c>
      <c r="G705" s="216"/>
      <c r="H705" s="217"/>
      <c r="I705" s="216"/>
      <c r="J705" s="215"/>
      <c r="K705" s="215">
        <v>0</v>
      </c>
      <c r="L705" s="214" t="e">
        <f t="shared" si="78"/>
        <v>#DIV/0!</v>
      </c>
      <c r="M705" s="236"/>
      <c r="N705" s="235"/>
      <c r="O705" s="166" t="e">
        <f t="shared" si="86"/>
        <v>#DIV/0!</v>
      </c>
      <c r="P705" s="233"/>
    </row>
    <row r="706" spans="1:15" ht="45">
      <c r="A706" s="219" t="s">
        <v>512</v>
      </c>
      <c r="B706" s="218" t="s">
        <v>490</v>
      </c>
      <c r="C706" s="218" t="s">
        <v>386</v>
      </c>
      <c r="D706" s="218" t="s">
        <v>357</v>
      </c>
      <c r="E706" s="218" t="s">
        <v>511</v>
      </c>
      <c r="F706" s="218"/>
      <c r="G706" s="216">
        <f>G707+G709</f>
        <v>70</v>
      </c>
      <c r="H706" s="216">
        <f>H707+H709</f>
        <v>1309.4</v>
      </c>
      <c r="I706" s="216">
        <f>I707+I709</f>
        <v>0</v>
      </c>
      <c r="J706" s="215">
        <f>J707+J709</f>
        <v>3268.25443</v>
      </c>
      <c r="K706" s="215">
        <f>K707+K709</f>
        <v>3268.25443</v>
      </c>
      <c r="L706" s="214">
        <f t="shared" si="78"/>
        <v>100</v>
      </c>
      <c r="M706" s="228">
        <f>M707+M709</f>
        <v>90</v>
      </c>
      <c r="N706" s="227">
        <f>N707+N709</f>
        <v>290</v>
      </c>
      <c r="O706" s="166">
        <f t="shared" si="86"/>
        <v>6436.50886</v>
      </c>
    </row>
    <row r="707" spans="1:15" ht="30">
      <c r="A707" s="219" t="s">
        <v>501</v>
      </c>
      <c r="B707" s="218" t="s">
        <v>490</v>
      </c>
      <c r="C707" s="218" t="s">
        <v>386</v>
      </c>
      <c r="D707" s="218" t="s">
        <v>357</v>
      </c>
      <c r="E707" s="218" t="s">
        <v>510</v>
      </c>
      <c r="F707" s="218"/>
      <c r="G707" s="216">
        <f>G708</f>
        <v>70</v>
      </c>
      <c r="H707" s="216">
        <f>H708</f>
        <v>1274.4</v>
      </c>
      <c r="I707" s="216">
        <f>I708</f>
        <v>0</v>
      </c>
      <c r="J707" s="215">
        <f>J708</f>
        <v>3230.25443</v>
      </c>
      <c r="K707" s="215">
        <f>K708</f>
        <v>3230.25443</v>
      </c>
      <c r="L707" s="214">
        <f t="shared" si="78"/>
        <v>100</v>
      </c>
      <c r="M707" s="228">
        <f>M708</f>
        <v>90</v>
      </c>
      <c r="N707" s="227">
        <f>N708</f>
        <v>190</v>
      </c>
      <c r="O707" s="166">
        <f t="shared" si="86"/>
        <v>6360.50886</v>
      </c>
    </row>
    <row r="708" spans="1:16" ht="30">
      <c r="A708" s="219" t="s">
        <v>500</v>
      </c>
      <c r="B708" s="218" t="s">
        <v>490</v>
      </c>
      <c r="C708" s="218" t="s">
        <v>386</v>
      </c>
      <c r="D708" s="218" t="s">
        <v>357</v>
      </c>
      <c r="E708" s="218" t="s">
        <v>510</v>
      </c>
      <c r="F708" s="218" t="s">
        <v>498</v>
      </c>
      <c r="G708" s="216">
        <f>10+60</f>
        <v>70</v>
      </c>
      <c r="H708" s="217">
        <v>1274.4</v>
      </c>
      <c r="I708" s="216"/>
      <c r="J708" s="215">
        <v>3230.25443</v>
      </c>
      <c r="K708" s="215">
        <v>3230.25443</v>
      </c>
      <c r="L708" s="214">
        <f t="shared" si="78"/>
        <v>100</v>
      </c>
      <c r="M708" s="228">
        <v>90</v>
      </c>
      <c r="N708" s="235">
        <f>L708+M708</f>
        <v>190</v>
      </c>
      <c r="O708" s="166">
        <f t="shared" si="86"/>
        <v>6360.50886</v>
      </c>
      <c r="P708" s="166">
        <f>L708-O708</f>
        <v>-6260.50886</v>
      </c>
    </row>
    <row r="709" spans="1:15" ht="30">
      <c r="A709" s="219" t="s">
        <v>501</v>
      </c>
      <c r="B709" s="218" t="s">
        <v>490</v>
      </c>
      <c r="C709" s="218" t="s">
        <v>386</v>
      </c>
      <c r="D709" s="218" t="s">
        <v>357</v>
      </c>
      <c r="E709" s="218" t="s">
        <v>509</v>
      </c>
      <c r="F709" s="218"/>
      <c r="G709" s="216">
        <f>G710</f>
        <v>0</v>
      </c>
      <c r="H709" s="217">
        <f>H710</f>
        <v>35</v>
      </c>
      <c r="I709" s="216">
        <f>I710</f>
        <v>0</v>
      </c>
      <c r="J709" s="215">
        <f>J710</f>
        <v>38</v>
      </c>
      <c r="K709" s="215">
        <f>K710</f>
        <v>38</v>
      </c>
      <c r="L709" s="214">
        <f t="shared" si="78"/>
        <v>100</v>
      </c>
      <c r="M709" s="228">
        <f>M710</f>
        <v>0</v>
      </c>
      <c r="N709" s="235">
        <f>N710</f>
        <v>100</v>
      </c>
      <c r="O709" s="166">
        <f t="shared" si="86"/>
        <v>-24</v>
      </c>
    </row>
    <row r="710" spans="1:19" ht="30">
      <c r="A710" s="219" t="s">
        <v>500</v>
      </c>
      <c r="B710" s="218" t="s">
        <v>490</v>
      </c>
      <c r="C710" s="218" t="s">
        <v>386</v>
      </c>
      <c r="D710" s="218" t="s">
        <v>357</v>
      </c>
      <c r="E710" s="218" t="s">
        <v>509</v>
      </c>
      <c r="F710" s="218" t="s">
        <v>498</v>
      </c>
      <c r="G710" s="216"/>
      <c r="H710" s="217">
        <v>35</v>
      </c>
      <c r="I710" s="216"/>
      <c r="J710" s="215">
        <v>38</v>
      </c>
      <c r="K710" s="215">
        <v>38</v>
      </c>
      <c r="L710" s="214">
        <f t="shared" si="78"/>
        <v>100</v>
      </c>
      <c r="M710" s="228"/>
      <c r="N710" s="235">
        <f>L710+M710</f>
        <v>100</v>
      </c>
      <c r="O710" s="166">
        <f t="shared" si="86"/>
        <v>-24</v>
      </c>
      <c r="S710" s="108"/>
    </row>
    <row r="711" spans="1:15" ht="45" hidden="1">
      <c r="A711" s="219" t="s">
        <v>507</v>
      </c>
      <c r="B711" s="218" t="s">
        <v>490</v>
      </c>
      <c r="C711" s="218" t="s">
        <v>386</v>
      </c>
      <c r="D711" s="218" t="s">
        <v>357</v>
      </c>
      <c r="E711" s="218" t="s">
        <v>508</v>
      </c>
      <c r="F711" s="218"/>
      <c r="G711" s="216"/>
      <c r="H711" s="217"/>
      <c r="I711" s="216"/>
      <c r="J711" s="215">
        <f>J712</f>
        <v>0</v>
      </c>
      <c r="K711" s="215">
        <f>K712</f>
        <v>0</v>
      </c>
      <c r="L711" s="214" t="e">
        <f t="shared" si="78"/>
        <v>#DIV/0!</v>
      </c>
      <c r="M711" s="228"/>
      <c r="N711" s="235"/>
      <c r="O711" s="166" t="e">
        <f t="shared" si="86"/>
        <v>#DIV/0!</v>
      </c>
    </row>
    <row r="712" spans="1:19" ht="30" hidden="1">
      <c r="A712" s="219" t="s">
        <v>500</v>
      </c>
      <c r="B712" s="218" t="s">
        <v>490</v>
      </c>
      <c r="C712" s="218" t="s">
        <v>386</v>
      </c>
      <c r="D712" s="218" t="s">
        <v>357</v>
      </c>
      <c r="E712" s="218" t="s">
        <v>508</v>
      </c>
      <c r="F712" s="218" t="s">
        <v>498</v>
      </c>
      <c r="G712" s="216"/>
      <c r="H712" s="217"/>
      <c r="I712" s="216"/>
      <c r="J712" s="215">
        <v>0</v>
      </c>
      <c r="K712" s="215"/>
      <c r="L712" s="214" t="e">
        <f t="shared" si="78"/>
        <v>#DIV/0!</v>
      </c>
      <c r="M712" s="228"/>
      <c r="N712" s="235"/>
      <c r="O712" s="166" t="e">
        <f t="shared" si="86"/>
        <v>#DIV/0!</v>
      </c>
      <c r="P712" s="166">
        <f>K712</f>
        <v>0</v>
      </c>
      <c r="S712" s="108"/>
    </row>
    <row r="713" spans="1:19" ht="45">
      <c r="A713" s="219" t="s">
        <v>507</v>
      </c>
      <c r="B713" s="218" t="s">
        <v>490</v>
      </c>
      <c r="C713" s="218" t="s">
        <v>386</v>
      </c>
      <c r="D713" s="218" t="s">
        <v>357</v>
      </c>
      <c r="E713" s="218" t="s">
        <v>506</v>
      </c>
      <c r="F713" s="218"/>
      <c r="G713" s="216"/>
      <c r="H713" s="217"/>
      <c r="I713" s="216"/>
      <c r="J713" s="215">
        <f>J714</f>
        <v>43.5</v>
      </c>
      <c r="K713" s="215">
        <f>K714</f>
        <v>43.5</v>
      </c>
      <c r="L713" s="214">
        <f t="shared" si="78"/>
        <v>100</v>
      </c>
      <c r="M713" s="228"/>
      <c r="N713" s="235"/>
      <c r="O713" s="166">
        <f t="shared" si="86"/>
        <v>-13</v>
      </c>
      <c r="P713" s="166"/>
      <c r="S713" s="108"/>
    </row>
    <row r="714" spans="1:19" ht="30">
      <c r="A714" s="219" t="s">
        <v>500</v>
      </c>
      <c r="B714" s="218" t="s">
        <v>490</v>
      </c>
      <c r="C714" s="218" t="s">
        <v>386</v>
      </c>
      <c r="D714" s="218" t="s">
        <v>357</v>
      </c>
      <c r="E714" s="218" t="s">
        <v>506</v>
      </c>
      <c r="F714" s="218" t="s">
        <v>498</v>
      </c>
      <c r="G714" s="216"/>
      <c r="H714" s="217"/>
      <c r="I714" s="216"/>
      <c r="J714" s="215">
        <v>43.5</v>
      </c>
      <c r="K714" s="215">
        <v>43.5</v>
      </c>
      <c r="L714" s="214">
        <f t="shared" si="78"/>
        <v>100</v>
      </c>
      <c r="M714" s="228"/>
      <c r="N714" s="235"/>
      <c r="O714" s="166">
        <f t="shared" si="86"/>
        <v>-13</v>
      </c>
      <c r="P714" s="166"/>
      <c r="S714" s="108"/>
    </row>
    <row r="715" spans="1:15" ht="29.25">
      <c r="A715" s="220" t="s">
        <v>505</v>
      </c>
      <c r="B715" s="143" t="s">
        <v>490</v>
      </c>
      <c r="C715" s="143" t="s">
        <v>386</v>
      </c>
      <c r="D715" s="143" t="s">
        <v>362</v>
      </c>
      <c r="E715" s="143"/>
      <c r="F715" s="143"/>
      <c r="G715" s="128">
        <f aca="true" t="shared" si="87" ref="G715:K717">G716</f>
        <v>29</v>
      </c>
      <c r="H715" s="128">
        <f t="shared" si="87"/>
        <v>1780.9</v>
      </c>
      <c r="I715" s="128">
        <f t="shared" si="87"/>
        <v>0</v>
      </c>
      <c r="J715" s="141">
        <f t="shared" si="87"/>
        <v>2246.15855</v>
      </c>
      <c r="K715" s="141">
        <f t="shared" si="87"/>
        <v>2246.15775</v>
      </c>
      <c r="L715" s="172">
        <f t="shared" si="78"/>
        <v>99.99996438363623</v>
      </c>
      <c r="M715" s="228"/>
      <c r="N715" s="235"/>
      <c r="O715" s="166">
        <f t="shared" si="86"/>
        <v>4392.316335616364</v>
      </c>
    </row>
    <row r="716" spans="1:15" ht="45">
      <c r="A716" s="219" t="s">
        <v>503</v>
      </c>
      <c r="B716" s="218" t="s">
        <v>490</v>
      </c>
      <c r="C716" s="218" t="s">
        <v>386</v>
      </c>
      <c r="D716" s="218" t="s">
        <v>362</v>
      </c>
      <c r="E716" s="218" t="s">
        <v>502</v>
      </c>
      <c r="F716" s="218"/>
      <c r="G716" s="216">
        <f t="shared" si="87"/>
        <v>29</v>
      </c>
      <c r="H716" s="216">
        <f t="shared" si="87"/>
        <v>1780.9</v>
      </c>
      <c r="I716" s="216">
        <f t="shared" si="87"/>
        <v>0</v>
      </c>
      <c r="J716" s="215">
        <f t="shared" si="87"/>
        <v>2246.15855</v>
      </c>
      <c r="K716" s="215">
        <f t="shared" si="87"/>
        <v>2246.15775</v>
      </c>
      <c r="L716" s="214">
        <f aca="true" t="shared" si="88" ref="L716:L733">K716/J716*100</f>
        <v>99.99996438363623</v>
      </c>
      <c r="M716" s="228"/>
      <c r="N716" s="235"/>
      <c r="O716" s="166">
        <f t="shared" si="86"/>
        <v>4392.316335616364</v>
      </c>
    </row>
    <row r="717" spans="1:15" ht="30">
      <c r="A717" s="219" t="s">
        <v>501</v>
      </c>
      <c r="B717" s="218" t="s">
        <v>490</v>
      </c>
      <c r="C717" s="218" t="s">
        <v>386</v>
      </c>
      <c r="D717" s="218" t="s">
        <v>362</v>
      </c>
      <c r="E717" s="218" t="s">
        <v>499</v>
      </c>
      <c r="F717" s="218"/>
      <c r="G717" s="216">
        <f t="shared" si="87"/>
        <v>29</v>
      </c>
      <c r="H717" s="216">
        <f t="shared" si="87"/>
        <v>1780.9</v>
      </c>
      <c r="I717" s="216">
        <f t="shared" si="87"/>
        <v>0</v>
      </c>
      <c r="J717" s="215">
        <f t="shared" si="87"/>
        <v>2246.15855</v>
      </c>
      <c r="K717" s="215">
        <f t="shared" si="87"/>
        <v>2246.15775</v>
      </c>
      <c r="L717" s="214">
        <f t="shared" si="88"/>
        <v>99.99996438363623</v>
      </c>
      <c r="M717" s="228"/>
      <c r="N717" s="235"/>
      <c r="O717" s="166">
        <f t="shared" si="86"/>
        <v>4392.316335616364</v>
      </c>
    </row>
    <row r="718" spans="1:16" ht="30">
      <c r="A718" s="219" t="s">
        <v>500</v>
      </c>
      <c r="B718" s="218" t="s">
        <v>490</v>
      </c>
      <c r="C718" s="218" t="s">
        <v>386</v>
      </c>
      <c r="D718" s="218" t="s">
        <v>362</v>
      </c>
      <c r="E718" s="218" t="s">
        <v>499</v>
      </c>
      <c r="F718" s="218" t="s">
        <v>498</v>
      </c>
      <c r="G718" s="216">
        <v>29</v>
      </c>
      <c r="H718" s="217">
        <v>1780.9</v>
      </c>
      <c r="I718" s="216"/>
      <c r="J718" s="215">
        <v>2246.15855</v>
      </c>
      <c r="K718" s="215">
        <v>2246.15775</v>
      </c>
      <c r="L718" s="214">
        <f t="shared" si="88"/>
        <v>99.99996438363623</v>
      </c>
      <c r="M718" s="228"/>
      <c r="N718" s="235"/>
      <c r="O718" s="166">
        <f t="shared" si="86"/>
        <v>4392.316335616364</v>
      </c>
      <c r="P718" s="166"/>
    </row>
    <row r="719" spans="1:15" s="115" customFormat="1" ht="43.5" hidden="1">
      <c r="A719" s="220" t="s">
        <v>504</v>
      </c>
      <c r="B719" s="143" t="s">
        <v>490</v>
      </c>
      <c r="C719" s="143" t="s">
        <v>386</v>
      </c>
      <c r="D719" s="143" t="s">
        <v>366</v>
      </c>
      <c r="E719" s="143"/>
      <c r="F719" s="143"/>
      <c r="G719" s="128">
        <f aca="true" t="shared" si="89" ref="G719:K721">G720</f>
        <v>29</v>
      </c>
      <c r="H719" s="128">
        <f t="shared" si="89"/>
        <v>1780.9</v>
      </c>
      <c r="I719" s="128">
        <f t="shared" si="89"/>
        <v>0</v>
      </c>
      <c r="J719" s="141">
        <f t="shared" si="89"/>
        <v>0</v>
      </c>
      <c r="K719" s="141">
        <f t="shared" si="89"/>
        <v>0</v>
      </c>
      <c r="L719" s="214" t="e">
        <f t="shared" si="88"/>
        <v>#DIV/0!</v>
      </c>
      <c r="M719" s="230">
        <f aca="true" t="shared" si="90" ref="M719:N721">M720</f>
        <v>-50</v>
      </c>
      <c r="N719" s="229" t="e">
        <f t="shared" si="90"/>
        <v>#DIV/0!</v>
      </c>
      <c r="O719" s="166" t="e">
        <f t="shared" si="86"/>
        <v>#DIV/0!</v>
      </c>
    </row>
    <row r="720" spans="1:15" ht="45" hidden="1">
      <c r="A720" s="219" t="s">
        <v>503</v>
      </c>
      <c r="B720" s="218" t="s">
        <v>490</v>
      </c>
      <c r="C720" s="218" t="s">
        <v>386</v>
      </c>
      <c r="D720" s="218" t="s">
        <v>366</v>
      </c>
      <c r="E720" s="218" t="s">
        <v>502</v>
      </c>
      <c r="F720" s="218"/>
      <c r="G720" s="216">
        <f t="shared" si="89"/>
        <v>29</v>
      </c>
      <c r="H720" s="216">
        <f t="shared" si="89"/>
        <v>1780.9</v>
      </c>
      <c r="I720" s="216">
        <f t="shared" si="89"/>
        <v>0</v>
      </c>
      <c r="J720" s="215">
        <f t="shared" si="89"/>
        <v>0</v>
      </c>
      <c r="K720" s="215">
        <f t="shared" si="89"/>
        <v>0</v>
      </c>
      <c r="L720" s="214" t="e">
        <f t="shared" si="88"/>
        <v>#DIV/0!</v>
      </c>
      <c r="M720" s="228">
        <f t="shared" si="90"/>
        <v>-50</v>
      </c>
      <c r="N720" s="227" t="e">
        <f t="shared" si="90"/>
        <v>#DIV/0!</v>
      </c>
      <c r="O720" s="166" t="e">
        <f t="shared" si="86"/>
        <v>#DIV/0!</v>
      </c>
    </row>
    <row r="721" spans="1:15" ht="30" hidden="1">
      <c r="A721" s="219" t="s">
        <v>501</v>
      </c>
      <c r="B721" s="218" t="s">
        <v>490</v>
      </c>
      <c r="C721" s="218" t="s">
        <v>386</v>
      </c>
      <c r="D721" s="218" t="s">
        <v>366</v>
      </c>
      <c r="E721" s="218" t="s">
        <v>499</v>
      </c>
      <c r="F721" s="218"/>
      <c r="G721" s="216">
        <f t="shared" si="89"/>
        <v>29</v>
      </c>
      <c r="H721" s="216">
        <f t="shared" si="89"/>
        <v>1780.9</v>
      </c>
      <c r="I721" s="216">
        <f t="shared" si="89"/>
        <v>0</v>
      </c>
      <c r="J721" s="215">
        <f t="shared" si="89"/>
        <v>0</v>
      </c>
      <c r="K721" s="215">
        <f t="shared" si="89"/>
        <v>0</v>
      </c>
      <c r="L721" s="214" t="e">
        <f t="shared" si="88"/>
        <v>#DIV/0!</v>
      </c>
      <c r="M721" s="228">
        <f t="shared" si="90"/>
        <v>-50</v>
      </c>
      <c r="N721" s="227" t="e">
        <f t="shared" si="90"/>
        <v>#DIV/0!</v>
      </c>
      <c r="O721" s="166" t="e">
        <f t="shared" si="86"/>
        <v>#DIV/0!</v>
      </c>
    </row>
    <row r="722" spans="1:16" ht="30" hidden="1">
      <c r="A722" s="219" t="s">
        <v>500</v>
      </c>
      <c r="B722" s="218" t="s">
        <v>490</v>
      </c>
      <c r="C722" s="218" t="s">
        <v>386</v>
      </c>
      <c r="D722" s="218" t="s">
        <v>366</v>
      </c>
      <c r="E722" s="218" t="s">
        <v>499</v>
      </c>
      <c r="F722" s="218" t="s">
        <v>498</v>
      </c>
      <c r="G722" s="216">
        <v>29</v>
      </c>
      <c r="H722" s="217">
        <v>1780.9</v>
      </c>
      <c r="I722" s="216"/>
      <c r="J722" s="215"/>
      <c r="K722" s="215"/>
      <c r="L722" s="214" t="e">
        <f t="shared" si="88"/>
        <v>#DIV/0!</v>
      </c>
      <c r="M722" s="234">
        <v>-50</v>
      </c>
      <c r="N722" s="231" t="e">
        <f>L722+M722</f>
        <v>#DIV/0!</v>
      </c>
      <c r="O722" s="166" t="e">
        <f t="shared" si="86"/>
        <v>#DIV/0!</v>
      </c>
      <c r="P722" s="233"/>
    </row>
    <row r="723" spans="1:15" ht="29.25" hidden="1">
      <c r="A723" s="223" t="s">
        <v>497</v>
      </c>
      <c r="B723" s="222" t="s">
        <v>490</v>
      </c>
      <c r="C723" s="222" t="s">
        <v>378</v>
      </c>
      <c r="D723" s="218"/>
      <c r="E723" s="218"/>
      <c r="F723" s="218"/>
      <c r="G723" s="216"/>
      <c r="H723" s="217">
        <f aca="true" t="shared" si="91" ref="H723:K726">H724</f>
        <v>0</v>
      </c>
      <c r="I723" s="217">
        <f t="shared" si="91"/>
        <v>0</v>
      </c>
      <c r="J723" s="221">
        <f t="shared" si="91"/>
        <v>0</v>
      </c>
      <c r="K723" s="221">
        <f t="shared" si="91"/>
        <v>0</v>
      </c>
      <c r="L723" s="214" t="e">
        <f t="shared" si="88"/>
        <v>#DIV/0!</v>
      </c>
      <c r="M723" s="232">
        <f aca="true" t="shared" si="92" ref="M723:N726">M724</f>
        <v>80</v>
      </c>
      <c r="N723" s="231" t="e">
        <f t="shared" si="92"/>
        <v>#DIV/0!</v>
      </c>
      <c r="O723" s="166" t="e">
        <f t="shared" si="86"/>
        <v>#DIV/0!</v>
      </c>
    </row>
    <row r="724" spans="1:15" s="115" customFormat="1" ht="15" hidden="1">
      <c r="A724" s="220" t="s">
        <v>427</v>
      </c>
      <c r="B724" s="143" t="s">
        <v>490</v>
      </c>
      <c r="C724" s="143" t="s">
        <v>378</v>
      </c>
      <c r="D724" s="143" t="s">
        <v>386</v>
      </c>
      <c r="E724" s="143"/>
      <c r="F724" s="143"/>
      <c r="G724" s="128">
        <f>G725</f>
        <v>0</v>
      </c>
      <c r="H724" s="128">
        <f t="shared" si="91"/>
        <v>0</v>
      </c>
      <c r="I724" s="128">
        <f t="shared" si="91"/>
        <v>0</v>
      </c>
      <c r="J724" s="141">
        <f t="shared" si="91"/>
        <v>0</v>
      </c>
      <c r="K724" s="141">
        <f t="shared" si="91"/>
        <v>0</v>
      </c>
      <c r="L724" s="214" t="e">
        <f t="shared" si="88"/>
        <v>#DIV/0!</v>
      </c>
      <c r="M724" s="230">
        <f t="shared" si="92"/>
        <v>80</v>
      </c>
      <c r="N724" s="229" t="e">
        <f t="shared" si="92"/>
        <v>#DIV/0!</v>
      </c>
      <c r="O724" s="166" t="e">
        <f t="shared" si="86"/>
        <v>#DIV/0!</v>
      </c>
    </row>
    <row r="725" spans="1:15" ht="30" hidden="1">
      <c r="A725" s="219" t="s">
        <v>494</v>
      </c>
      <c r="B725" s="218" t="s">
        <v>490</v>
      </c>
      <c r="C725" s="218" t="s">
        <v>378</v>
      </c>
      <c r="D725" s="218" t="s">
        <v>386</v>
      </c>
      <c r="E725" s="218" t="s">
        <v>493</v>
      </c>
      <c r="F725" s="218"/>
      <c r="G725" s="216">
        <f>G726</f>
        <v>0</v>
      </c>
      <c r="H725" s="216">
        <f t="shared" si="91"/>
        <v>0</v>
      </c>
      <c r="I725" s="216">
        <f t="shared" si="91"/>
        <v>0</v>
      </c>
      <c r="J725" s="215">
        <f t="shared" si="91"/>
        <v>0</v>
      </c>
      <c r="K725" s="215">
        <f t="shared" si="91"/>
        <v>0</v>
      </c>
      <c r="L725" s="214" t="e">
        <f t="shared" si="88"/>
        <v>#DIV/0!</v>
      </c>
      <c r="M725" s="228">
        <f t="shared" si="92"/>
        <v>80</v>
      </c>
      <c r="N725" s="227" t="e">
        <f t="shared" si="92"/>
        <v>#DIV/0!</v>
      </c>
      <c r="O725" s="166" t="e">
        <f t="shared" si="86"/>
        <v>#DIV/0!</v>
      </c>
    </row>
    <row r="726" spans="1:18" ht="45" hidden="1">
      <c r="A726" s="219" t="s">
        <v>496</v>
      </c>
      <c r="B726" s="218" t="s">
        <v>490</v>
      </c>
      <c r="C726" s="218" t="s">
        <v>378</v>
      </c>
      <c r="D726" s="218" t="s">
        <v>386</v>
      </c>
      <c r="E726" s="218" t="s">
        <v>489</v>
      </c>
      <c r="F726" s="218"/>
      <c r="G726" s="216">
        <f>G727</f>
        <v>0</v>
      </c>
      <c r="H726" s="216">
        <f t="shared" si="91"/>
        <v>0</v>
      </c>
      <c r="I726" s="216">
        <f t="shared" si="91"/>
        <v>0</v>
      </c>
      <c r="J726" s="215">
        <f t="shared" si="91"/>
        <v>0</v>
      </c>
      <c r="K726" s="215">
        <f t="shared" si="91"/>
        <v>0</v>
      </c>
      <c r="L726" s="214" t="e">
        <f t="shared" si="88"/>
        <v>#DIV/0!</v>
      </c>
      <c r="M726" s="228">
        <f t="shared" si="92"/>
        <v>80</v>
      </c>
      <c r="N726" s="227" t="e">
        <f t="shared" si="92"/>
        <v>#DIV/0!</v>
      </c>
      <c r="O726" s="166" t="e">
        <f aca="true" t="shared" si="93" ref="O726:O733">J726+K726-L726</f>
        <v>#DIV/0!</v>
      </c>
      <c r="R726" s="108"/>
    </row>
    <row r="727" spans="1:15" ht="30.75" hidden="1" thickBot="1">
      <c r="A727" s="226" t="s">
        <v>491</v>
      </c>
      <c r="B727" s="218" t="s">
        <v>490</v>
      </c>
      <c r="C727" s="218" t="s">
        <v>378</v>
      </c>
      <c r="D727" s="218" t="s">
        <v>386</v>
      </c>
      <c r="E727" s="218" t="s">
        <v>489</v>
      </c>
      <c r="F727" s="218" t="s">
        <v>488</v>
      </c>
      <c r="G727" s="216"/>
      <c r="H727" s="217"/>
      <c r="I727" s="216"/>
      <c r="J727" s="215"/>
      <c r="K727" s="215"/>
      <c r="L727" s="214" t="e">
        <f t="shared" si="88"/>
        <v>#DIV/0!</v>
      </c>
      <c r="M727" s="225">
        <v>80</v>
      </c>
      <c r="N727" s="224" t="e">
        <f>L727+M727</f>
        <v>#DIV/0!</v>
      </c>
      <c r="O727" s="166" t="e">
        <f t="shared" si="93"/>
        <v>#DIV/0!</v>
      </c>
    </row>
    <row r="728" spans="1:15" ht="15.75" thickBot="1">
      <c r="A728" s="223" t="s">
        <v>427</v>
      </c>
      <c r="B728" s="222" t="s">
        <v>490</v>
      </c>
      <c r="C728" s="222" t="s">
        <v>389</v>
      </c>
      <c r="D728" s="218"/>
      <c r="E728" s="218"/>
      <c r="F728" s="218"/>
      <c r="G728" s="216"/>
      <c r="H728" s="217">
        <f aca="true" t="shared" si="94" ref="H728:K731">H729</f>
        <v>0</v>
      </c>
      <c r="I728" s="217">
        <f t="shared" si="94"/>
        <v>0</v>
      </c>
      <c r="J728" s="221">
        <f t="shared" si="94"/>
        <v>1278.739</v>
      </c>
      <c r="K728" s="221">
        <f t="shared" si="94"/>
        <v>1278.739</v>
      </c>
      <c r="L728" s="172">
        <f t="shared" si="88"/>
        <v>100</v>
      </c>
      <c r="M728" s="213"/>
      <c r="N728" s="212"/>
      <c r="O728" s="166">
        <f t="shared" si="93"/>
        <v>2457.478</v>
      </c>
    </row>
    <row r="729" spans="1:15" ht="15.75" thickBot="1">
      <c r="A729" s="220" t="s">
        <v>495</v>
      </c>
      <c r="B729" s="143" t="s">
        <v>490</v>
      </c>
      <c r="C729" s="143" t="s">
        <v>389</v>
      </c>
      <c r="D729" s="143" t="s">
        <v>357</v>
      </c>
      <c r="E729" s="143"/>
      <c r="F729" s="143"/>
      <c r="G729" s="128">
        <f>G730</f>
        <v>0</v>
      </c>
      <c r="H729" s="128">
        <f t="shared" si="94"/>
        <v>0</v>
      </c>
      <c r="I729" s="128">
        <f t="shared" si="94"/>
        <v>0</v>
      </c>
      <c r="J729" s="141">
        <f t="shared" si="94"/>
        <v>1278.739</v>
      </c>
      <c r="K729" s="141">
        <f t="shared" si="94"/>
        <v>1278.739</v>
      </c>
      <c r="L729" s="172">
        <f t="shared" si="88"/>
        <v>100</v>
      </c>
      <c r="M729" s="213"/>
      <c r="N729" s="212"/>
      <c r="O729" s="166">
        <f t="shared" si="93"/>
        <v>2457.478</v>
      </c>
    </row>
    <row r="730" spans="1:15" ht="30.75" thickBot="1">
      <c r="A730" s="219" t="s">
        <v>494</v>
      </c>
      <c r="B730" s="218" t="s">
        <v>490</v>
      </c>
      <c r="C730" s="218" t="s">
        <v>389</v>
      </c>
      <c r="D730" s="218" t="s">
        <v>357</v>
      </c>
      <c r="E730" s="218" t="s">
        <v>493</v>
      </c>
      <c r="F730" s="218"/>
      <c r="G730" s="216">
        <f>G731</f>
        <v>0</v>
      </c>
      <c r="H730" s="216">
        <f t="shared" si="94"/>
        <v>0</v>
      </c>
      <c r="I730" s="216">
        <f t="shared" si="94"/>
        <v>0</v>
      </c>
      <c r="J730" s="215">
        <f t="shared" si="94"/>
        <v>1278.739</v>
      </c>
      <c r="K730" s="215">
        <f t="shared" si="94"/>
        <v>1278.739</v>
      </c>
      <c r="L730" s="214">
        <f t="shared" si="88"/>
        <v>100</v>
      </c>
      <c r="M730" s="213"/>
      <c r="N730" s="212"/>
      <c r="O730" s="166">
        <f t="shared" si="93"/>
        <v>2457.478</v>
      </c>
    </row>
    <row r="731" spans="1:15" ht="30.75" thickBot="1">
      <c r="A731" s="219" t="s">
        <v>492</v>
      </c>
      <c r="B731" s="218" t="s">
        <v>490</v>
      </c>
      <c r="C731" s="218" t="s">
        <v>389</v>
      </c>
      <c r="D731" s="218" t="s">
        <v>357</v>
      </c>
      <c r="E731" s="218" t="s">
        <v>489</v>
      </c>
      <c r="F731" s="218"/>
      <c r="G731" s="216">
        <f>G732</f>
        <v>0</v>
      </c>
      <c r="H731" s="216">
        <f t="shared" si="94"/>
        <v>0</v>
      </c>
      <c r="I731" s="216">
        <f t="shared" si="94"/>
        <v>0</v>
      </c>
      <c r="J731" s="215">
        <f t="shared" si="94"/>
        <v>1278.739</v>
      </c>
      <c r="K731" s="215">
        <f t="shared" si="94"/>
        <v>1278.739</v>
      </c>
      <c r="L731" s="214">
        <f t="shared" si="88"/>
        <v>100</v>
      </c>
      <c r="M731" s="213"/>
      <c r="N731" s="212"/>
      <c r="O731" s="166">
        <f t="shared" si="93"/>
        <v>2457.478</v>
      </c>
    </row>
    <row r="732" spans="1:19" ht="30.75" thickBot="1">
      <c r="A732" s="219" t="s">
        <v>491</v>
      </c>
      <c r="B732" s="218" t="s">
        <v>490</v>
      </c>
      <c r="C732" s="218" t="s">
        <v>389</v>
      </c>
      <c r="D732" s="218" t="s">
        <v>357</v>
      </c>
      <c r="E732" s="218" t="s">
        <v>489</v>
      </c>
      <c r="F732" s="218" t="s">
        <v>488</v>
      </c>
      <c r="G732" s="216"/>
      <c r="H732" s="217"/>
      <c r="I732" s="216"/>
      <c r="J732" s="215">
        <v>1278.739</v>
      </c>
      <c r="K732" s="215">
        <v>1278.739</v>
      </c>
      <c r="L732" s="214">
        <f t="shared" si="88"/>
        <v>100</v>
      </c>
      <c r="M732" s="213"/>
      <c r="N732" s="212"/>
      <c r="O732" s="166">
        <f t="shared" si="93"/>
        <v>2457.478</v>
      </c>
      <c r="P732" s="108"/>
      <c r="R732" s="211"/>
      <c r="S732" s="108"/>
    </row>
    <row r="733" spans="1:19" s="200" customFormat="1" ht="13.5" customHeight="1" thickBot="1">
      <c r="A733" s="210" t="s">
        <v>487</v>
      </c>
      <c r="B733" s="209"/>
      <c r="C733" s="209"/>
      <c r="D733" s="209"/>
      <c r="E733" s="209"/>
      <c r="F733" s="208"/>
      <c r="G733" s="207" t="e">
        <f>G12+G97+G204+G326+G420+G427+G676</f>
        <v>#REF!</v>
      </c>
      <c r="H733" s="206" t="e">
        <f>H12+H97+H204+H326+H420+H427+H676</f>
        <v>#REF!</v>
      </c>
      <c r="I733" s="205" t="e">
        <f>I12+I97+I204+I326+I420+I427+I676</f>
        <v>#REF!</v>
      </c>
      <c r="J733" s="204">
        <f>J12+J97+J204+J326+J420+J427+J676</f>
        <v>648108.1799199998</v>
      </c>
      <c r="K733" s="204">
        <f>K12+K97+K204+K326+K420+K427+K676</f>
        <v>637381.65227</v>
      </c>
      <c r="L733" s="172">
        <f t="shared" si="88"/>
        <v>98.34494796048958</v>
      </c>
      <c r="M733" s="203" t="e">
        <f>M12+M97+M204+M326+M420+M427+M676</f>
        <v>#REF!</v>
      </c>
      <c r="N733" s="202" t="e">
        <f>N12+N97+N204+N326+N420+N427+N676</f>
        <v>#DIV/0!</v>
      </c>
      <c r="O733" s="166">
        <f t="shared" si="93"/>
        <v>1285391.4872420393</v>
      </c>
      <c r="P733" s="201"/>
      <c r="S733" s="201"/>
    </row>
    <row r="734" spans="1:18" ht="15">
      <c r="A734" s="190"/>
      <c r="H734" s="190"/>
      <c r="J734" s="107">
        <v>648104.22239</v>
      </c>
      <c r="K734" s="112">
        <v>637381.65324</v>
      </c>
      <c r="L734" s="199">
        <v>648104.22239</v>
      </c>
      <c r="N734" s="197">
        <v>372157.62</v>
      </c>
      <c r="O734" s="198">
        <f>L733-15038.4</f>
        <v>-14940.05505203951</v>
      </c>
      <c r="Q734" s="166"/>
      <c r="R734" s="190"/>
    </row>
    <row r="735" spans="1:17" ht="15.75" thickBot="1">
      <c r="A735" s="190"/>
      <c r="H735" s="190"/>
      <c r="J735" s="108">
        <f>J733-J734</f>
        <v>3.9575299997814</v>
      </c>
      <c r="K735" s="112">
        <f>K733-K734</f>
        <v>-0.0009700000518932939</v>
      </c>
      <c r="L735" s="112">
        <f>L733-L734</f>
        <v>-648005.8774420395</v>
      </c>
      <c r="N735" s="197" t="e">
        <f>N734-N733</f>
        <v>#DIV/0!</v>
      </c>
      <c r="O735" s="108"/>
      <c r="Q735" s="166"/>
    </row>
    <row r="736" spans="1:14" ht="15.75" thickBot="1">
      <c r="A736" s="190"/>
      <c r="E736" s="110">
        <f>SUM(H737:H747)</f>
        <v>18920.13</v>
      </c>
      <c r="F736" s="150" t="s">
        <v>357</v>
      </c>
      <c r="G736" s="196" t="e">
        <f>G98+G205+G428+G677</f>
        <v>#REF!</v>
      </c>
      <c r="H736" s="196">
        <f>H98+H205+H428+H677</f>
        <v>18920.129999999997</v>
      </c>
      <c r="I736" s="195">
        <f>I98+I205+I428+I677</f>
        <v>0</v>
      </c>
      <c r="J736" s="194">
        <f>J737+J738+J739+J740+J741+J742+J743+J744+J745+J746+J747</f>
        <v>25153.76657</v>
      </c>
      <c r="K736" s="193">
        <f>K737+K738+K739+K740+K741+K742+K743+K744+K745+K746+K747</f>
        <v>25029.373300000003</v>
      </c>
      <c r="L736" s="118">
        <f aca="true" t="shared" si="95" ref="L736:L767">K736/J736*100</f>
        <v>99.50546861578832</v>
      </c>
      <c r="M736" s="192">
        <f>M98+M205+M428+M677</f>
        <v>-833.36</v>
      </c>
      <c r="N736" s="191" t="e">
        <f>N98+N205+N428+N677</f>
        <v>#DIV/0!</v>
      </c>
    </row>
    <row r="737" spans="1:14" ht="15.75" thickBot="1">
      <c r="A737" s="190"/>
      <c r="F737" s="146" t="s">
        <v>486</v>
      </c>
      <c r="G737" s="130">
        <f>G429</f>
        <v>0</v>
      </c>
      <c r="H737" s="130">
        <f>H429</f>
        <v>861</v>
      </c>
      <c r="I737" s="130">
        <f>I429</f>
        <v>0</v>
      </c>
      <c r="J737" s="129">
        <f>J429</f>
        <v>1004.573</v>
      </c>
      <c r="K737" s="136">
        <f>K429</f>
        <v>1000.8444</v>
      </c>
      <c r="L737" s="118">
        <f t="shared" si="95"/>
        <v>99.62883732690406</v>
      </c>
      <c r="M737" s="145">
        <f>M429</f>
        <v>0</v>
      </c>
      <c r="N737" s="145">
        <f>N429</f>
        <v>99.62883732690406</v>
      </c>
    </row>
    <row r="738" spans="1:14" ht="15.75" thickBot="1">
      <c r="A738" s="190"/>
      <c r="F738" s="143" t="s">
        <v>485</v>
      </c>
      <c r="G738" s="128">
        <f>G434</f>
        <v>30</v>
      </c>
      <c r="H738" s="128">
        <f>H433</f>
        <v>1353</v>
      </c>
      <c r="I738" s="128">
        <f>I433</f>
        <v>0</v>
      </c>
      <c r="J738" s="127">
        <f>J433</f>
        <v>1678.489</v>
      </c>
      <c r="K738" s="126">
        <f>K433</f>
        <v>1677.5955</v>
      </c>
      <c r="L738" s="118">
        <f t="shared" si="95"/>
        <v>99.94676759871527</v>
      </c>
      <c r="M738" s="142">
        <f>M433</f>
        <v>0</v>
      </c>
      <c r="N738" s="142">
        <f>N433</f>
        <v>199.907817603691</v>
      </c>
    </row>
    <row r="739" spans="6:14" ht="15.75" thickBot="1">
      <c r="F739" s="143" t="s">
        <v>484</v>
      </c>
      <c r="G739" s="128" t="e">
        <f>G439+G678+G99+G206</f>
        <v>#REF!</v>
      </c>
      <c r="H739" s="167">
        <f>H439+H678+H99+H206</f>
        <v>11828.130000000001</v>
      </c>
      <c r="I739" s="167">
        <f>I439+I678+I99+I206</f>
        <v>0</v>
      </c>
      <c r="J739" s="127">
        <f>J439+J678+J99+J206</f>
        <v>16673.910529999997</v>
      </c>
      <c r="K739" s="127">
        <f>K439+K678+K99+K206</f>
        <v>16598.96649</v>
      </c>
      <c r="L739" s="118">
        <f t="shared" si="95"/>
        <v>99.55053111347121</v>
      </c>
      <c r="M739" s="141">
        <f>M439+M678+M99+M206</f>
        <v>-216.864</v>
      </c>
      <c r="N739" s="141" t="e">
        <f>N439+N678+N99+N206</f>
        <v>#DIV/0!</v>
      </c>
    </row>
    <row r="740" spans="6:14" ht="15.75" thickBot="1">
      <c r="F740" s="143" t="s">
        <v>483</v>
      </c>
      <c r="G740" s="128">
        <f>G450</f>
        <v>0</v>
      </c>
      <c r="H740" s="168">
        <f>H452</f>
        <v>0</v>
      </c>
      <c r="I740" s="168">
        <f>I452</f>
        <v>0</v>
      </c>
      <c r="J740" s="127">
        <f>J452</f>
        <v>0</v>
      </c>
      <c r="K740" s="126">
        <f>K452</f>
        <v>0</v>
      </c>
      <c r="L740" s="118" t="e">
        <f t="shared" si="95"/>
        <v>#DIV/0!</v>
      </c>
      <c r="M740" s="172">
        <f>M452</f>
        <v>0</v>
      </c>
      <c r="N740" s="172" t="e">
        <f>N452</f>
        <v>#DIV/0!</v>
      </c>
    </row>
    <row r="741" spans="6:14" ht="15.75" thickBot="1">
      <c r="F741" s="143" t="s">
        <v>482</v>
      </c>
      <c r="G741" s="128">
        <f>G215</f>
        <v>412.31000000000006</v>
      </c>
      <c r="H741" s="128">
        <f>H215</f>
        <v>2981.6</v>
      </c>
      <c r="I741" s="128">
        <f>I215</f>
        <v>0</v>
      </c>
      <c r="J741" s="127">
        <f>J215</f>
        <v>3389.87504</v>
      </c>
      <c r="K741" s="126">
        <f>K215</f>
        <v>3376.39137</v>
      </c>
      <c r="L741" s="118">
        <f t="shared" si="95"/>
        <v>99.6022369603335</v>
      </c>
      <c r="M741" s="142">
        <f>M215</f>
        <v>-205.496</v>
      </c>
      <c r="N741" s="141" t="e">
        <f>N215</f>
        <v>#DIV/0!</v>
      </c>
    </row>
    <row r="742" spans="6:14" ht="15.75" thickBot="1">
      <c r="F742" s="143" t="s">
        <v>481</v>
      </c>
      <c r="G742" s="128">
        <f>G455</f>
        <v>0</v>
      </c>
      <c r="H742" s="128">
        <f>H455</f>
        <v>20</v>
      </c>
      <c r="I742" s="128">
        <f>I455</f>
        <v>0</v>
      </c>
      <c r="J742" s="127">
        <f>J455</f>
        <v>134.289</v>
      </c>
      <c r="K742" s="126">
        <f>K455</f>
        <v>134.289</v>
      </c>
      <c r="L742" s="118">
        <f t="shared" si="95"/>
        <v>100</v>
      </c>
      <c r="M742" s="142">
        <f>M455</f>
        <v>0</v>
      </c>
      <c r="N742" s="141">
        <f>N455</f>
        <v>100</v>
      </c>
    </row>
    <row r="743" spans="6:14" ht="15.75" hidden="1" thickBot="1">
      <c r="F743" s="160" t="s">
        <v>480</v>
      </c>
      <c r="G743" s="159">
        <f>G219</f>
        <v>0</v>
      </c>
      <c r="H743" s="159">
        <f>H219</f>
        <v>63</v>
      </c>
      <c r="I743" s="159">
        <f>I219</f>
        <v>0</v>
      </c>
      <c r="J743" s="158">
        <f>J219</f>
        <v>0</v>
      </c>
      <c r="K743" s="157">
        <f>K219</f>
        <v>0</v>
      </c>
      <c r="L743" s="118" t="e">
        <f t="shared" si="95"/>
        <v>#DIV/0!</v>
      </c>
      <c r="M743" s="142">
        <f>M219</f>
        <v>0</v>
      </c>
      <c r="N743" s="141" t="e">
        <f>N219</f>
        <v>#DIV/0!</v>
      </c>
    </row>
    <row r="744" spans="6:14" ht="15.75" hidden="1" thickBot="1">
      <c r="F744" s="160" t="s">
        <v>480</v>
      </c>
      <c r="G744" s="159"/>
      <c r="H744" s="159"/>
      <c r="I744" s="159"/>
      <c r="J744" s="158">
        <f>J223</f>
        <v>0</v>
      </c>
      <c r="K744" s="158">
        <f>K223</f>
        <v>0</v>
      </c>
      <c r="L744" s="118" t="e">
        <f t="shared" si="95"/>
        <v>#DIV/0!</v>
      </c>
      <c r="M744" s="164">
        <f>M223</f>
        <v>0</v>
      </c>
      <c r="N744" s="164">
        <f>N223</f>
        <v>0</v>
      </c>
    </row>
    <row r="745" spans="6:14" ht="15.75" hidden="1" thickBot="1">
      <c r="F745" s="143" t="s">
        <v>479</v>
      </c>
      <c r="G745" s="128">
        <f>G227</f>
        <v>-233.58</v>
      </c>
      <c r="H745" s="128">
        <f>H227</f>
        <v>0</v>
      </c>
      <c r="I745" s="128">
        <f>I227</f>
        <v>0</v>
      </c>
      <c r="J745" s="127"/>
      <c r="K745" s="126"/>
      <c r="L745" s="118" t="e">
        <f t="shared" si="95"/>
        <v>#DIV/0!</v>
      </c>
      <c r="M745" s="142">
        <f>M227</f>
        <v>-323</v>
      </c>
      <c r="N745" s="141" t="e">
        <f>N227</f>
        <v>#DIV/0!</v>
      </c>
    </row>
    <row r="746" spans="6:14" ht="15.75" thickBot="1">
      <c r="F746" s="143" t="s">
        <v>478</v>
      </c>
      <c r="G746" s="128"/>
      <c r="H746" s="128"/>
      <c r="I746" s="128"/>
      <c r="J746" s="127">
        <f>J461+J227</f>
        <v>2272.63</v>
      </c>
      <c r="K746" s="127">
        <f>K461+K227</f>
        <v>2241.28654</v>
      </c>
      <c r="L746" s="118">
        <f t="shared" si="95"/>
        <v>98.6208287314697</v>
      </c>
      <c r="M746" s="142"/>
      <c r="N746" s="141"/>
    </row>
    <row r="747" spans="6:14" ht="15.75" thickBot="1">
      <c r="F747" s="153" t="s">
        <v>477</v>
      </c>
      <c r="G747" s="125">
        <f>G231+G471</f>
        <v>-1000</v>
      </c>
      <c r="H747" s="125">
        <f>H231+H471</f>
        <v>1813.4</v>
      </c>
      <c r="I747" s="125">
        <f>I231+I471</f>
        <v>0</v>
      </c>
      <c r="J747" s="124">
        <f>J471</f>
        <v>0</v>
      </c>
      <c r="K747" s="135">
        <f>K471</f>
        <v>0</v>
      </c>
      <c r="L747" s="118" t="e">
        <f t="shared" si="95"/>
        <v>#DIV/0!</v>
      </c>
      <c r="M747" s="152">
        <f>M231+M471</f>
        <v>-88</v>
      </c>
      <c r="N747" s="151" t="e">
        <f>N231+N471</f>
        <v>#DIV/0!</v>
      </c>
    </row>
    <row r="748" spans="6:14" ht="15.75" thickBot="1">
      <c r="F748" s="189" t="s">
        <v>358</v>
      </c>
      <c r="G748" s="188"/>
      <c r="H748" s="188"/>
      <c r="I748" s="188"/>
      <c r="J748" s="132">
        <f>J749</f>
        <v>561.1</v>
      </c>
      <c r="K748" s="149">
        <f>K749</f>
        <v>561.1</v>
      </c>
      <c r="L748" s="118">
        <f t="shared" si="95"/>
        <v>100</v>
      </c>
      <c r="M748" s="131"/>
      <c r="N748" s="122"/>
    </row>
    <row r="749" spans="6:14" ht="15.75" thickBot="1">
      <c r="F749" s="178" t="s">
        <v>476</v>
      </c>
      <c r="G749" s="138"/>
      <c r="H749" s="138"/>
      <c r="I749" s="138"/>
      <c r="J749" s="137">
        <f>J232</f>
        <v>561.1</v>
      </c>
      <c r="K749" s="137">
        <f>K232</f>
        <v>561.1</v>
      </c>
      <c r="L749" s="118">
        <f t="shared" si="95"/>
        <v>100</v>
      </c>
      <c r="M749" s="123"/>
      <c r="N749" s="122"/>
    </row>
    <row r="750" spans="5:14" ht="15.75" thickBot="1">
      <c r="E750" s="110">
        <f>SUM(H751:H752)</f>
        <v>583.7</v>
      </c>
      <c r="F750" s="150" t="s">
        <v>360</v>
      </c>
      <c r="G750" s="133">
        <f>G477+G421</f>
        <v>0</v>
      </c>
      <c r="H750" s="133">
        <f>H477+H421</f>
        <v>583.7</v>
      </c>
      <c r="I750" s="133">
        <f>I477+I421</f>
        <v>0</v>
      </c>
      <c r="J750" s="132">
        <f>J751+J752+J753</f>
        <v>735</v>
      </c>
      <c r="K750" s="132">
        <f>K751+K752+K753</f>
        <v>720</v>
      </c>
      <c r="L750" s="118">
        <f t="shared" si="95"/>
        <v>97.95918367346938</v>
      </c>
      <c r="M750" s="187">
        <f>M477+M421+M237</f>
        <v>0</v>
      </c>
      <c r="N750" s="147" t="e">
        <f>N477+N421+N237</f>
        <v>#DIV/0!</v>
      </c>
    </row>
    <row r="751" spans="6:14" ht="15.75" thickBot="1">
      <c r="F751" s="146" t="s">
        <v>475</v>
      </c>
      <c r="G751" s="130">
        <f>G422</f>
        <v>0</v>
      </c>
      <c r="H751" s="130">
        <f>H422</f>
        <v>526.1</v>
      </c>
      <c r="I751" s="130">
        <f>I422</f>
        <v>0</v>
      </c>
      <c r="J751" s="129">
        <f>J422+J238</f>
        <v>700</v>
      </c>
      <c r="K751" s="136">
        <f>K422+K238</f>
        <v>700</v>
      </c>
      <c r="L751" s="118">
        <f t="shared" si="95"/>
        <v>100</v>
      </c>
      <c r="M751" s="144">
        <f>M422+M238</f>
        <v>0</v>
      </c>
      <c r="N751" s="144" t="e">
        <f>N422+N238</f>
        <v>#DIV/0!</v>
      </c>
    </row>
    <row r="752" spans="6:14" ht="15.75" thickBot="1">
      <c r="F752" s="143" t="s">
        <v>474</v>
      </c>
      <c r="G752" s="128">
        <f>G478</f>
        <v>0</v>
      </c>
      <c r="H752" s="128">
        <f>H478</f>
        <v>57.6</v>
      </c>
      <c r="I752" s="128">
        <f>I478</f>
        <v>0</v>
      </c>
      <c r="J752" s="127">
        <f>J478</f>
        <v>20</v>
      </c>
      <c r="K752" s="126">
        <f>K478</f>
        <v>20</v>
      </c>
      <c r="L752" s="118">
        <f t="shared" si="95"/>
        <v>100</v>
      </c>
      <c r="M752" s="152">
        <f>M478</f>
        <v>0</v>
      </c>
      <c r="N752" s="151">
        <f>N478</f>
        <v>100</v>
      </c>
    </row>
    <row r="753" spans="6:14" ht="15.75" thickBot="1">
      <c r="F753" s="186" t="s">
        <v>473</v>
      </c>
      <c r="G753" s="138"/>
      <c r="H753" s="138"/>
      <c r="I753" s="138"/>
      <c r="J753" s="140">
        <f>J482</f>
        <v>15</v>
      </c>
      <c r="K753" s="140">
        <f>K482</f>
        <v>0</v>
      </c>
      <c r="L753" s="118">
        <f t="shared" si="95"/>
        <v>0</v>
      </c>
      <c r="M753" s="123"/>
      <c r="N753" s="122"/>
    </row>
    <row r="754" spans="5:14" ht="15.75" thickBot="1">
      <c r="E754" s="110" t="e">
        <f>SUM(H756:H759)</f>
        <v>#REF!</v>
      </c>
      <c r="F754" s="185" t="s">
        <v>362</v>
      </c>
      <c r="G754" s="184" t="e">
        <f>G243+G485</f>
        <v>#REF!</v>
      </c>
      <c r="H754" s="184" t="e">
        <f>H243+H485</f>
        <v>#REF!</v>
      </c>
      <c r="I754" s="184" t="e">
        <f>I243+I485</f>
        <v>#REF!</v>
      </c>
      <c r="J754" s="183">
        <f>J755+J756+J759</f>
        <v>18569.313580000002</v>
      </c>
      <c r="K754" s="183">
        <f>K755+K756+K759</f>
        <v>18448.293279999998</v>
      </c>
      <c r="L754" s="118">
        <f t="shared" si="95"/>
        <v>99.34827800996183</v>
      </c>
      <c r="M754" s="182" t="e">
        <f>M755+M756+M759</f>
        <v>#REF!</v>
      </c>
      <c r="N754" s="182" t="e">
        <f>N755+N756+N759</f>
        <v>#REF!</v>
      </c>
    </row>
    <row r="755" spans="6:14" ht="15.75" thickBot="1">
      <c r="F755" s="181" t="s">
        <v>472</v>
      </c>
      <c r="G755" s="128"/>
      <c r="H755" s="128"/>
      <c r="I755" s="128"/>
      <c r="J755" s="180">
        <f>J244+J486+J683</f>
        <v>669.12058</v>
      </c>
      <c r="K755" s="180">
        <f>K244+K486+K683</f>
        <v>669.12056</v>
      </c>
      <c r="L755" s="118">
        <f t="shared" si="95"/>
        <v>99.99999701100211</v>
      </c>
      <c r="M755" s="180" t="e">
        <f>M244+M486+M683</f>
        <v>#REF!</v>
      </c>
      <c r="N755" s="180" t="e">
        <f>N244+N486+N683</f>
        <v>#REF!</v>
      </c>
    </row>
    <row r="756" spans="6:14" ht="15.75" thickBot="1">
      <c r="F756" s="146" t="s">
        <v>471</v>
      </c>
      <c r="G756" s="130" t="e">
        <f>G244+G489</f>
        <v>#REF!</v>
      </c>
      <c r="H756" s="179" t="e">
        <f>H244+H489</f>
        <v>#REF!</v>
      </c>
      <c r="I756" s="130" t="e">
        <f>I244+I489</f>
        <v>#REF!</v>
      </c>
      <c r="J756" s="136">
        <f>J489</f>
        <v>3348.631</v>
      </c>
      <c r="K756" s="136">
        <f>K489</f>
        <v>3282.111</v>
      </c>
      <c r="L756" s="118">
        <f t="shared" si="95"/>
        <v>98.01351656841258</v>
      </c>
      <c r="M756" s="145" t="e">
        <f>M244+M489</f>
        <v>#REF!</v>
      </c>
      <c r="N756" s="144" t="e">
        <f>N244+N489</f>
        <v>#REF!</v>
      </c>
    </row>
    <row r="757" spans="6:14" ht="15.75" hidden="1" thickBot="1">
      <c r="F757" s="143" t="s">
        <v>470</v>
      </c>
      <c r="G757" s="138">
        <f>G492</f>
        <v>786.5</v>
      </c>
      <c r="H757" s="138">
        <f>H492</f>
        <v>0</v>
      </c>
      <c r="I757" s="138">
        <f>I492</f>
        <v>0</v>
      </c>
      <c r="J757" s="127">
        <f>J492</f>
        <v>0</v>
      </c>
      <c r="K757" s="126">
        <f>K492</f>
        <v>0</v>
      </c>
      <c r="L757" s="118" t="e">
        <f t="shared" si="95"/>
        <v>#DIV/0!</v>
      </c>
      <c r="M757" s="123">
        <f>M492</f>
        <v>0</v>
      </c>
      <c r="N757" s="122" t="e">
        <f>N492</f>
        <v>#DIV/0!</v>
      </c>
    </row>
    <row r="758" spans="6:14" ht="15.75" hidden="1" thickBot="1">
      <c r="F758" s="178" t="s">
        <v>469</v>
      </c>
      <c r="G758" s="138"/>
      <c r="H758" s="177">
        <f>H495</f>
        <v>0</v>
      </c>
      <c r="I758" s="177">
        <f>I495</f>
        <v>0</v>
      </c>
      <c r="J758" s="137">
        <f>J495</f>
        <v>0</v>
      </c>
      <c r="K758" s="140">
        <f>K495</f>
        <v>0</v>
      </c>
      <c r="L758" s="118" t="e">
        <f t="shared" si="95"/>
        <v>#DIV/0!</v>
      </c>
      <c r="M758" s="176">
        <f>M495</f>
        <v>0</v>
      </c>
      <c r="N758" s="122" t="e">
        <f>N495</f>
        <v>#DIV/0!</v>
      </c>
    </row>
    <row r="759" spans="6:14" ht="15.75" thickBot="1">
      <c r="F759" s="153" t="s">
        <v>468</v>
      </c>
      <c r="G759" s="125">
        <f>G498+G248</f>
        <v>3300</v>
      </c>
      <c r="H759" s="125">
        <f>H498+H248</f>
        <v>2170</v>
      </c>
      <c r="I759" s="125">
        <f>I498+I248</f>
        <v>0</v>
      </c>
      <c r="J759" s="124">
        <f>J498+J248</f>
        <v>14551.562</v>
      </c>
      <c r="K759" s="135">
        <f>K498+K248</f>
        <v>14497.06172</v>
      </c>
      <c r="L759" s="118">
        <f t="shared" si="95"/>
        <v>99.62546783637384</v>
      </c>
      <c r="M759" s="152">
        <f>M498+M248</f>
        <v>0</v>
      </c>
      <c r="N759" s="151" t="e">
        <f>N498+N248</f>
        <v>#DIV/0!</v>
      </c>
    </row>
    <row r="760" spans="5:14" ht="15.75" thickBot="1">
      <c r="E760" s="110">
        <f>SUM(H761:H764)</f>
        <v>1667</v>
      </c>
      <c r="F760" s="175" t="s">
        <v>364</v>
      </c>
      <c r="G760" s="133">
        <f>G510</f>
        <v>-1048.5</v>
      </c>
      <c r="H760" s="174">
        <f>H510+H257</f>
        <v>1667</v>
      </c>
      <c r="I760" s="174">
        <f>I510+I257</f>
        <v>31353.699999999997</v>
      </c>
      <c r="J760" s="132">
        <f>J761+J762+J763+J764</f>
        <v>33611.15759</v>
      </c>
      <c r="K760" s="149">
        <f>K761+K762+K763+K764</f>
        <v>33592.9666</v>
      </c>
      <c r="L760" s="118">
        <f t="shared" si="95"/>
        <v>99.94587812112304</v>
      </c>
      <c r="M760" s="173">
        <f>M510+M257</f>
        <v>550</v>
      </c>
      <c r="N760" s="173" t="e">
        <f>N510+N257</f>
        <v>#DIV/0!</v>
      </c>
    </row>
    <row r="761" spans="6:14" ht="15.75" thickBot="1">
      <c r="F761" s="146" t="s">
        <v>467</v>
      </c>
      <c r="G761" s="130">
        <f>G512</f>
        <v>-40</v>
      </c>
      <c r="H761" s="170">
        <f>H512+H263</f>
        <v>0</v>
      </c>
      <c r="I761" s="170">
        <f>I512+I263</f>
        <v>31353.699999999997</v>
      </c>
      <c r="J761" s="129">
        <f>J511</f>
        <v>1319.7900000000002</v>
      </c>
      <c r="K761" s="129">
        <f>K511</f>
        <v>1319.7900000000002</v>
      </c>
      <c r="L761" s="118">
        <f t="shared" si="95"/>
        <v>100</v>
      </c>
      <c r="M761" s="169">
        <f>M512+M263</f>
        <v>0</v>
      </c>
      <c r="N761" s="169" t="e">
        <f>N512+N263</f>
        <v>#DIV/0!</v>
      </c>
    </row>
    <row r="762" spans="6:14" ht="15.75" thickBot="1">
      <c r="F762" s="143" t="s">
        <v>466</v>
      </c>
      <c r="G762" s="128">
        <f>G523</f>
        <v>2000</v>
      </c>
      <c r="H762" s="128">
        <f>H523</f>
        <v>1667</v>
      </c>
      <c r="I762" s="168">
        <f>I523</f>
        <v>0</v>
      </c>
      <c r="J762" s="126">
        <f>J523+J258</f>
        <v>29952.766</v>
      </c>
      <c r="K762" s="126">
        <f>K523+K258</f>
        <v>29935.576599999997</v>
      </c>
      <c r="L762" s="118">
        <f t="shared" si="95"/>
        <v>99.94261164394634</v>
      </c>
      <c r="M762" s="172">
        <f>M523</f>
        <v>550</v>
      </c>
      <c r="N762" s="141" t="e">
        <f>N523</f>
        <v>#DIV/0!</v>
      </c>
    </row>
    <row r="763" spans="6:14" ht="15.75" thickBot="1">
      <c r="F763" s="143" t="s">
        <v>465</v>
      </c>
      <c r="G763" s="128">
        <f>G560</f>
        <v>-786.5</v>
      </c>
      <c r="H763" s="128">
        <f>H560</f>
        <v>0</v>
      </c>
      <c r="I763" s="128">
        <f>I560</f>
        <v>0</v>
      </c>
      <c r="J763" s="127">
        <f>J560+J263</f>
        <v>2338.60159</v>
      </c>
      <c r="K763" s="127">
        <f>K560+K263</f>
        <v>2337.6</v>
      </c>
      <c r="L763" s="118">
        <f t="shared" si="95"/>
        <v>99.95717141370795</v>
      </c>
      <c r="M763" s="142">
        <f>M560</f>
        <v>0</v>
      </c>
      <c r="N763" s="141">
        <f>N560</f>
        <v>99.99910975036673</v>
      </c>
    </row>
    <row r="764" spans="6:14" ht="15.75" thickBot="1">
      <c r="F764" s="153" t="s">
        <v>464</v>
      </c>
      <c r="G764" s="125">
        <f>G566</f>
        <v>-2222</v>
      </c>
      <c r="H764" s="125">
        <f>H566</f>
        <v>0</v>
      </c>
      <c r="I764" s="125">
        <f>I566</f>
        <v>0</v>
      </c>
      <c r="J764" s="124">
        <f>J566</f>
        <v>0</v>
      </c>
      <c r="K764" s="135">
        <f>K566</f>
        <v>0</v>
      </c>
      <c r="L764" s="118" t="e">
        <f t="shared" si="95"/>
        <v>#DIV/0!</v>
      </c>
      <c r="M764" s="152">
        <f>M566</f>
        <v>0</v>
      </c>
      <c r="N764" s="151" t="e">
        <f>N566</f>
        <v>#DIV/0!</v>
      </c>
    </row>
    <row r="765" spans="5:14" ht="15.75" thickBot="1">
      <c r="E765" s="171">
        <f>SUM(J766:J770)</f>
        <v>322215.63165</v>
      </c>
      <c r="F765" s="150" t="s">
        <v>368</v>
      </c>
      <c r="G765" s="120" t="e">
        <f>G13+G105+G268+G327+G572</f>
        <v>#REF!</v>
      </c>
      <c r="H765" s="120">
        <f>H13+H105+H268+H327+H572</f>
        <v>147822.10999999996</v>
      </c>
      <c r="I765" s="120">
        <f>I13+I105+I268+I327+I572</f>
        <v>0</v>
      </c>
      <c r="J765" s="132">
        <f>J766+J767+J768+J769+J770</f>
        <v>322215.63165</v>
      </c>
      <c r="K765" s="149">
        <f>K766+K767+K768+K769+K770</f>
        <v>318600.4370599999</v>
      </c>
      <c r="L765" s="118">
        <f t="shared" si="95"/>
        <v>98.87802010986016</v>
      </c>
      <c r="M765" s="147">
        <f>M13+M105+M268+M327+M572+M686</f>
        <v>1156.3000000000002</v>
      </c>
      <c r="N765" s="147" t="e">
        <f>N13+N105+N268+N327+N572+N686</f>
        <v>#DIV/0!</v>
      </c>
    </row>
    <row r="766" spans="6:14" ht="15.75" thickBot="1">
      <c r="F766" s="146" t="s">
        <v>463</v>
      </c>
      <c r="G766" s="130">
        <f>G106</f>
        <v>-926.36</v>
      </c>
      <c r="H766" s="170">
        <f>H106+H573</f>
        <v>4401</v>
      </c>
      <c r="I766" s="170">
        <f>I106+I573</f>
        <v>0</v>
      </c>
      <c r="J766" s="129">
        <f>J106+J573</f>
        <v>404.38</v>
      </c>
      <c r="K766" s="136">
        <f>K106+K573</f>
        <v>404.38</v>
      </c>
      <c r="L766" s="118">
        <f t="shared" si="95"/>
        <v>100</v>
      </c>
      <c r="M766" s="169">
        <f>M106+M573</f>
        <v>805.6</v>
      </c>
      <c r="N766" s="169" t="e">
        <f>N106+N573</f>
        <v>#DIV/0!</v>
      </c>
    </row>
    <row r="767" spans="6:14" ht="15.75" thickBot="1">
      <c r="F767" s="143" t="s">
        <v>462</v>
      </c>
      <c r="G767" s="167" t="e">
        <f>G111+#REF!</f>
        <v>#REF!</v>
      </c>
      <c r="H767" s="167">
        <f>H111</f>
        <v>135780.43999999997</v>
      </c>
      <c r="I767" s="167">
        <f>I111</f>
        <v>0</v>
      </c>
      <c r="J767" s="127">
        <f>J111+J577</f>
        <v>310589.48796999996</v>
      </c>
      <c r="K767" s="126">
        <f>K111+K577</f>
        <v>307481.52045999997</v>
      </c>
      <c r="L767" s="118">
        <f t="shared" si="95"/>
        <v>98.99933267854185</v>
      </c>
      <c r="M767" s="141">
        <f>M111+M577</f>
        <v>1721.3940000000002</v>
      </c>
      <c r="N767" s="141" t="e">
        <f>N111+N577</f>
        <v>#DIV/0!</v>
      </c>
    </row>
    <row r="768" spans="6:14" ht="15.75" thickBot="1">
      <c r="F768" s="143" t="s">
        <v>461</v>
      </c>
      <c r="G768" s="168" t="e">
        <f>G14+G146+G328+G595+G269</f>
        <v>#REF!</v>
      </c>
      <c r="H768" s="167">
        <f>H14+H146+H328+H595+H269</f>
        <v>460.3</v>
      </c>
      <c r="I768" s="167">
        <f>I14+I146+I328+I595+I269</f>
        <v>0</v>
      </c>
      <c r="J768" s="127">
        <f>J14+J146+J328+J595+J269</f>
        <v>468.4599999999999</v>
      </c>
      <c r="K768" s="126">
        <f>K14+K146+K328+K595+K269</f>
        <v>401.953</v>
      </c>
      <c r="L768" s="118">
        <f aca="true" t="shared" si="96" ref="L768:L799">K768/J768*100</f>
        <v>85.80305682448875</v>
      </c>
      <c r="M768" s="141">
        <f>M14+M146+M328+M595+M269</f>
        <v>44.61</v>
      </c>
      <c r="N768" s="141" t="e">
        <f>N14+N146+N328+N595+N269</f>
        <v>#DIV/0!</v>
      </c>
    </row>
    <row r="769" spans="6:14" ht="15.75" thickBot="1">
      <c r="F769" s="143" t="s">
        <v>460</v>
      </c>
      <c r="G769" s="128">
        <f>G154+G601</f>
        <v>821</v>
      </c>
      <c r="H769" s="128">
        <f>H154+H601+H334</f>
        <v>665.72</v>
      </c>
      <c r="I769" s="128">
        <f>I154+I601+I334</f>
        <v>0</v>
      </c>
      <c r="J769" s="127">
        <f>J154+J601+J334+J687</f>
        <v>3491.3017</v>
      </c>
      <c r="K769" s="126">
        <f>K154+K601+K334+K687</f>
        <v>3324.7913</v>
      </c>
      <c r="L769" s="118">
        <f t="shared" si="96"/>
        <v>95.23070721731095</v>
      </c>
      <c r="M769" s="141">
        <f>M154+M601+M334+M687</f>
        <v>720</v>
      </c>
      <c r="N769" s="141" t="e">
        <f>N154+N601+N334+N687</f>
        <v>#DIV/0!</v>
      </c>
    </row>
    <row r="770" spans="6:14" ht="15.75" thickBot="1">
      <c r="F770" s="153" t="s">
        <v>459</v>
      </c>
      <c r="G770" s="125">
        <f>G161</f>
        <v>878.1</v>
      </c>
      <c r="H770" s="125">
        <f>H161</f>
        <v>6514.65</v>
      </c>
      <c r="I770" s="125">
        <f>I161</f>
        <v>0</v>
      </c>
      <c r="J770" s="124">
        <f>J161+J604</f>
        <v>7262.00198</v>
      </c>
      <c r="K770" s="124">
        <f>K161+K604</f>
        <v>6987.7923</v>
      </c>
      <c r="L770" s="118">
        <f t="shared" si="96"/>
        <v>96.22404839939193</v>
      </c>
      <c r="M770" s="152">
        <f>M161</f>
        <v>-2135.304</v>
      </c>
      <c r="N770" s="151" t="e">
        <f>N161</f>
        <v>#DIV/0!</v>
      </c>
    </row>
    <row r="771" spans="5:14" ht="15.75" thickBot="1">
      <c r="E771" s="166">
        <f>SUM(J772:J775)</f>
        <v>8621.851200000001</v>
      </c>
      <c r="F771" s="150" t="s">
        <v>386</v>
      </c>
      <c r="G771" s="133">
        <f>G607+G697</f>
        <v>216.57999999999998</v>
      </c>
      <c r="H771" s="133">
        <f>H607+H697</f>
        <v>6311.15</v>
      </c>
      <c r="I771" s="133">
        <f>I607+I697</f>
        <v>0</v>
      </c>
      <c r="J771" s="132">
        <f>J772+J773+J775+J774</f>
        <v>8621.851200000001</v>
      </c>
      <c r="K771" s="132">
        <f>K772+K773+K775+K774</f>
        <v>8615.03987</v>
      </c>
      <c r="L771" s="118">
        <f t="shared" si="96"/>
        <v>99.92099921650237</v>
      </c>
      <c r="M771" s="148">
        <f>M607+M697</f>
        <v>-101</v>
      </c>
      <c r="N771" s="147" t="e">
        <f>N607+N697</f>
        <v>#DIV/0!</v>
      </c>
    </row>
    <row r="772" spans="6:14" ht="15.75" thickBot="1">
      <c r="F772" s="146" t="s">
        <v>458</v>
      </c>
      <c r="G772" s="130">
        <f>G698</f>
        <v>137.57999999999998</v>
      </c>
      <c r="H772" s="130">
        <f>H698</f>
        <v>3820.25</v>
      </c>
      <c r="I772" s="165">
        <f>I698</f>
        <v>0</v>
      </c>
      <c r="J772" s="136">
        <f>J698+J608+J276</f>
        <v>6218.95565</v>
      </c>
      <c r="K772" s="136">
        <f>K698+K608+K276</f>
        <v>6218.95512</v>
      </c>
      <c r="L772" s="118">
        <f t="shared" si="96"/>
        <v>99.99999147766876</v>
      </c>
      <c r="M772" s="144">
        <f>M698+M608</f>
        <v>51</v>
      </c>
      <c r="N772" s="144" t="e">
        <f>N698+N608</f>
        <v>#DIV/0!</v>
      </c>
    </row>
    <row r="773" spans="6:14" ht="15.75" thickBot="1">
      <c r="F773" s="160" t="s">
        <v>457</v>
      </c>
      <c r="G773" s="159">
        <f>G614</f>
        <v>0</v>
      </c>
      <c r="H773" s="164">
        <f>H614</f>
        <v>666</v>
      </c>
      <c r="I773" s="164">
        <f>I614</f>
        <v>0</v>
      </c>
      <c r="J773" s="158">
        <f>J614</f>
        <v>0</v>
      </c>
      <c r="K773" s="158">
        <f>K614</f>
        <v>0</v>
      </c>
      <c r="L773" s="118" t="e">
        <f t="shared" si="96"/>
        <v>#DIV/0!</v>
      </c>
      <c r="M773" s="141">
        <f>M614</f>
        <v>20</v>
      </c>
      <c r="N773" s="141" t="e">
        <f>N614</f>
        <v>#DIV/0!</v>
      </c>
    </row>
    <row r="774" spans="6:14" ht="15.75" thickBot="1">
      <c r="F774" s="156" t="s">
        <v>457</v>
      </c>
      <c r="G774" s="155"/>
      <c r="H774" s="163"/>
      <c r="I774" s="163"/>
      <c r="J774" s="154">
        <f>J715+J618</f>
        <v>2402.89555</v>
      </c>
      <c r="K774" s="154">
        <f>K715+K618</f>
        <v>2396.08475</v>
      </c>
      <c r="L774" s="118">
        <f t="shared" si="96"/>
        <v>99.7165586327712</v>
      </c>
      <c r="M774" s="151"/>
      <c r="N774" s="151"/>
    </row>
    <row r="775" spans="6:14" ht="15.75" thickBot="1">
      <c r="F775" s="153" t="s">
        <v>456</v>
      </c>
      <c r="G775" s="125">
        <f>G719+G622</f>
        <v>79</v>
      </c>
      <c r="H775" s="162">
        <f>H719+H622</f>
        <v>1824.9</v>
      </c>
      <c r="I775" s="162">
        <f>I719+I622</f>
        <v>0</v>
      </c>
      <c r="J775" s="124">
        <f>J719+J622</f>
        <v>0</v>
      </c>
      <c r="K775" s="135">
        <f>K719+K622</f>
        <v>0</v>
      </c>
      <c r="L775" s="118" t="e">
        <f t="shared" si="96"/>
        <v>#DIV/0!</v>
      </c>
      <c r="M775" s="151">
        <f>M719+M622</f>
        <v>-172</v>
      </c>
      <c r="N775" s="151" t="e">
        <f>N719+N622</f>
        <v>#DIV/0!</v>
      </c>
    </row>
    <row r="776" spans="5:14" ht="15.75" thickBot="1">
      <c r="E776" s="110" t="e">
        <f>SUM(H777:H782)</f>
        <v>#REF!</v>
      </c>
      <c r="F776" s="150" t="s">
        <v>378</v>
      </c>
      <c r="G776" s="133" t="e">
        <f>G20+G626</f>
        <v>#REF!</v>
      </c>
      <c r="H776" s="120" t="e">
        <f>H20+H626+H723</f>
        <v>#REF!</v>
      </c>
      <c r="I776" s="120" t="e">
        <f>I20+I626+I723</f>
        <v>#REF!</v>
      </c>
      <c r="J776" s="132">
        <f>J777+J778+J779+J780+J781+J782</f>
        <v>113644.05485000001</v>
      </c>
      <c r="K776" s="149">
        <f>K777+K778+K779+K780+K781+K782</f>
        <v>107932.4008</v>
      </c>
      <c r="L776" s="118">
        <f t="shared" si="96"/>
        <v>94.97408460342348</v>
      </c>
      <c r="M776" s="161" t="e">
        <f>M20+M626+M723</f>
        <v>#REF!</v>
      </c>
      <c r="N776" s="147" t="e">
        <f>N20+N626+N723</f>
        <v>#DIV/0!</v>
      </c>
    </row>
    <row r="777" spans="6:14" ht="15.75" thickBot="1">
      <c r="F777" s="146" t="s">
        <v>455</v>
      </c>
      <c r="G777" s="129" t="e">
        <f>G21+G284+G627</f>
        <v>#REF!</v>
      </c>
      <c r="H777" s="129" t="e">
        <f>H21+H284+H627</f>
        <v>#REF!</v>
      </c>
      <c r="I777" s="129" t="e">
        <f>I21+I284+I627</f>
        <v>#REF!</v>
      </c>
      <c r="J777" s="129">
        <f>J21+J284+J627</f>
        <v>107088.45785</v>
      </c>
      <c r="K777" s="129">
        <f>K21+K284+K627</f>
        <v>101902.89715</v>
      </c>
      <c r="L777" s="118">
        <f t="shared" si="96"/>
        <v>95.15768477377509</v>
      </c>
      <c r="M777" s="145">
        <f>M21</f>
        <v>-1006.6600000000001</v>
      </c>
      <c r="N777" s="144" t="e">
        <f>N21</f>
        <v>#DIV/0!</v>
      </c>
    </row>
    <row r="778" spans="6:14" ht="15.75" thickBot="1">
      <c r="F778" s="143" t="s">
        <v>454</v>
      </c>
      <c r="G778" s="128" t="e">
        <f>G40+G627</f>
        <v>#REF!</v>
      </c>
      <c r="H778" s="128" t="e">
        <f>H40+H627</f>
        <v>#REF!</v>
      </c>
      <c r="I778" s="128" t="e">
        <f>I40+I627</f>
        <v>#REF!</v>
      </c>
      <c r="J778" s="126">
        <f>J40</f>
        <v>4961.744000000001</v>
      </c>
      <c r="K778" s="126">
        <f>K40</f>
        <v>4456.505700000001</v>
      </c>
      <c r="L778" s="118">
        <f t="shared" si="96"/>
        <v>89.81732431177424</v>
      </c>
      <c r="M778" s="142" t="e">
        <f>M40+M627</f>
        <v>#REF!</v>
      </c>
      <c r="N778" s="141" t="e">
        <f>N40+N627</f>
        <v>#DIV/0!</v>
      </c>
    </row>
    <row r="779" spans="6:14" ht="15.75" thickBot="1">
      <c r="F779" s="143" t="s">
        <v>453</v>
      </c>
      <c r="G779" s="128">
        <f>G60</f>
        <v>2852</v>
      </c>
      <c r="H779" s="128">
        <f>H60</f>
        <v>0</v>
      </c>
      <c r="I779" s="128">
        <f>I60</f>
        <v>0</v>
      </c>
      <c r="J779" s="127">
        <f>J60</f>
        <v>793.853</v>
      </c>
      <c r="K779" s="126">
        <f>K60</f>
        <v>793.45611</v>
      </c>
      <c r="L779" s="118">
        <f t="shared" si="96"/>
        <v>99.95000459782857</v>
      </c>
      <c r="M779" s="142">
        <f>M60</f>
        <v>-1.8800000000000026</v>
      </c>
      <c r="N779" s="141">
        <f>N60</f>
        <v>198.06599401279087</v>
      </c>
    </row>
    <row r="780" spans="3:14" ht="15.75" thickBot="1">
      <c r="C780" s="110" t="s">
        <v>452</v>
      </c>
      <c r="F780" s="160" t="s">
        <v>451</v>
      </c>
      <c r="G780" s="159">
        <f>G634</f>
        <v>0</v>
      </c>
      <c r="H780" s="159">
        <f>H634+H724</f>
        <v>628.8</v>
      </c>
      <c r="I780" s="159">
        <f>I634+I724</f>
        <v>0</v>
      </c>
      <c r="J780" s="158">
        <f>J634+J724</f>
        <v>0</v>
      </c>
      <c r="K780" s="157">
        <f>K634+K724</f>
        <v>0</v>
      </c>
      <c r="L780" s="118" t="e">
        <f t="shared" si="96"/>
        <v>#DIV/0!</v>
      </c>
      <c r="M780" s="142">
        <f>M634+M724</f>
        <v>80</v>
      </c>
      <c r="N780" s="141" t="e">
        <f>N634+N724</f>
        <v>#DIV/0!</v>
      </c>
    </row>
    <row r="781" spans="6:14" ht="15.75" thickBot="1">
      <c r="F781" s="156" t="s">
        <v>450</v>
      </c>
      <c r="G781" s="155"/>
      <c r="H781" s="155"/>
      <c r="I781" s="155"/>
      <c r="J781" s="154">
        <f>J65</f>
        <v>800</v>
      </c>
      <c r="K781" s="154">
        <f>K65</f>
        <v>779.54184</v>
      </c>
      <c r="L781" s="118">
        <f t="shared" si="96"/>
        <v>97.44273</v>
      </c>
      <c r="M781" s="152"/>
      <c r="N781" s="151"/>
    </row>
    <row r="782" spans="6:14" ht="15.75" thickBot="1">
      <c r="F782" s="153" t="s">
        <v>449</v>
      </c>
      <c r="G782" s="125">
        <f>G83</f>
        <v>0</v>
      </c>
      <c r="H782" s="125">
        <f>H83</f>
        <v>1049.66</v>
      </c>
      <c r="I782" s="125">
        <f>I83</f>
        <v>0</v>
      </c>
      <c r="J782" s="124">
        <f>J83</f>
        <v>0</v>
      </c>
      <c r="K782" s="135">
        <f>K83</f>
        <v>0</v>
      </c>
      <c r="L782" s="118" t="e">
        <f t="shared" si="96"/>
        <v>#DIV/0!</v>
      </c>
      <c r="M782" s="152">
        <f>M83</f>
        <v>33</v>
      </c>
      <c r="N782" s="151" t="e">
        <f>N83</f>
        <v>#DIV/0!</v>
      </c>
    </row>
    <row r="783" spans="5:14" ht="15.75" thickBot="1">
      <c r="E783" s="110">
        <f>SUM(H784:H788)</f>
        <v>53413.100000000006</v>
      </c>
      <c r="F783" s="150" t="s">
        <v>420</v>
      </c>
      <c r="G783" s="133" t="e">
        <f>G175+G338+G638</f>
        <v>#REF!</v>
      </c>
      <c r="H783" s="117">
        <f>H175+H338+H638</f>
        <v>53413.100000000006</v>
      </c>
      <c r="I783" s="117">
        <f>I175+I338+I638</f>
        <v>0</v>
      </c>
      <c r="J783" s="132">
        <f>J784+J785+J786+J787+J788</f>
        <v>87609.95951999999</v>
      </c>
      <c r="K783" s="149">
        <f>K784+K785+K786+K787+K788</f>
        <v>86495.7664</v>
      </c>
      <c r="L783" s="118">
        <f t="shared" si="96"/>
        <v>98.72823463667319</v>
      </c>
      <c r="M783" s="147">
        <f>M175+M338+M638</f>
        <v>225.5</v>
      </c>
      <c r="N783" s="147" t="e">
        <f>N175+N338+N638</f>
        <v>#DIV/0!</v>
      </c>
    </row>
    <row r="784" spans="6:14" ht="15.75" thickBot="1">
      <c r="F784" s="146" t="s">
        <v>448</v>
      </c>
      <c r="G784" s="130" t="e">
        <f>G339</f>
        <v>#REF!</v>
      </c>
      <c r="H784" s="130">
        <f>H339</f>
        <v>1925.2</v>
      </c>
      <c r="I784" s="130">
        <f>I339</f>
        <v>0</v>
      </c>
      <c r="J784" s="129">
        <f>J339</f>
        <v>1494.68</v>
      </c>
      <c r="K784" s="136">
        <f>K339</f>
        <v>1416.6019600000002</v>
      </c>
      <c r="L784" s="118">
        <f t="shared" si="96"/>
        <v>94.77627050606151</v>
      </c>
      <c r="M784" s="145">
        <f>M339</f>
        <v>0</v>
      </c>
      <c r="N784" s="144" t="e">
        <f>N339</f>
        <v>#DIV/0!</v>
      </c>
    </row>
    <row r="785" spans="6:14" ht="15.75" thickBot="1">
      <c r="F785" s="143" t="s">
        <v>447</v>
      </c>
      <c r="G785" s="128">
        <f>G346</f>
        <v>6</v>
      </c>
      <c r="H785" s="128">
        <f>H346</f>
        <v>4331.9</v>
      </c>
      <c r="I785" s="128">
        <f>I346</f>
        <v>0</v>
      </c>
      <c r="J785" s="126">
        <f>J346+J639</f>
        <v>8644.28877</v>
      </c>
      <c r="K785" s="126">
        <f>K346+K639</f>
        <v>8497.36262</v>
      </c>
      <c r="L785" s="118">
        <f t="shared" si="96"/>
        <v>98.30030955802972</v>
      </c>
      <c r="M785" s="142">
        <f>M346</f>
        <v>182.5</v>
      </c>
      <c r="N785" s="141" t="e">
        <f>N346</f>
        <v>#DIV/0!</v>
      </c>
    </row>
    <row r="786" spans="6:14" ht="15.75" thickBot="1">
      <c r="F786" s="143" t="s">
        <v>446</v>
      </c>
      <c r="G786" s="128">
        <f>G642+G356+G176</f>
        <v>-3704.64707</v>
      </c>
      <c r="H786" s="128">
        <f>H642+H356+H176</f>
        <v>37803.100000000006</v>
      </c>
      <c r="I786" s="128">
        <f>I642+I356+I176</f>
        <v>0</v>
      </c>
      <c r="J786" s="127">
        <f>J642+J356+J176</f>
        <v>53958.097109999995</v>
      </c>
      <c r="K786" s="126">
        <f>K642+K356+K176</f>
        <v>53269.05353</v>
      </c>
      <c r="L786" s="118">
        <f t="shared" si="96"/>
        <v>98.72300244651827</v>
      </c>
      <c r="M786" s="141">
        <f>M642+M356+M176</f>
        <v>212</v>
      </c>
      <c r="N786" s="141" t="e">
        <f>N642+N356+N176</f>
        <v>#DIV/0!</v>
      </c>
    </row>
    <row r="787" spans="6:14" ht="15.75" thickBot="1">
      <c r="F787" s="153" t="s">
        <v>445</v>
      </c>
      <c r="G787" s="125">
        <f>G180</f>
        <v>5261.5429699999995</v>
      </c>
      <c r="H787" s="125">
        <f>H180</f>
        <v>8194.800000000001</v>
      </c>
      <c r="I787" s="125">
        <f>I180</f>
        <v>0</v>
      </c>
      <c r="J787" s="124">
        <f>J180</f>
        <v>21549.699999999997</v>
      </c>
      <c r="K787" s="135">
        <f>K180</f>
        <v>21354.51885</v>
      </c>
      <c r="L787" s="118">
        <f t="shared" si="96"/>
        <v>99.0942743982515</v>
      </c>
      <c r="M787" s="152">
        <f>M180</f>
        <v>0</v>
      </c>
      <c r="N787" s="151" t="e">
        <f>N180</f>
        <v>#DIV/0!</v>
      </c>
    </row>
    <row r="788" spans="6:14" ht="15.75" thickBot="1">
      <c r="F788" s="153" t="s">
        <v>444</v>
      </c>
      <c r="G788" s="125">
        <f>G408</f>
        <v>75</v>
      </c>
      <c r="H788" s="125">
        <f>H408</f>
        <v>1158.1000000000001</v>
      </c>
      <c r="I788" s="125">
        <f>I408</f>
        <v>0</v>
      </c>
      <c r="J788" s="124">
        <f>J408</f>
        <v>1963.19364</v>
      </c>
      <c r="K788" s="135">
        <f>K408</f>
        <v>1958.22944</v>
      </c>
      <c r="L788" s="118">
        <f t="shared" si="96"/>
        <v>99.74713650763456</v>
      </c>
      <c r="M788" s="152">
        <f>M408</f>
        <v>-169</v>
      </c>
      <c r="N788" s="151" t="e">
        <f>N408</f>
        <v>#DIV/0!</v>
      </c>
    </row>
    <row r="789" spans="5:14" ht="15.75" thickBot="1">
      <c r="E789" s="110" t="e">
        <f>SUM(H790:H793)</f>
        <v>#REF!</v>
      </c>
      <c r="F789" s="150" t="s">
        <v>389</v>
      </c>
      <c r="G789" s="133" t="e">
        <f aca="true" t="shared" si="97" ref="G789:I790">G287</f>
        <v>#REF!</v>
      </c>
      <c r="H789" s="133" t="e">
        <f t="shared" si="97"/>
        <v>#REF!</v>
      </c>
      <c r="I789" s="133" t="e">
        <f t="shared" si="97"/>
        <v>#REF!</v>
      </c>
      <c r="J789" s="132">
        <f>J790+J791+J792+J793</f>
        <v>0</v>
      </c>
      <c r="K789" s="149">
        <f>K790+K791+K792+K793</f>
        <v>0</v>
      </c>
      <c r="L789" s="118" t="e">
        <f t="shared" si="96"/>
        <v>#DIV/0!</v>
      </c>
      <c r="M789" s="148" t="e">
        <f>M287</f>
        <v>#REF!</v>
      </c>
      <c r="N789" s="147" t="e">
        <f>N287</f>
        <v>#DIV/0!</v>
      </c>
    </row>
    <row r="790" spans="6:14" ht="15.75" hidden="1" thickBot="1">
      <c r="F790" s="146" t="s">
        <v>443</v>
      </c>
      <c r="G790" s="130">
        <f t="shared" si="97"/>
        <v>264</v>
      </c>
      <c r="H790" s="130">
        <f t="shared" si="97"/>
        <v>20914.8</v>
      </c>
      <c r="I790" s="130">
        <f t="shared" si="97"/>
        <v>0</v>
      </c>
      <c r="J790" s="129"/>
      <c r="K790" s="136"/>
      <c r="L790" s="118" t="e">
        <f t="shared" si="96"/>
        <v>#DIV/0!</v>
      </c>
      <c r="M790" s="145">
        <f>M288</f>
        <v>8.4</v>
      </c>
      <c r="N790" s="144" t="e">
        <f>N288</f>
        <v>#DIV/0!</v>
      </c>
    </row>
    <row r="791" spans="6:14" ht="15.75" hidden="1" thickBot="1">
      <c r="F791" s="143" t="s">
        <v>442</v>
      </c>
      <c r="G791" s="128">
        <f>G293</f>
        <v>0</v>
      </c>
      <c r="H791" s="128">
        <f>H293</f>
        <v>9363.8</v>
      </c>
      <c r="I791" s="128">
        <f>I293</f>
        <v>0</v>
      </c>
      <c r="J791" s="127"/>
      <c r="K791" s="126"/>
      <c r="L791" s="118" t="e">
        <f t="shared" si="96"/>
        <v>#DIV/0!</v>
      </c>
      <c r="M791" s="142">
        <f>M293</f>
        <v>-768</v>
      </c>
      <c r="N791" s="141" t="e">
        <f>N293</f>
        <v>#DIV/0!</v>
      </c>
    </row>
    <row r="792" spans="6:14" ht="15.75" hidden="1" thickBot="1">
      <c r="F792" s="143" t="s">
        <v>441</v>
      </c>
      <c r="G792" s="128">
        <f>G301</f>
        <v>42.8</v>
      </c>
      <c r="H792" s="128">
        <f>H301</f>
        <v>573.7</v>
      </c>
      <c r="I792" s="128">
        <f>I301</f>
        <v>0</v>
      </c>
      <c r="J792" s="127"/>
      <c r="K792" s="126"/>
      <c r="L792" s="118" t="e">
        <f t="shared" si="96"/>
        <v>#DIV/0!</v>
      </c>
      <c r="M792" s="142">
        <f>M301</f>
        <v>0</v>
      </c>
      <c r="N792" s="141" t="e">
        <f>N301</f>
        <v>#DIV/0!</v>
      </c>
    </row>
    <row r="793" spans="6:14" ht="15.75" hidden="1" thickBot="1">
      <c r="F793" s="138">
        <v>1104</v>
      </c>
      <c r="G793" s="138" t="e">
        <f>G306</f>
        <v>#REF!</v>
      </c>
      <c r="H793" s="138" t="e">
        <f>H306</f>
        <v>#REF!</v>
      </c>
      <c r="I793" s="138" t="e">
        <f>I306</f>
        <v>#REF!</v>
      </c>
      <c r="J793" s="137"/>
      <c r="K793" s="140"/>
      <c r="L793" s="118" t="e">
        <f t="shared" si="96"/>
        <v>#DIV/0!</v>
      </c>
      <c r="M793" s="123" t="e">
        <f>M306</f>
        <v>#REF!</v>
      </c>
      <c r="N793" s="122" t="e">
        <f>N306</f>
        <v>#REF!</v>
      </c>
    </row>
    <row r="794" spans="6:14" ht="15.75" thickBot="1">
      <c r="F794" s="139">
        <v>11</v>
      </c>
      <c r="G794" s="133"/>
      <c r="H794" s="133"/>
      <c r="I794" s="133"/>
      <c r="J794" s="132">
        <f>J795</f>
        <v>1358.183</v>
      </c>
      <c r="K794" s="132">
        <f>K795</f>
        <v>1358.183</v>
      </c>
      <c r="L794" s="118">
        <f t="shared" si="96"/>
        <v>100</v>
      </c>
      <c r="M794" s="131"/>
      <c r="N794" s="122"/>
    </row>
    <row r="795" spans="6:14" ht="15.75" thickBot="1">
      <c r="F795" s="138">
        <v>1101</v>
      </c>
      <c r="G795" s="138"/>
      <c r="H795" s="138"/>
      <c r="I795" s="138"/>
      <c r="J795" s="137">
        <f>J729+J288</f>
        <v>1358.183</v>
      </c>
      <c r="K795" s="137">
        <f>K729+K288</f>
        <v>1358.183</v>
      </c>
      <c r="L795" s="118">
        <f t="shared" si="96"/>
        <v>100</v>
      </c>
      <c r="M795" s="131"/>
      <c r="N795" s="122"/>
    </row>
    <row r="796" spans="6:14" ht="15.75" thickBot="1">
      <c r="F796" s="134">
        <v>12</v>
      </c>
      <c r="G796" s="133"/>
      <c r="H796" s="133"/>
      <c r="I796" s="133"/>
      <c r="J796" s="132">
        <f>J797+J798+J799+J800</f>
        <v>966.721</v>
      </c>
      <c r="K796" s="132">
        <f>K797+K798+K799+K800</f>
        <v>966.721</v>
      </c>
      <c r="L796" s="118">
        <f t="shared" si="96"/>
        <v>100</v>
      </c>
      <c r="M796" s="131"/>
      <c r="N796" s="122"/>
    </row>
    <row r="797" spans="6:14" ht="15.75" hidden="1" thickBot="1">
      <c r="F797" s="130">
        <v>1201</v>
      </c>
      <c r="G797" s="130"/>
      <c r="H797" s="130"/>
      <c r="I797" s="130"/>
      <c r="J797" s="129"/>
      <c r="K797" s="136"/>
      <c r="L797" s="118" t="e">
        <f t="shared" si="96"/>
        <v>#DIV/0!</v>
      </c>
      <c r="M797" s="123"/>
      <c r="N797" s="122"/>
    </row>
    <row r="798" spans="6:14" ht="15.75" thickBot="1">
      <c r="F798" s="128">
        <v>1202</v>
      </c>
      <c r="G798" s="128"/>
      <c r="H798" s="128"/>
      <c r="I798" s="128"/>
      <c r="J798" s="127">
        <f>J672</f>
        <v>966.721</v>
      </c>
      <c r="K798" s="127">
        <f>K672</f>
        <v>966.721</v>
      </c>
      <c r="L798" s="118">
        <f t="shared" si="96"/>
        <v>100</v>
      </c>
      <c r="M798" s="123"/>
      <c r="N798" s="122"/>
    </row>
    <row r="799" spans="6:14" ht="15.75" hidden="1" thickBot="1">
      <c r="F799" s="128">
        <v>1203</v>
      </c>
      <c r="G799" s="128"/>
      <c r="H799" s="128"/>
      <c r="I799" s="128"/>
      <c r="J799" s="127"/>
      <c r="K799" s="126"/>
      <c r="L799" s="118" t="e">
        <f t="shared" si="96"/>
        <v>#DIV/0!</v>
      </c>
      <c r="M799" s="123"/>
      <c r="N799" s="122"/>
    </row>
    <row r="800" spans="6:14" ht="15.75" hidden="1" thickBot="1">
      <c r="F800" s="125">
        <v>1204</v>
      </c>
      <c r="G800" s="125"/>
      <c r="H800" s="125"/>
      <c r="I800" s="125"/>
      <c r="J800" s="124"/>
      <c r="K800" s="135"/>
      <c r="L800" s="118" t="e">
        <f aca="true" t="shared" si="98" ref="L800:L808">K800/J800*100</f>
        <v>#DIV/0!</v>
      </c>
      <c r="M800" s="123"/>
      <c r="N800" s="122"/>
    </row>
    <row r="801" spans="6:14" ht="15.75" thickBot="1">
      <c r="F801" s="134">
        <v>13</v>
      </c>
      <c r="G801" s="133"/>
      <c r="H801" s="133"/>
      <c r="I801" s="133"/>
      <c r="J801" s="132">
        <f>J802+J803</f>
        <v>160.44296</v>
      </c>
      <c r="K801" s="132">
        <f>K802+K803</f>
        <v>160.44296</v>
      </c>
      <c r="L801" s="118">
        <f t="shared" si="98"/>
        <v>100</v>
      </c>
      <c r="M801" s="131"/>
      <c r="N801" s="122"/>
    </row>
    <row r="802" spans="6:14" ht="15.75" thickBot="1">
      <c r="F802" s="130">
        <v>1301</v>
      </c>
      <c r="G802" s="130"/>
      <c r="H802" s="130"/>
      <c r="I802" s="130"/>
      <c r="J802" s="129">
        <f>J306</f>
        <v>160.44296</v>
      </c>
      <c r="K802" s="129">
        <f>K306</f>
        <v>160.44296</v>
      </c>
      <c r="L802" s="118">
        <f t="shared" si="98"/>
        <v>100</v>
      </c>
      <c r="M802" s="123"/>
      <c r="N802" s="122"/>
    </row>
    <row r="803" spans="6:14" ht="15.75" thickBot="1">
      <c r="F803" s="125">
        <v>1302</v>
      </c>
      <c r="G803" s="125"/>
      <c r="H803" s="125"/>
      <c r="I803" s="125"/>
      <c r="J803" s="124"/>
      <c r="K803" s="135"/>
      <c r="L803" s="118" t="e">
        <f t="shared" si="98"/>
        <v>#DIV/0!</v>
      </c>
      <c r="M803" s="123"/>
      <c r="N803" s="122"/>
    </row>
    <row r="804" spans="6:14" ht="15.75" thickBot="1">
      <c r="F804" s="134">
        <v>14</v>
      </c>
      <c r="G804" s="133"/>
      <c r="H804" s="133"/>
      <c r="I804" s="133"/>
      <c r="J804" s="132">
        <f>J805+J806+J807</f>
        <v>34900.998</v>
      </c>
      <c r="K804" s="132">
        <f>K805+K806+K807</f>
        <v>34900.928</v>
      </c>
      <c r="L804" s="118">
        <f t="shared" si="98"/>
        <v>99.99979943266952</v>
      </c>
      <c r="M804" s="131"/>
      <c r="N804" s="122"/>
    </row>
    <row r="805" spans="6:14" ht="15.75" thickBot="1">
      <c r="F805" s="130">
        <v>1401</v>
      </c>
      <c r="G805" s="130"/>
      <c r="H805" s="130"/>
      <c r="I805" s="130"/>
      <c r="J805" s="129">
        <f>J310</f>
        <v>25131.672</v>
      </c>
      <c r="K805" s="129">
        <f>K310</f>
        <v>25131.672</v>
      </c>
      <c r="L805" s="118">
        <f t="shared" si="98"/>
        <v>100</v>
      </c>
      <c r="M805" s="123"/>
      <c r="N805" s="122"/>
    </row>
    <row r="806" spans="6:14" ht="15.75" hidden="1" thickBot="1">
      <c r="F806" s="128">
        <v>1402</v>
      </c>
      <c r="G806" s="128"/>
      <c r="H806" s="128"/>
      <c r="I806" s="128"/>
      <c r="J806" s="127"/>
      <c r="K806" s="126"/>
      <c r="L806" s="118" t="e">
        <f t="shared" si="98"/>
        <v>#DIV/0!</v>
      </c>
      <c r="M806" s="123"/>
      <c r="N806" s="122"/>
    </row>
    <row r="807" spans="6:14" ht="15.75" thickBot="1">
      <c r="F807" s="125">
        <v>1403</v>
      </c>
      <c r="G807" s="125"/>
      <c r="H807" s="125"/>
      <c r="I807" s="125"/>
      <c r="J807" s="124">
        <f>J318</f>
        <v>9769.326000000001</v>
      </c>
      <c r="K807" s="124">
        <f>K318</f>
        <v>9769.256000000001</v>
      </c>
      <c r="L807" s="118">
        <f t="shared" si="98"/>
        <v>99.99928347155166</v>
      </c>
      <c r="M807" s="123"/>
      <c r="N807" s="122"/>
    </row>
    <row r="808" spans="6:14" ht="15.75" thickBot="1">
      <c r="F808" s="121" t="s">
        <v>440</v>
      </c>
      <c r="G808" s="120" t="e">
        <f>G736+G750+G754+G760+G765+G771+G776+G783+G789</f>
        <v>#REF!</v>
      </c>
      <c r="H808" s="120" t="e">
        <f>H736+H750+H754+H760+H765+H771+H776+H783+H789</f>
        <v>#REF!</v>
      </c>
      <c r="I808" s="120" t="e">
        <f>I736+I750+I754+I760+I765+I771+I776+I783+I789</f>
        <v>#REF!</v>
      </c>
      <c r="J808" s="119">
        <f>J736+J750+J754+J760+J765+J771+J776+J783+J789+J796+J801+J804+J794+J748</f>
        <v>648108.17992</v>
      </c>
      <c r="K808" s="119">
        <f>K736+K750+K754+K760+K765+K771+K776+K783+K789+K796+K801+K804+K794+K748</f>
        <v>637381.6522699998</v>
      </c>
      <c r="L808" s="118">
        <f t="shared" si="98"/>
        <v>98.34494796048952</v>
      </c>
      <c r="M808" s="117" t="e">
        <f>M736+M750+M754+M760+M765+M771+M776+M783+M789+M796+M801+M804+M794</f>
        <v>#REF!</v>
      </c>
      <c r="N808" s="117" t="e">
        <f>N736+N750+N754+N760+N765+N771+N776+N783+N789+N796+N801+N804+N794</f>
        <v>#DIV/0!</v>
      </c>
    </row>
    <row r="809" spans="6:13" ht="15">
      <c r="F809" s="116"/>
      <c r="G809" s="115"/>
      <c r="I809" s="115"/>
      <c r="J809" s="108">
        <f>J808-J733</f>
        <v>0</v>
      </c>
      <c r="K809" s="112">
        <v>637381.65324</v>
      </c>
      <c r="M809" s="113"/>
    </row>
    <row r="810" spans="6:13" ht="15">
      <c r="F810" s="116"/>
      <c r="G810" s="115"/>
      <c r="I810" s="115"/>
      <c r="J810" s="108">
        <v>619179867.54</v>
      </c>
      <c r="K810" s="114">
        <f>K808-K733</f>
        <v>0</v>
      </c>
      <c r="M810" s="113"/>
    </row>
    <row r="811" spans="6:13" ht="15">
      <c r="F811" s="116"/>
      <c r="G811" s="115"/>
      <c r="I811" s="115"/>
      <c r="K811" s="114"/>
      <c r="M811" s="113"/>
    </row>
    <row r="812" spans="6:13" ht="15">
      <c r="F812" s="116"/>
      <c r="G812" s="115"/>
      <c r="I812" s="115"/>
      <c r="K812" s="114"/>
      <c r="M812" s="113"/>
    </row>
    <row r="813" spans="6:13" ht="15">
      <c r="F813" s="116"/>
      <c r="G813" s="115"/>
      <c r="I813" s="115"/>
      <c r="K813" s="114"/>
      <c r="M813" s="113"/>
    </row>
    <row r="814" spans="6:13" ht="15">
      <c r="F814" s="116"/>
      <c r="G814" s="115"/>
      <c r="I814" s="115"/>
      <c r="K814" s="114"/>
      <c r="M814" s="113"/>
    </row>
    <row r="815" spans="6:14" ht="15">
      <c r="F815" s="116"/>
      <c r="G815" s="115"/>
      <c r="I815" s="115"/>
      <c r="K815" s="114"/>
      <c r="M815" s="113"/>
      <c r="N815" s="110"/>
    </row>
    <row r="816" spans="7:14" ht="15">
      <c r="G816" s="115"/>
      <c r="I816" s="115"/>
      <c r="K816" s="114"/>
      <c r="M816" s="113"/>
      <c r="N816" s="110"/>
    </row>
    <row r="817" spans="7:14" ht="15">
      <c r="G817" s="115"/>
      <c r="I817" s="115"/>
      <c r="K817" s="114"/>
      <c r="M817" s="113"/>
      <c r="N817" s="110"/>
    </row>
    <row r="818" spans="7:14" ht="15">
      <c r="G818" s="115"/>
      <c r="I818" s="115"/>
      <c r="K818" s="114"/>
      <c r="M818" s="113"/>
      <c r="N818" s="110"/>
    </row>
    <row r="819" spans="7:14" ht="15">
      <c r="G819" s="115"/>
      <c r="I819" s="115"/>
      <c r="K819" s="114"/>
      <c r="M819" s="113"/>
      <c r="N819" s="110"/>
    </row>
    <row r="820" spans="7:14" ht="15">
      <c r="G820" s="115"/>
      <c r="I820" s="115"/>
      <c r="K820" s="114"/>
      <c r="M820" s="113"/>
      <c r="N820" s="110"/>
    </row>
    <row r="821" spans="7:14" ht="15">
      <c r="G821" s="115"/>
      <c r="I821" s="115"/>
      <c r="K821" s="114"/>
      <c r="M821" s="113"/>
      <c r="N821" s="110"/>
    </row>
    <row r="822" spans="7:14" ht="15">
      <c r="G822" s="115"/>
      <c r="I822" s="115"/>
      <c r="K822" s="114"/>
      <c r="M822" s="113"/>
      <c r="N822" s="110"/>
    </row>
    <row r="823" spans="7:14" ht="15">
      <c r="G823" s="115"/>
      <c r="I823" s="115"/>
      <c r="K823" s="114"/>
      <c r="M823" s="113"/>
      <c r="N823" s="110"/>
    </row>
    <row r="824" spans="7:14" ht="15">
      <c r="G824" s="115"/>
      <c r="I824" s="115"/>
      <c r="K824" s="114"/>
      <c r="M824" s="113"/>
      <c r="N824" s="110"/>
    </row>
    <row r="825" spans="7:14" ht="15">
      <c r="G825" s="115"/>
      <c r="I825" s="115"/>
      <c r="K825" s="114"/>
      <c r="M825" s="113"/>
      <c r="N825" s="110"/>
    </row>
    <row r="826" spans="7:14" ht="15">
      <c r="G826" s="115"/>
      <c r="I826" s="115"/>
      <c r="K826" s="114"/>
      <c r="M826" s="113"/>
      <c r="N826" s="110"/>
    </row>
    <row r="827" spans="7:14" ht="15">
      <c r="G827" s="115"/>
      <c r="I827" s="115"/>
      <c r="K827" s="114"/>
      <c r="M827" s="113"/>
      <c r="N827" s="110"/>
    </row>
    <row r="828" spans="7:14" ht="15">
      <c r="G828" s="115"/>
      <c r="I828" s="115"/>
      <c r="K828" s="114"/>
      <c r="M828" s="113"/>
      <c r="N828" s="110"/>
    </row>
    <row r="829" spans="7:14" ht="15">
      <c r="G829" s="115"/>
      <c r="I829" s="115"/>
      <c r="K829" s="114"/>
      <c r="M829" s="113"/>
      <c r="N829" s="110"/>
    </row>
    <row r="830" spans="7:14" ht="15">
      <c r="G830" s="115"/>
      <c r="I830" s="115"/>
      <c r="K830" s="114"/>
      <c r="M830" s="113"/>
      <c r="N830" s="110"/>
    </row>
    <row r="831" spans="7:14" ht="15">
      <c r="G831" s="115"/>
      <c r="I831" s="115"/>
      <c r="K831" s="114"/>
      <c r="M831" s="113"/>
      <c r="N831" s="110"/>
    </row>
    <row r="832" spans="7:14" ht="15">
      <c r="G832" s="115"/>
      <c r="I832" s="115"/>
      <c r="K832" s="114"/>
      <c r="M832" s="113"/>
      <c r="N832" s="110"/>
    </row>
    <row r="833" spans="7:14" ht="15">
      <c r="G833" s="115"/>
      <c r="I833" s="115"/>
      <c r="K833" s="114"/>
      <c r="M833" s="113"/>
      <c r="N833" s="110"/>
    </row>
    <row r="834" spans="7:14" ht="15">
      <c r="G834" s="115"/>
      <c r="I834" s="115"/>
      <c r="K834" s="114"/>
      <c r="M834" s="113"/>
      <c r="N834" s="110"/>
    </row>
    <row r="835" spans="7:14" ht="15">
      <c r="G835" s="115"/>
      <c r="I835" s="115"/>
      <c r="K835" s="114"/>
      <c r="M835" s="113"/>
      <c r="N835" s="110"/>
    </row>
    <row r="836" spans="7:14" ht="15">
      <c r="G836" s="115"/>
      <c r="I836" s="115"/>
      <c r="K836" s="114"/>
      <c r="M836" s="113"/>
      <c r="N836" s="110"/>
    </row>
    <row r="837" spans="7:14" ht="15">
      <c r="G837" s="115"/>
      <c r="I837" s="115"/>
      <c r="K837" s="114"/>
      <c r="M837" s="113"/>
      <c r="N837" s="110"/>
    </row>
    <row r="838" spans="7:14" ht="15">
      <c r="G838" s="115"/>
      <c r="I838" s="115"/>
      <c r="K838" s="114"/>
      <c r="M838" s="113"/>
      <c r="N838" s="110"/>
    </row>
    <row r="839" spans="7:14" ht="15">
      <c r="G839" s="115"/>
      <c r="I839" s="115"/>
      <c r="K839" s="114"/>
      <c r="M839" s="113"/>
      <c r="N839" s="110"/>
    </row>
    <row r="840" spans="7:14" ht="15">
      <c r="G840" s="115"/>
      <c r="I840" s="115"/>
      <c r="K840" s="114"/>
      <c r="M840" s="113"/>
      <c r="N840" s="110"/>
    </row>
    <row r="841" spans="7:14" ht="15">
      <c r="G841" s="115"/>
      <c r="I841" s="115"/>
      <c r="K841" s="114"/>
      <c r="M841" s="113"/>
      <c r="N841" s="110"/>
    </row>
    <row r="842" spans="7:14" ht="15">
      <c r="G842" s="115"/>
      <c r="I842" s="115"/>
      <c r="K842" s="114"/>
      <c r="M842" s="113"/>
      <c r="N842" s="110"/>
    </row>
    <row r="843" spans="7:14" ht="15">
      <c r="G843" s="115"/>
      <c r="I843" s="115"/>
      <c r="K843" s="114"/>
      <c r="M843" s="113"/>
      <c r="N843" s="110"/>
    </row>
    <row r="844" spans="7:14" ht="15">
      <c r="G844" s="115"/>
      <c r="I844" s="115"/>
      <c r="K844" s="114"/>
      <c r="M844" s="113"/>
      <c r="N844" s="110"/>
    </row>
    <row r="845" spans="7:14" ht="15">
      <c r="G845" s="115"/>
      <c r="I845" s="115"/>
      <c r="K845" s="114"/>
      <c r="M845" s="113"/>
      <c r="N845" s="110"/>
    </row>
    <row r="846" spans="7:14" ht="15">
      <c r="G846" s="115"/>
      <c r="I846" s="115"/>
      <c r="K846" s="114"/>
      <c r="M846" s="113"/>
      <c r="N846" s="110"/>
    </row>
    <row r="847" spans="7:14" ht="15">
      <c r="G847" s="115"/>
      <c r="I847" s="115"/>
      <c r="K847" s="114"/>
      <c r="M847" s="113"/>
      <c r="N847" s="110"/>
    </row>
    <row r="848" spans="7:14" ht="15">
      <c r="G848" s="115"/>
      <c r="I848" s="115"/>
      <c r="K848" s="114"/>
      <c r="M848" s="113"/>
      <c r="N848" s="110"/>
    </row>
    <row r="849" spans="7:14" ht="15">
      <c r="G849" s="115"/>
      <c r="I849" s="115"/>
      <c r="K849" s="114"/>
      <c r="M849" s="113"/>
      <c r="N849" s="110"/>
    </row>
    <row r="850" spans="7:14" ht="15">
      <c r="G850" s="115"/>
      <c r="I850" s="115"/>
      <c r="K850" s="114"/>
      <c r="M850" s="113"/>
      <c r="N850" s="110"/>
    </row>
    <row r="851" spans="7:14" ht="15">
      <c r="G851" s="115"/>
      <c r="I851" s="115"/>
      <c r="K851" s="114"/>
      <c r="M851" s="113"/>
      <c r="N851" s="110"/>
    </row>
    <row r="852" spans="7:14" ht="15">
      <c r="G852" s="115"/>
      <c r="I852" s="115"/>
      <c r="K852" s="114"/>
      <c r="M852" s="113"/>
      <c r="N852" s="110"/>
    </row>
    <row r="853" spans="7:14" ht="15">
      <c r="G853" s="115"/>
      <c r="I853" s="115"/>
      <c r="K853" s="114"/>
      <c r="M853" s="113"/>
      <c r="N853" s="110"/>
    </row>
    <row r="854" spans="7:14" ht="15">
      <c r="G854" s="115"/>
      <c r="I854" s="115"/>
      <c r="K854" s="114"/>
      <c r="M854" s="113"/>
      <c r="N854" s="110"/>
    </row>
    <row r="855" spans="7:14" ht="15">
      <c r="G855" s="115"/>
      <c r="I855" s="115"/>
      <c r="K855" s="114"/>
      <c r="M855" s="113"/>
      <c r="N855" s="110"/>
    </row>
    <row r="856" spans="7:14" ht="15">
      <c r="G856" s="115"/>
      <c r="I856" s="115"/>
      <c r="K856" s="114"/>
      <c r="M856" s="113"/>
      <c r="N856" s="110"/>
    </row>
    <row r="857" spans="7:14" ht="15">
      <c r="G857" s="115"/>
      <c r="I857" s="115"/>
      <c r="K857" s="114"/>
      <c r="M857" s="113"/>
      <c r="N857" s="110"/>
    </row>
    <row r="858" spans="7:14" ht="15">
      <c r="G858" s="115"/>
      <c r="I858" s="115"/>
      <c r="K858" s="114"/>
      <c r="M858" s="113"/>
      <c r="N858" s="110"/>
    </row>
    <row r="859" spans="7:14" ht="15">
      <c r="G859" s="115"/>
      <c r="I859" s="115"/>
      <c r="K859" s="114"/>
      <c r="M859" s="113"/>
      <c r="N859" s="110"/>
    </row>
    <row r="860" spans="7:14" ht="15">
      <c r="G860" s="115"/>
      <c r="I860" s="115"/>
      <c r="K860" s="114"/>
      <c r="M860" s="113"/>
      <c r="N860" s="110"/>
    </row>
    <row r="861" spans="7:14" ht="15">
      <c r="G861" s="115"/>
      <c r="I861" s="115"/>
      <c r="K861" s="114"/>
      <c r="M861" s="113"/>
      <c r="N861" s="110"/>
    </row>
    <row r="862" spans="7:14" ht="15">
      <c r="G862" s="115"/>
      <c r="I862" s="115"/>
      <c r="K862" s="114"/>
      <c r="M862" s="113"/>
      <c r="N862" s="110"/>
    </row>
    <row r="863" spans="7:14" ht="15">
      <c r="G863" s="115"/>
      <c r="I863" s="115"/>
      <c r="K863" s="114"/>
      <c r="M863" s="113"/>
      <c r="N863" s="110"/>
    </row>
    <row r="864" spans="7:14" ht="15">
      <c r="G864" s="115"/>
      <c r="I864" s="115"/>
      <c r="K864" s="114"/>
      <c r="M864" s="113"/>
      <c r="N864" s="110"/>
    </row>
    <row r="865" spans="7:14" ht="15">
      <c r="G865" s="115"/>
      <c r="I865" s="115"/>
      <c r="K865" s="114"/>
      <c r="M865" s="113"/>
      <c r="N865" s="110"/>
    </row>
    <row r="866" spans="7:14" ht="15">
      <c r="G866" s="115"/>
      <c r="I866" s="115"/>
      <c r="K866" s="114"/>
      <c r="M866" s="113"/>
      <c r="N866" s="110"/>
    </row>
    <row r="867" spans="7:14" ht="15">
      <c r="G867" s="115"/>
      <c r="I867" s="115"/>
      <c r="K867" s="114"/>
      <c r="M867" s="113"/>
      <c r="N867" s="110"/>
    </row>
    <row r="868" spans="7:14" ht="15">
      <c r="G868" s="115"/>
      <c r="I868" s="115"/>
      <c r="K868" s="114"/>
      <c r="M868" s="113"/>
      <c r="N868" s="110"/>
    </row>
    <row r="869" spans="7:14" ht="15">
      <c r="G869" s="115"/>
      <c r="I869" s="115"/>
      <c r="K869" s="114"/>
      <c r="M869" s="113"/>
      <c r="N869" s="110"/>
    </row>
    <row r="870" spans="7:14" ht="15">
      <c r="G870" s="115"/>
      <c r="I870" s="115"/>
      <c r="K870" s="114"/>
      <c r="M870" s="113"/>
      <c r="N870" s="110"/>
    </row>
    <row r="871" spans="7:14" ht="15">
      <c r="G871" s="115"/>
      <c r="I871" s="115"/>
      <c r="K871" s="114"/>
      <c r="M871" s="113"/>
      <c r="N871" s="110"/>
    </row>
    <row r="872" spans="7:14" ht="15">
      <c r="G872" s="115"/>
      <c r="I872" s="115"/>
      <c r="K872" s="114"/>
      <c r="M872" s="113"/>
      <c r="N872" s="110"/>
    </row>
    <row r="873" spans="7:14" ht="15">
      <c r="G873" s="115"/>
      <c r="I873" s="115"/>
      <c r="K873" s="114"/>
      <c r="M873" s="113"/>
      <c r="N873" s="110"/>
    </row>
    <row r="874" spans="7:14" ht="15">
      <c r="G874" s="115"/>
      <c r="I874" s="115"/>
      <c r="K874" s="114"/>
      <c r="M874" s="113"/>
      <c r="N874" s="110"/>
    </row>
    <row r="875" spans="7:14" ht="15">
      <c r="G875" s="115"/>
      <c r="I875" s="115"/>
      <c r="K875" s="114"/>
      <c r="M875" s="113"/>
      <c r="N875" s="110"/>
    </row>
    <row r="876" spans="7:14" ht="15">
      <c r="G876" s="115"/>
      <c r="I876" s="115"/>
      <c r="K876" s="114"/>
      <c r="M876" s="113"/>
      <c r="N876" s="110"/>
    </row>
    <row r="877" spans="7:14" ht="15">
      <c r="G877" s="115"/>
      <c r="I877" s="115"/>
      <c r="K877" s="114"/>
      <c r="M877" s="113"/>
      <c r="N877" s="110"/>
    </row>
    <row r="878" spans="7:14" ht="15">
      <c r="G878" s="115"/>
      <c r="I878" s="115"/>
      <c r="K878" s="114"/>
      <c r="M878" s="113"/>
      <c r="N878" s="110"/>
    </row>
    <row r="879" spans="7:14" ht="15">
      <c r="G879" s="115"/>
      <c r="I879" s="115"/>
      <c r="K879" s="114"/>
      <c r="M879" s="113"/>
      <c r="N879" s="110"/>
    </row>
    <row r="880" spans="7:14" ht="15">
      <c r="G880" s="115"/>
      <c r="I880" s="115"/>
      <c r="K880" s="114"/>
      <c r="M880" s="113"/>
      <c r="N880" s="110"/>
    </row>
    <row r="881" spans="7:14" ht="15">
      <c r="G881" s="115"/>
      <c r="I881" s="115"/>
      <c r="K881" s="114"/>
      <c r="M881" s="113"/>
      <c r="N881" s="110"/>
    </row>
    <row r="882" spans="7:14" ht="15">
      <c r="G882" s="115"/>
      <c r="I882" s="115"/>
      <c r="K882" s="114"/>
      <c r="M882" s="113"/>
      <c r="N882" s="110"/>
    </row>
    <row r="883" spans="7:14" ht="15">
      <c r="G883" s="115"/>
      <c r="I883" s="115"/>
      <c r="K883" s="114"/>
      <c r="M883" s="113"/>
      <c r="N883" s="110"/>
    </row>
    <row r="884" spans="7:14" ht="15">
      <c r="G884" s="115"/>
      <c r="I884" s="115"/>
      <c r="K884" s="114"/>
      <c r="M884" s="113"/>
      <c r="N884" s="110"/>
    </row>
    <row r="885" spans="7:14" ht="15">
      <c r="G885" s="115"/>
      <c r="I885" s="115"/>
      <c r="K885" s="114"/>
      <c r="M885" s="113"/>
      <c r="N885" s="110"/>
    </row>
    <row r="886" spans="7:14" ht="15">
      <c r="G886" s="115"/>
      <c r="I886" s="115"/>
      <c r="K886" s="114"/>
      <c r="M886" s="113"/>
      <c r="N886" s="110"/>
    </row>
    <row r="887" spans="7:14" ht="15">
      <c r="G887" s="115"/>
      <c r="I887" s="115"/>
      <c r="K887" s="114"/>
      <c r="M887" s="113"/>
      <c r="N887" s="110"/>
    </row>
    <row r="888" spans="7:14" ht="15">
      <c r="G888" s="115"/>
      <c r="I888" s="115"/>
      <c r="K888" s="114"/>
      <c r="M888" s="113"/>
      <c r="N888" s="110"/>
    </row>
    <row r="889" spans="7:14" ht="15">
      <c r="G889" s="115"/>
      <c r="I889" s="115"/>
      <c r="K889" s="114"/>
      <c r="M889" s="113"/>
      <c r="N889" s="110"/>
    </row>
    <row r="890" spans="7:14" ht="15">
      <c r="G890" s="115"/>
      <c r="I890" s="115"/>
      <c r="K890" s="114"/>
      <c r="M890" s="113"/>
      <c r="N890" s="110"/>
    </row>
    <row r="891" spans="7:14" ht="15">
      <c r="G891" s="115"/>
      <c r="I891" s="115"/>
      <c r="K891" s="114"/>
      <c r="M891" s="113"/>
      <c r="N891" s="110"/>
    </row>
    <row r="892" spans="7:14" ht="15">
      <c r="G892" s="115"/>
      <c r="I892" s="115"/>
      <c r="K892" s="114"/>
      <c r="M892" s="113"/>
      <c r="N892" s="110"/>
    </row>
    <row r="893" spans="7:14" ht="15">
      <c r="G893" s="115"/>
      <c r="I893" s="115"/>
      <c r="K893" s="114"/>
      <c r="M893" s="113"/>
      <c r="N893" s="110"/>
    </row>
    <row r="894" spans="7:14" ht="15">
      <c r="G894" s="115"/>
      <c r="I894" s="115"/>
      <c r="K894" s="114"/>
      <c r="M894" s="113"/>
      <c r="N894" s="110"/>
    </row>
    <row r="895" spans="7:14" ht="15">
      <c r="G895" s="115"/>
      <c r="I895" s="115"/>
      <c r="K895" s="114"/>
      <c r="M895" s="113"/>
      <c r="N895" s="110"/>
    </row>
    <row r="896" spans="7:14" ht="15">
      <c r="G896" s="115"/>
      <c r="I896" s="115"/>
      <c r="K896" s="114"/>
      <c r="M896" s="113"/>
      <c r="N896" s="110"/>
    </row>
    <row r="897" spans="7:14" ht="15">
      <c r="G897" s="115"/>
      <c r="I897" s="115"/>
      <c r="K897" s="114"/>
      <c r="M897" s="113"/>
      <c r="N897" s="110"/>
    </row>
    <row r="898" spans="7:14" ht="15">
      <c r="G898" s="115"/>
      <c r="I898" s="115"/>
      <c r="K898" s="114"/>
      <c r="M898" s="113"/>
      <c r="N898" s="110"/>
    </row>
    <row r="899" spans="7:14" ht="15">
      <c r="G899" s="115"/>
      <c r="I899" s="115"/>
      <c r="K899" s="114"/>
      <c r="M899" s="113"/>
      <c r="N899" s="110"/>
    </row>
    <row r="900" spans="7:14" ht="15">
      <c r="G900" s="115"/>
      <c r="I900" s="115"/>
      <c r="K900" s="114"/>
      <c r="M900" s="113"/>
      <c r="N900" s="110"/>
    </row>
    <row r="901" spans="7:14" ht="15">
      <c r="G901" s="115"/>
      <c r="I901" s="115"/>
      <c r="K901" s="114"/>
      <c r="M901" s="113"/>
      <c r="N901" s="110"/>
    </row>
    <row r="902" spans="7:14" ht="15">
      <c r="G902" s="115"/>
      <c r="I902" s="115"/>
      <c r="K902" s="114"/>
      <c r="M902" s="113"/>
      <c r="N902" s="110"/>
    </row>
    <row r="903" spans="7:14" ht="15">
      <c r="G903" s="115"/>
      <c r="I903" s="115"/>
      <c r="K903" s="114"/>
      <c r="M903" s="113"/>
      <c r="N903" s="110"/>
    </row>
    <row r="904" spans="7:14" ht="15">
      <c r="G904" s="115"/>
      <c r="I904" s="115"/>
      <c r="K904" s="114"/>
      <c r="M904" s="113"/>
      <c r="N904" s="110"/>
    </row>
    <row r="905" spans="7:14" ht="15">
      <c r="G905" s="115"/>
      <c r="I905" s="115"/>
      <c r="K905" s="114"/>
      <c r="M905" s="113"/>
      <c r="N905" s="110"/>
    </row>
    <row r="906" spans="7:14" ht="15">
      <c r="G906" s="115"/>
      <c r="I906" s="115"/>
      <c r="K906" s="114"/>
      <c r="M906" s="113"/>
      <c r="N906" s="110"/>
    </row>
    <row r="907" spans="7:14" ht="15">
      <c r="G907" s="115"/>
      <c r="I907" s="115"/>
      <c r="K907" s="114"/>
      <c r="M907" s="113"/>
      <c r="N907" s="110"/>
    </row>
    <row r="908" spans="7:14" ht="15">
      <c r="G908" s="115"/>
      <c r="I908" s="115"/>
      <c r="K908" s="114"/>
      <c r="M908" s="113"/>
      <c r="N908" s="110"/>
    </row>
    <row r="909" spans="7:14" ht="15">
      <c r="G909" s="115"/>
      <c r="I909" s="115"/>
      <c r="K909" s="114"/>
      <c r="M909" s="113"/>
      <c r="N909" s="110"/>
    </row>
    <row r="910" spans="7:14" ht="15">
      <c r="G910" s="115"/>
      <c r="I910" s="115"/>
      <c r="K910" s="114"/>
      <c r="M910" s="113"/>
      <c r="N910" s="110"/>
    </row>
    <row r="911" spans="7:14" ht="15">
      <c r="G911" s="115"/>
      <c r="I911" s="115"/>
      <c r="K911" s="114"/>
      <c r="M911" s="113"/>
      <c r="N911" s="110"/>
    </row>
    <row r="912" spans="7:14" ht="15">
      <c r="G912" s="115"/>
      <c r="I912" s="115"/>
      <c r="K912" s="114"/>
      <c r="M912" s="113"/>
      <c r="N912" s="110"/>
    </row>
    <row r="913" spans="7:14" ht="15">
      <c r="G913" s="115"/>
      <c r="I913" s="115"/>
      <c r="K913" s="114"/>
      <c r="M913" s="113"/>
      <c r="N913" s="110"/>
    </row>
    <row r="914" spans="7:14" ht="15">
      <c r="G914" s="115"/>
      <c r="I914" s="115"/>
      <c r="K914" s="114"/>
      <c r="M914" s="113"/>
      <c r="N914" s="110"/>
    </row>
    <row r="915" spans="7:14" ht="15">
      <c r="G915" s="115"/>
      <c r="I915" s="115"/>
      <c r="K915" s="114"/>
      <c r="M915" s="113"/>
      <c r="N915" s="110"/>
    </row>
    <row r="916" spans="7:14" ht="15">
      <c r="G916" s="115"/>
      <c r="I916" s="115"/>
      <c r="K916" s="114"/>
      <c r="M916" s="113"/>
      <c r="N916" s="110"/>
    </row>
    <row r="917" spans="7:14" ht="15">
      <c r="G917" s="115"/>
      <c r="I917" s="115"/>
      <c r="K917" s="114"/>
      <c r="M917" s="113"/>
      <c r="N917" s="110"/>
    </row>
    <row r="918" spans="7:14" ht="15">
      <c r="G918" s="115"/>
      <c r="I918" s="115"/>
      <c r="K918" s="114"/>
      <c r="M918" s="113"/>
      <c r="N918" s="110"/>
    </row>
    <row r="919" spans="7:14" ht="15">
      <c r="G919" s="115"/>
      <c r="I919" s="115"/>
      <c r="K919" s="114"/>
      <c r="M919" s="113"/>
      <c r="N919" s="110"/>
    </row>
    <row r="920" spans="7:14" ht="15">
      <c r="G920" s="115"/>
      <c r="I920" s="115"/>
      <c r="K920" s="114"/>
      <c r="M920" s="113"/>
      <c r="N920" s="110"/>
    </row>
    <row r="921" spans="7:14" ht="15">
      <c r="G921" s="115"/>
      <c r="I921" s="115"/>
      <c r="K921" s="114"/>
      <c r="M921" s="113"/>
      <c r="N921" s="110"/>
    </row>
    <row r="922" spans="7:14" ht="15">
      <c r="G922" s="115"/>
      <c r="I922" s="115"/>
      <c r="K922" s="114"/>
      <c r="M922" s="113"/>
      <c r="N922" s="110"/>
    </row>
    <row r="923" spans="7:14" ht="15">
      <c r="G923" s="115"/>
      <c r="I923" s="115"/>
      <c r="K923" s="114"/>
      <c r="M923" s="113"/>
      <c r="N923" s="110"/>
    </row>
    <row r="924" spans="7:14" ht="15">
      <c r="G924" s="115"/>
      <c r="I924" s="115"/>
      <c r="K924" s="114"/>
      <c r="M924" s="113"/>
      <c r="N924" s="110"/>
    </row>
    <row r="925" spans="7:14" ht="15">
      <c r="G925" s="115"/>
      <c r="I925" s="115"/>
      <c r="K925" s="114"/>
      <c r="M925" s="113"/>
      <c r="N925" s="110"/>
    </row>
    <row r="926" spans="7:14" ht="15">
      <c r="G926" s="115"/>
      <c r="I926" s="115"/>
      <c r="K926" s="114"/>
      <c r="M926" s="113"/>
      <c r="N926" s="110"/>
    </row>
    <row r="927" spans="7:14" ht="15">
      <c r="G927" s="115"/>
      <c r="I927" s="115"/>
      <c r="K927" s="114"/>
      <c r="M927" s="113"/>
      <c r="N927" s="110"/>
    </row>
    <row r="928" spans="7:14" ht="15">
      <c r="G928" s="115"/>
      <c r="I928" s="115"/>
      <c r="K928" s="114"/>
      <c r="M928" s="113"/>
      <c r="N928" s="110"/>
    </row>
    <row r="929" spans="7:14" ht="15">
      <c r="G929" s="115"/>
      <c r="I929" s="115"/>
      <c r="K929" s="114"/>
      <c r="M929" s="113"/>
      <c r="N929" s="110"/>
    </row>
    <row r="930" spans="7:14" ht="15">
      <c r="G930" s="115"/>
      <c r="I930" s="115"/>
      <c r="K930" s="114"/>
      <c r="M930" s="113"/>
      <c r="N930" s="110"/>
    </row>
    <row r="931" spans="7:14" ht="15">
      <c r="G931" s="115"/>
      <c r="I931" s="115"/>
      <c r="K931" s="114"/>
      <c r="M931" s="113"/>
      <c r="N931" s="110"/>
    </row>
    <row r="932" spans="7:14" ht="15">
      <c r="G932" s="115"/>
      <c r="I932" s="115"/>
      <c r="K932" s="114"/>
      <c r="M932" s="113"/>
      <c r="N932" s="110"/>
    </row>
    <row r="933" spans="7:14" ht="15">
      <c r="G933" s="115"/>
      <c r="I933" s="115"/>
      <c r="K933" s="114"/>
      <c r="M933" s="113"/>
      <c r="N933" s="110"/>
    </row>
    <row r="934" spans="7:14" ht="15">
      <c r="G934" s="115"/>
      <c r="I934" s="115"/>
      <c r="K934" s="114"/>
      <c r="M934" s="113"/>
      <c r="N934" s="110"/>
    </row>
    <row r="935" spans="7:14" ht="15">
      <c r="G935" s="115"/>
      <c r="I935" s="115"/>
      <c r="K935" s="114"/>
      <c r="M935" s="113"/>
      <c r="N935" s="110"/>
    </row>
    <row r="936" spans="7:14" ht="15">
      <c r="G936" s="115"/>
      <c r="I936" s="115"/>
      <c r="K936" s="114"/>
      <c r="M936" s="113"/>
      <c r="N936" s="110"/>
    </row>
    <row r="937" spans="7:14" ht="15">
      <c r="G937" s="115"/>
      <c r="I937" s="115"/>
      <c r="K937" s="114"/>
      <c r="M937" s="113"/>
      <c r="N937" s="110"/>
    </row>
    <row r="938" spans="7:14" ht="15">
      <c r="G938" s="115"/>
      <c r="I938" s="115"/>
      <c r="K938" s="114"/>
      <c r="M938" s="113"/>
      <c r="N938" s="110"/>
    </row>
    <row r="939" spans="7:14" ht="15">
      <c r="G939" s="115"/>
      <c r="I939" s="115"/>
      <c r="K939" s="114"/>
      <c r="M939" s="113"/>
      <c r="N939" s="110"/>
    </row>
    <row r="940" spans="7:14" ht="15">
      <c r="G940" s="115"/>
      <c r="I940" s="115"/>
      <c r="K940" s="114"/>
      <c r="M940" s="113"/>
      <c r="N940" s="110"/>
    </row>
    <row r="941" spans="7:14" ht="15">
      <c r="G941" s="115"/>
      <c r="I941" s="115"/>
      <c r="K941" s="114"/>
      <c r="M941" s="113"/>
      <c r="N941" s="110"/>
    </row>
    <row r="942" spans="7:14" ht="15">
      <c r="G942" s="115"/>
      <c r="I942" s="115"/>
      <c r="K942" s="114"/>
      <c r="M942" s="113"/>
      <c r="N942" s="110"/>
    </row>
    <row r="943" spans="7:14" ht="15">
      <c r="G943" s="115"/>
      <c r="I943" s="115"/>
      <c r="K943" s="114"/>
      <c r="M943" s="113"/>
      <c r="N943" s="110"/>
    </row>
    <row r="944" spans="7:14" ht="15">
      <c r="G944" s="115"/>
      <c r="I944" s="115"/>
      <c r="K944" s="114"/>
      <c r="M944" s="113"/>
      <c r="N944" s="110"/>
    </row>
    <row r="945" spans="7:14" ht="15">
      <c r="G945" s="115"/>
      <c r="I945" s="115"/>
      <c r="K945" s="114"/>
      <c r="M945" s="113"/>
      <c r="N945" s="110"/>
    </row>
    <row r="946" spans="7:14" ht="15">
      <c r="G946" s="115"/>
      <c r="I946" s="115"/>
      <c r="K946" s="114"/>
      <c r="M946" s="113"/>
      <c r="N946" s="110"/>
    </row>
    <row r="947" spans="7:14" ht="15">
      <c r="G947" s="115"/>
      <c r="I947" s="115"/>
      <c r="K947" s="114"/>
      <c r="M947" s="113"/>
      <c r="N947" s="110"/>
    </row>
    <row r="948" spans="7:14" ht="15">
      <c r="G948" s="115"/>
      <c r="I948" s="115"/>
      <c r="K948" s="114"/>
      <c r="M948" s="113"/>
      <c r="N948" s="110"/>
    </row>
    <row r="949" spans="7:14" ht="15">
      <c r="G949" s="115"/>
      <c r="I949" s="115"/>
      <c r="K949" s="114"/>
      <c r="M949" s="113"/>
      <c r="N949" s="110"/>
    </row>
    <row r="950" spans="7:14" ht="15">
      <c r="G950" s="115"/>
      <c r="I950" s="115"/>
      <c r="K950" s="114"/>
      <c r="M950" s="113"/>
      <c r="N950" s="110"/>
    </row>
    <row r="951" spans="7:14" ht="15">
      <c r="G951" s="115"/>
      <c r="I951" s="115"/>
      <c r="K951" s="114"/>
      <c r="M951" s="113"/>
      <c r="N951" s="110"/>
    </row>
    <row r="952" spans="7:14" ht="15">
      <c r="G952" s="115"/>
      <c r="I952" s="115"/>
      <c r="K952" s="114"/>
      <c r="M952" s="113"/>
      <c r="N952" s="110"/>
    </row>
    <row r="953" spans="7:14" ht="15">
      <c r="G953" s="115"/>
      <c r="I953" s="115"/>
      <c r="K953" s="114"/>
      <c r="M953" s="113"/>
      <c r="N953" s="110"/>
    </row>
    <row r="954" spans="7:14" ht="15">
      <c r="G954" s="115"/>
      <c r="I954" s="115"/>
      <c r="K954" s="114"/>
      <c r="M954" s="113"/>
      <c r="N954" s="110"/>
    </row>
    <row r="955" spans="7:14" ht="15">
      <c r="G955" s="115"/>
      <c r="I955" s="115"/>
      <c r="K955" s="114"/>
      <c r="M955" s="113"/>
      <c r="N955" s="110"/>
    </row>
    <row r="956" spans="7:14" ht="15">
      <c r="G956" s="115"/>
      <c r="I956" s="115"/>
      <c r="K956" s="114"/>
      <c r="M956" s="113"/>
      <c r="N956" s="110"/>
    </row>
    <row r="957" spans="7:14" ht="15">
      <c r="G957" s="115"/>
      <c r="I957" s="115"/>
      <c r="K957" s="114"/>
      <c r="M957" s="113"/>
      <c r="N957" s="110"/>
    </row>
    <row r="958" spans="7:14" ht="15">
      <c r="G958" s="115"/>
      <c r="I958" s="115"/>
      <c r="K958" s="114"/>
      <c r="M958" s="113"/>
      <c r="N958" s="110"/>
    </row>
    <row r="959" spans="7:14" ht="15">
      <c r="G959" s="115"/>
      <c r="I959" s="115"/>
      <c r="K959" s="114"/>
      <c r="M959" s="113"/>
      <c r="N959" s="110"/>
    </row>
    <row r="960" spans="7:14" ht="15">
      <c r="G960" s="115"/>
      <c r="I960" s="115"/>
      <c r="K960" s="114"/>
      <c r="M960" s="113"/>
      <c r="N960" s="110"/>
    </row>
    <row r="961" spans="7:14" ht="15">
      <c r="G961" s="115"/>
      <c r="I961" s="115"/>
      <c r="K961" s="114"/>
      <c r="M961" s="113"/>
      <c r="N961" s="110"/>
    </row>
    <row r="962" spans="7:14" ht="15">
      <c r="G962" s="115"/>
      <c r="I962" s="115"/>
      <c r="K962" s="114"/>
      <c r="M962" s="113"/>
      <c r="N962" s="110"/>
    </row>
    <row r="963" spans="7:14" ht="15">
      <c r="G963" s="115"/>
      <c r="I963" s="115"/>
      <c r="K963" s="114"/>
      <c r="M963" s="113"/>
      <c r="N963" s="110"/>
    </row>
    <row r="964" spans="7:14" ht="15">
      <c r="G964" s="115"/>
      <c r="I964" s="115"/>
      <c r="K964" s="114"/>
      <c r="M964" s="113"/>
      <c r="N964" s="110"/>
    </row>
    <row r="965" spans="7:14" ht="15">
      <c r="G965" s="115"/>
      <c r="I965" s="115"/>
      <c r="K965" s="114"/>
      <c r="M965" s="113"/>
      <c r="N965" s="110"/>
    </row>
    <row r="966" spans="7:14" ht="15">
      <c r="G966" s="115"/>
      <c r="I966" s="115"/>
      <c r="K966" s="114"/>
      <c r="M966" s="113"/>
      <c r="N966" s="110"/>
    </row>
    <row r="967" spans="7:14" ht="15">
      <c r="G967" s="115"/>
      <c r="I967" s="115"/>
      <c r="K967" s="114"/>
      <c r="M967" s="113"/>
      <c r="N967" s="110"/>
    </row>
    <row r="968" spans="7:14" ht="15">
      <c r="G968" s="115"/>
      <c r="I968" s="115"/>
      <c r="K968" s="114"/>
      <c r="M968" s="113"/>
      <c r="N968" s="110"/>
    </row>
    <row r="969" spans="7:14" ht="15">
      <c r="G969" s="115"/>
      <c r="I969" s="115"/>
      <c r="K969" s="114"/>
      <c r="M969" s="113"/>
      <c r="N969" s="110"/>
    </row>
    <row r="970" spans="7:14" ht="15">
      <c r="G970" s="115"/>
      <c r="I970" s="115"/>
      <c r="K970" s="114"/>
      <c r="M970" s="113"/>
      <c r="N970" s="110"/>
    </row>
    <row r="971" spans="7:14" ht="15">
      <c r="G971" s="115"/>
      <c r="I971" s="115"/>
      <c r="K971" s="114"/>
      <c r="M971" s="113"/>
      <c r="N971" s="110"/>
    </row>
    <row r="972" spans="7:14" ht="15">
      <c r="G972" s="115"/>
      <c r="I972" s="115"/>
      <c r="K972" s="114"/>
      <c r="M972" s="113"/>
      <c r="N972" s="110"/>
    </row>
    <row r="973" spans="7:14" ht="15">
      <c r="G973" s="115"/>
      <c r="I973" s="115"/>
      <c r="K973" s="114"/>
      <c r="M973" s="113"/>
      <c r="N973" s="110"/>
    </row>
    <row r="974" spans="7:14" ht="15">
      <c r="G974" s="115"/>
      <c r="I974" s="115"/>
      <c r="K974" s="114"/>
      <c r="M974" s="113"/>
      <c r="N974" s="110"/>
    </row>
    <row r="975" spans="7:14" ht="15">
      <c r="G975" s="115"/>
      <c r="I975" s="115"/>
      <c r="K975" s="114"/>
      <c r="M975" s="113"/>
      <c r="N975" s="110"/>
    </row>
    <row r="976" spans="7:14" ht="15">
      <c r="G976" s="115"/>
      <c r="I976" s="115"/>
      <c r="K976" s="114"/>
      <c r="M976" s="113"/>
      <c r="N976" s="110"/>
    </row>
    <row r="977" spans="7:14" ht="15">
      <c r="G977" s="115"/>
      <c r="I977" s="115"/>
      <c r="K977" s="114"/>
      <c r="M977" s="113"/>
      <c r="N977" s="110"/>
    </row>
    <row r="978" spans="7:14" ht="15">
      <c r="G978" s="115"/>
      <c r="I978" s="115"/>
      <c r="K978" s="114"/>
      <c r="M978" s="113"/>
      <c r="N978" s="110"/>
    </row>
    <row r="979" spans="7:14" ht="15">
      <c r="G979" s="115"/>
      <c r="I979" s="115"/>
      <c r="K979" s="114"/>
      <c r="M979" s="113"/>
      <c r="N979" s="110"/>
    </row>
    <row r="980" spans="7:14" ht="15">
      <c r="G980" s="115"/>
      <c r="I980" s="115"/>
      <c r="K980" s="114"/>
      <c r="M980" s="113"/>
      <c r="N980" s="110"/>
    </row>
    <row r="981" spans="7:14" ht="15">
      <c r="G981" s="115"/>
      <c r="I981" s="115"/>
      <c r="K981" s="114"/>
      <c r="M981" s="113"/>
      <c r="N981" s="110"/>
    </row>
    <row r="982" spans="7:14" ht="15">
      <c r="G982" s="115"/>
      <c r="I982" s="115"/>
      <c r="K982" s="114"/>
      <c r="M982" s="113"/>
      <c r="N982" s="110"/>
    </row>
    <row r="983" spans="7:14" ht="15">
      <c r="G983" s="115"/>
      <c r="I983" s="115"/>
      <c r="K983" s="114"/>
      <c r="M983" s="113"/>
      <c r="N983" s="110"/>
    </row>
    <row r="984" spans="7:14" ht="15">
      <c r="G984" s="115"/>
      <c r="I984" s="115"/>
      <c r="K984" s="114"/>
      <c r="M984" s="113"/>
      <c r="N984" s="110"/>
    </row>
    <row r="985" spans="7:14" ht="15">
      <c r="G985" s="115"/>
      <c r="I985" s="115"/>
      <c r="K985" s="114"/>
      <c r="M985" s="113"/>
      <c r="N985" s="110"/>
    </row>
    <row r="986" spans="7:14" ht="15">
      <c r="G986" s="115"/>
      <c r="I986" s="115"/>
      <c r="K986" s="114"/>
      <c r="M986" s="113"/>
      <c r="N986" s="110"/>
    </row>
    <row r="987" spans="7:14" ht="15">
      <c r="G987" s="115"/>
      <c r="I987" s="115"/>
      <c r="K987" s="114"/>
      <c r="M987" s="113"/>
      <c r="N987" s="110"/>
    </row>
    <row r="988" spans="7:14" ht="15">
      <c r="G988" s="115"/>
      <c r="I988" s="115"/>
      <c r="K988" s="114"/>
      <c r="M988" s="113"/>
      <c r="N988" s="110"/>
    </row>
    <row r="989" spans="7:14" ht="15">
      <c r="G989" s="115"/>
      <c r="I989" s="115"/>
      <c r="K989" s="114"/>
      <c r="M989" s="113"/>
      <c r="N989" s="110"/>
    </row>
    <row r="990" spans="7:14" ht="15">
      <c r="G990" s="115"/>
      <c r="I990" s="115"/>
      <c r="K990" s="114"/>
      <c r="M990" s="113"/>
      <c r="N990" s="110"/>
    </row>
    <row r="991" spans="7:14" ht="15">
      <c r="G991" s="115"/>
      <c r="I991" s="115"/>
      <c r="K991" s="114"/>
      <c r="M991" s="113"/>
      <c r="N991" s="110"/>
    </row>
    <row r="992" spans="7:14" ht="15">
      <c r="G992" s="115"/>
      <c r="I992" s="115"/>
      <c r="K992" s="114"/>
      <c r="M992" s="113"/>
      <c r="N992" s="110"/>
    </row>
    <row r="993" spans="7:14" ht="15">
      <c r="G993" s="115"/>
      <c r="I993" s="115"/>
      <c r="K993" s="114"/>
      <c r="M993" s="113"/>
      <c r="N993" s="110"/>
    </row>
    <row r="994" spans="7:14" ht="15">
      <c r="G994" s="115"/>
      <c r="I994" s="115"/>
      <c r="K994" s="114"/>
      <c r="M994" s="113"/>
      <c r="N994" s="110"/>
    </row>
    <row r="995" spans="7:14" ht="15">
      <c r="G995" s="115"/>
      <c r="I995" s="115"/>
      <c r="K995" s="114"/>
      <c r="M995" s="113"/>
      <c r="N995" s="110"/>
    </row>
    <row r="996" spans="7:14" ht="15">
      <c r="G996" s="115"/>
      <c r="I996" s="115"/>
      <c r="K996" s="114"/>
      <c r="M996" s="113"/>
      <c r="N996" s="110"/>
    </row>
    <row r="997" spans="7:14" ht="15">
      <c r="G997" s="115"/>
      <c r="I997" s="115"/>
      <c r="K997" s="114"/>
      <c r="M997" s="113"/>
      <c r="N997" s="110"/>
    </row>
    <row r="998" spans="7:14" ht="15">
      <c r="G998" s="115"/>
      <c r="I998" s="115"/>
      <c r="K998" s="114"/>
      <c r="M998" s="113"/>
      <c r="N998" s="110"/>
    </row>
    <row r="999" spans="7:14" ht="15">
      <c r="G999" s="115"/>
      <c r="I999" s="115"/>
      <c r="K999" s="114"/>
      <c r="M999" s="113"/>
      <c r="N999" s="110"/>
    </row>
    <row r="1000" spans="7:14" ht="15">
      <c r="G1000" s="115"/>
      <c r="I1000" s="115"/>
      <c r="K1000" s="114"/>
      <c r="M1000" s="113"/>
      <c r="N1000" s="110"/>
    </row>
    <row r="1001" spans="7:14" ht="15">
      <c r="G1001" s="115"/>
      <c r="I1001" s="115"/>
      <c r="K1001" s="114"/>
      <c r="M1001" s="113"/>
      <c r="N1001" s="110"/>
    </row>
    <row r="1002" spans="7:14" ht="15">
      <c r="G1002" s="115"/>
      <c r="I1002" s="115"/>
      <c r="K1002" s="114"/>
      <c r="M1002" s="113"/>
      <c r="N1002" s="110"/>
    </row>
    <row r="1003" spans="7:14" ht="15">
      <c r="G1003" s="115"/>
      <c r="I1003" s="115"/>
      <c r="K1003" s="114"/>
      <c r="M1003" s="113"/>
      <c r="N1003" s="110"/>
    </row>
    <row r="1004" spans="7:14" ht="15">
      <c r="G1004" s="115"/>
      <c r="I1004" s="115"/>
      <c r="K1004" s="114"/>
      <c r="M1004" s="113"/>
      <c r="N1004" s="110"/>
    </row>
    <row r="1005" spans="7:14" ht="15">
      <c r="G1005" s="115"/>
      <c r="I1005" s="115"/>
      <c r="K1005" s="114"/>
      <c r="M1005" s="113"/>
      <c r="N1005" s="110"/>
    </row>
    <row r="1006" spans="7:14" ht="15">
      <c r="G1006" s="115"/>
      <c r="I1006" s="115"/>
      <c r="K1006" s="114"/>
      <c r="M1006" s="113"/>
      <c r="N1006" s="110"/>
    </row>
    <row r="1007" spans="7:14" ht="15">
      <c r="G1007" s="115"/>
      <c r="I1007" s="115"/>
      <c r="K1007" s="114"/>
      <c r="M1007" s="113"/>
      <c r="N1007" s="110"/>
    </row>
    <row r="1008" spans="7:14" ht="15">
      <c r="G1008" s="115"/>
      <c r="I1008" s="115"/>
      <c r="K1008" s="114"/>
      <c r="M1008" s="113"/>
      <c r="N1008" s="110"/>
    </row>
    <row r="1009" spans="7:14" ht="15">
      <c r="G1009" s="115"/>
      <c r="I1009" s="115"/>
      <c r="K1009" s="114"/>
      <c r="M1009" s="113"/>
      <c r="N1009" s="110"/>
    </row>
    <row r="1010" spans="7:14" ht="15">
      <c r="G1010" s="115"/>
      <c r="I1010" s="115"/>
      <c r="K1010" s="114"/>
      <c r="M1010" s="113"/>
      <c r="N1010" s="110"/>
    </row>
    <row r="1011" spans="7:14" ht="15">
      <c r="G1011" s="115"/>
      <c r="I1011" s="115"/>
      <c r="K1011" s="114"/>
      <c r="M1011" s="113"/>
      <c r="N1011" s="110"/>
    </row>
    <row r="1012" spans="7:14" ht="15">
      <c r="G1012" s="115"/>
      <c r="I1012" s="115"/>
      <c r="K1012" s="114"/>
      <c r="M1012" s="113"/>
      <c r="N1012" s="110"/>
    </row>
    <row r="1013" spans="7:14" ht="15">
      <c r="G1013" s="115"/>
      <c r="I1013" s="115"/>
      <c r="K1013" s="114"/>
      <c r="M1013" s="113"/>
      <c r="N1013" s="110"/>
    </row>
    <row r="1014" spans="7:14" ht="15">
      <c r="G1014" s="115"/>
      <c r="I1014" s="115"/>
      <c r="K1014" s="114"/>
      <c r="M1014" s="113"/>
      <c r="N1014" s="110"/>
    </row>
    <row r="1015" spans="7:14" ht="15">
      <c r="G1015" s="115"/>
      <c r="I1015" s="115"/>
      <c r="K1015" s="114"/>
      <c r="M1015" s="113"/>
      <c r="N1015" s="110"/>
    </row>
    <row r="1016" spans="7:14" ht="15">
      <c r="G1016" s="115"/>
      <c r="I1016" s="115"/>
      <c r="K1016" s="114"/>
      <c r="M1016" s="113"/>
      <c r="N1016" s="110"/>
    </row>
    <row r="1017" spans="7:14" ht="15">
      <c r="G1017" s="115"/>
      <c r="I1017" s="115"/>
      <c r="K1017" s="114"/>
      <c r="M1017" s="113"/>
      <c r="N1017" s="110"/>
    </row>
  </sheetData>
  <sheetProtection/>
  <mergeCells count="15">
    <mergeCell ref="B9:F9"/>
    <mergeCell ref="E2:J2"/>
    <mergeCell ref="E3:N3"/>
    <mergeCell ref="A5:L5"/>
    <mergeCell ref="A6:L6"/>
    <mergeCell ref="A8:A10"/>
    <mergeCell ref="B8:F8"/>
    <mergeCell ref="G8:G10"/>
    <mergeCell ref="H8:H10"/>
    <mergeCell ref="I8:I10"/>
    <mergeCell ref="J8:J10"/>
    <mergeCell ref="K8:K10"/>
    <mergeCell ref="L8:L10"/>
    <mergeCell ref="M8:M10"/>
    <mergeCell ref="N8:N10"/>
  </mergeCells>
  <printOptions/>
  <pageMargins left="0.7874015748031497" right="0" top="0.1968503937007874" bottom="0" header="0.5118110236220472" footer="0.5118110236220472"/>
  <pageSetup horizontalDpi="600" verticalDpi="600" orientation="portrait" paperSize="9" scale="65" r:id="rId1"/>
  <rowBreaks count="2" manualBreakCount="2">
    <brk id="678" max="13" man="1"/>
    <brk id="73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zoomScalePageLayoutView="0" workbookViewId="0" topLeftCell="A1">
      <selection activeCell="I9" sqref="I9"/>
    </sheetView>
  </sheetViews>
  <sheetFormatPr defaultColWidth="9.140625" defaultRowHeight="15"/>
  <cols>
    <col min="1" max="1" width="43.421875" style="52" customWidth="1"/>
    <col min="2" max="2" width="26.28125" style="51" customWidth="1"/>
    <col min="3" max="3" width="24.7109375" style="50" hidden="1" customWidth="1"/>
    <col min="4" max="4" width="20.57421875" style="49" hidden="1" customWidth="1"/>
    <col min="5" max="5" width="17.8515625" style="49" hidden="1" customWidth="1"/>
    <col min="6" max="6" width="24.7109375" style="50" hidden="1" customWidth="1"/>
    <col min="7" max="7" width="15.28125" style="50" customWidth="1"/>
    <col min="8" max="8" width="16.28125" style="49" customWidth="1"/>
    <col min="9" max="9" width="13.140625" style="49" customWidth="1"/>
    <col min="10" max="16384" width="9.140625" style="49" customWidth="1"/>
  </cols>
  <sheetData>
    <row r="1" spans="1:10" ht="12">
      <c r="A1" s="76"/>
      <c r="D1" s="74"/>
      <c r="E1" s="74"/>
      <c r="F1" s="74"/>
      <c r="G1" s="496"/>
      <c r="H1" s="496"/>
      <c r="I1" s="74"/>
      <c r="J1" s="74"/>
    </row>
    <row r="2" spans="1:10" ht="12" customHeight="1">
      <c r="A2" s="76"/>
      <c r="D2" s="74"/>
      <c r="E2" s="74"/>
      <c r="F2" s="74"/>
      <c r="G2" s="496" t="s">
        <v>341</v>
      </c>
      <c r="H2" s="496"/>
      <c r="I2" s="74"/>
      <c r="J2" s="74"/>
    </row>
    <row r="3" spans="1:10" ht="39.75" customHeight="1">
      <c r="A3" s="76"/>
      <c r="D3" s="75"/>
      <c r="E3" s="75"/>
      <c r="F3" s="75"/>
      <c r="G3" s="497" t="s">
        <v>1013</v>
      </c>
      <c r="H3" s="497"/>
      <c r="I3" s="74"/>
      <c r="J3" s="74"/>
    </row>
    <row r="4" spans="2:7" ht="12" hidden="1">
      <c r="B4" s="73"/>
      <c r="C4" s="73"/>
      <c r="D4" s="73"/>
      <c r="E4" s="73"/>
      <c r="F4" s="73"/>
      <c r="G4" s="73"/>
    </row>
    <row r="5" spans="3:7" ht="25.5" customHeight="1">
      <c r="C5" s="72"/>
      <c r="F5" s="72"/>
      <c r="G5" s="72"/>
    </row>
    <row r="6" spans="1:7" ht="24.75" customHeight="1">
      <c r="A6" s="498" t="s">
        <v>340</v>
      </c>
      <c r="B6" s="499"/>
      <c r="C6" s="499"/>
      <c r="D6" s="499"/>
      <c r="E6" s="499"/>
      <c r="F6" s="499"/>
      <c r="G6" s="499"/>
    </row>
    <row r="7" spans="1:8" ht="12">
      <c r="A7" s="71"/>
      <c r="B7" s="70"/>
      <c r="C7" s="69"/>
      <c r="D7" s="49">
        <v>2011</v>
      </c>
      <c r="E7" s="49">
        <v>2012</v>
      </c>
      <c r="F7" s="69"/>
      <c r="G7" s="69"/>
      <c r="H7" s="49" t="s">
        <v>339</v>
      </c>
    </row>
    <row r="8" spans="1:9" ht="36.75" customHeight="1">
      <c r="A8" s="68" t="s">
        <v>338</v>
      </c>
      <c r="B8" s="67" t="s">
        <v>337</v>
      </c>
      <c r="C8" s="65" t="s">
        <v>336</v>
      </c>
      <c r="D8" s="65" t="s">
        <v>336</v>
      </c>
      <c r="E8" s="66" t="s">
        <v>336</v>
      </c>
      <c r="F8" s="65" t="s">
        <v>336</v>
      </c>
      <c r="G8" s="64" t="s">
        <v>1015</v>
      </c>
      <c r="H8" s="64" t="s">
        <v>1016</v>
      </c>
      <c r="I8" s="64" t="s">
        <v>1017</v>
      </c>
    </row>
    <row r="9" spans="1:9" ht="12">
      <c r="A9" s="55" t="s">
        <v>335</v>
      </c>
      <c r="B9" s="54"/>
      <c r="C9" s="61">
        <f>C10</f>
        <v>2580</v>
      </c>
      <c r="D9" s="61">
        <f>D10</f>
        <v>2604</v>
      </c>
      <c r="E9" s="62">
        <f>E10</f>
        <v>2671</v>
      </c>
      <c r="F9" s="61">
        <f>F10</f>
        <v>2101.2555699999994</v>
      </c>
      <c r="G9" s="61">
        <f>G10+G34</f>
        <v>15038.402689999999</v>
      </c>
      <c r="H9" s="61">
        <f>H10+H34</f>
        <v>2630.25231</v>
      </c>
      <c r="I9" s="61">
        <f aca="true" t="shared" si="0" ref="I9:I29">H9/G9*100</f>
        <v>17.490237256041986</v>
      </c>
    </row>
    <row r="10" spans="1:9" ht="24">
      <c r="A10" s="55" t="s">
        <v>334</v>
      </c>
      <c r="B10" s="54" t="s">
        <v>333</v>
      </c>
      <c r="C10" s="61">
        <f aca="true" t="shared" si="1" ref="C10:H10">C11+C18+C23</f>
        <v>2580</v>
      </c>
      <c r="D10" s="61">
        <f t="shared" si="1"/>
        <v>2604</v>
      </c>
      <c r="E10" s="62">
        <f t="shared" si="1"/>
        <v>2671</v>
      </c>
      <c r="F10" s="61">
        <f t="shared" si="1"/>
        <v>2101.2555699999994</v>
      </c>
      <c r="G10" s="61">
        <f t="shared" si="1"/>
        <v>15038.402689999999</v>
      </c>
      <c r="H10" s="61">
        <f t="shared" si="1"/>
        <v>2630.25231</v>
      </c>
      <c r="I10" s="61">
        <f t="shared" si="0"/>
        <v>17.490237256041986</v>
      </c>
    </row>
    <row r="11" spans="1:9" ht="24" customHeight="1">
      <c r="A11" s="55" t="s">
        <v>290</v>
      </c>
      <c r="B11" s="54" t="s">
        <v>289</v>
      </c>
      <c r="C11" s="61">
        <f aca="true" t="shared" si="2" ref="C11:H11">C12+C14</f>
        <v>2700</v>
      </c>
      <c r="D11" s="61">
        <f t="shared" si="2"/>
        <v>1794</v>
      </c>
      <c r="E11" s="62">
        <f t="shared" si="2"/>
        <v>1861</v>
      </c>
      <c r="F11" s="61">
        <f t="shared" si="2"/>
        <v>2101.26</v>
      </c>
      <c r="G11" s="61">
        <f t="shared" si="2"/>
        <v>12938.402689999999</v>
      </c>
      <c r="H11" s="61">
        <f t="shared" si="2"/>
        <v>1164.70231</v>
      </c>
      <c r="I11" s="61">
        <f t="shared" si="0"/>
        <v>9.001901841408833</v>
      </c>
    </row>
    <row r="12" spans="1:9" ht="21" customHeight="1" hidden="1">
      <c r="A12" s="60" t="s">
        <v>332</v>
      </c>
      <c r="B12" s="59" t="s">
        <v>331</v>
      </c>
      <c r="C12" s="57">
        <f aca="true" t="shared" si="3" ref="C12:H12">C13</f>
        <v>6330</v>
      </c>
      <c r="D12" s="57">
        <f t="shared" si="3"/>
        <v>6234</v>
      </c>
      <c r="E12" s="58">
        <f t="shared" si="3"/>
        <v>7442</v>
      </c>
      <c r="F12" s="57">
        <f t="shared" si="3"/>
        <v>2101.26</v>
      </c>
      <c r="G12" s="57">
        <f t="shared" si="3"/>
        <v>0</v>
      </c>
      <c r="H12" s="57">
        <f t="shared" si="3"/>
        <v>0</v>
      </c>
      <c r="I12" s="57" t="e">
        <f t="shared" si="0"/>
        <v>#DIV/0!</v>
      </c>
    </row>
    <row r="13" spans="1:9" ht="26.25" customHeight="1" hidden="1">
      <c r="A13" s="60" t="s">
        <v>330</v>
      </c>
      <c r="B13" s="59" t="s">
        <v>329</v>
      </c>
      <c r="C13" s="57">
        <f>2580+3630+120</f>
        <v>6330</v>
      </c>
      <c r="D13" s="57">
        <f>2604+3630</f>
        <v>6234</v>
      </c>
      <c r="E13" s="58">
        <f>2671+3630+1141</f>
        <v>7442</v>
      </c>
      <c r="F13" s="57">
        <v>2101.26</v>
      </c>
      <c r="G13" s="57"/>
      <c r="H13" s="57"/>
      <c r="I13" s="57" t="e">
        <f t="shared" si="0"/>
        <v>#DIV/0!</v>
      </c>
    </row>
    <row r="14" spans="1:9" ht="18" customHeight="1">
      <c r="A14" s="60" t="s">
        <v>328</v>
      </c>
      <c r="B14" s="59" t="s">
        <v>327</v>
      </c>
      <c r="C14" s="57">
        <f aca="true" t="shared" si="4" ref="C14:H14">C15</f>
        <v>-3630</v>
      </c>
      <c r="D14" s="57">
        <f t="shared" si="4"/>
        <v>-4440</v>
      </c>
      <c r="E14" s="58">
        <f t="shared" si="4"/>
        <v>-5581</v>
      </c>
      <c r="F14" s="57">
        <f t="shared" si="4"/>
        <v>0</v>
      </c>
      <c r="G14" s="57">
        <f t="shared" si="4"/>
        <v>12938.402689999999</v>
      </c>
      <c r="H14" s="57">
        <f t="shared" si="4"/>
        <v>1164.70231</v>
      </c>
      <c r="I14" s="57">
        <f t="shared" si="0"/>
        <v>9.001901841408833</v>
      </c>
    </row>
    <row r="15" spans="1:9" ht="27" customHeight="1">
      <c r="A15" s="60" t="s">
        <v>326</v>
      </c>
      <c r="B15" s="59" t="s">
        <v>325</v>
      </c>
      <c r="C15" s="57">
        <v>-3630</v>
      </c>
      <c r="D15" s="57">
        <f>-3630+(-810)</f>
        <v>-4440</v>
      </c>
      <c r="E15" s="58">
        <f>-4440+(-1141)</f>
        <v>-5581</v>
      </c>
      <c r="F15" s="57"/>
      <c r="G15" s="57">
        <f>SUM(G16:G17)</f>
        <v>12938.402689999999</v>
      </c>
      <c r="H15" s="57">
        <v>1164.70231</v>
      </c>
      <c r="I15" s="57">
        <f t="shared" si="0"/>
        <v>9.001901841408833</v>
      </c>
    </row>
    <row r="16" spans="1:9" ht="12" hidden="1">
      <c r="A16" s="63" t="s">
        <v>324</v>
      </c>
      <c r="B16" s="59"/>
      <c r="C16" s="57"/>
      <c r="D16" s="57"/>
      <c r="E16" s="58"/>
      <c r="F16" s="57"/>
      <c r="G16" s="57">
        <f>2943.16957+1173.65528</f>
        <v>4116.82485</v>
      </c>
      <c r="H16" s="57"/>
      <c r="I16" s="57">
        <f t="shared" si="0"/>
        <v>0</v>
      </c>
    </row>
    <row r="17" spans="1:9" ht="12" hidden="1">
      <c r="A17" s="63" t="s">
        <v>323</v>
      </c>
      <c r="B17" s="59"/>
      <c r="C17" s="57"/>
      <c r="D17" s="57"/>
      <c r="E17" s="58"/>
      <c r="F17" s="57"/>
      <c r="G17" s="57">
        <v>8821.57784</v>
      </c>
      <c r="H17" s="57"/>
      <c r="I17" s="57">
        <f t="shared" si="0"/>
        <v>0</v>
      </c>
    </row>
    <row r="18" spans="1:9" ht="30" customHeight="1">
      <c r="A18" s="55" t="s">
        <v>322</v>
      </c>
      <c r="B18" s="54" t="s">
        <v>321</v>
      </c>
      <c r="C18" s="61">
        <f aca="true" t="shared" si="5" ref="C18:H18">C19+C21</f>
        <v>-1319</v>
      </c>
      <c r="D18" s="61">
        <f t="shared" si="5"/>
        <v>-390</v>
      </c>
      <c r="E18" s="62">
        <f t="shared" si="5"/>
        <v>-390</v>
      </c>
      <c r="F18" s="61">
        <f t="shared" si="5"/>
        <v>-1724.3344300000008</v>
      </c>
      <c r="G18" s="61">
        <f t="shared" si="5"/>
        <v>864.3299999999999</v>
      </c>
      <c r="H18" s="61">
        <f t="shared" si="5"/>
        <v>864.3299999999999</v>
      </c>
      <c r="I18" s="61">
        <f t="shared" si="0"/>
        <v>100</v>
      </c>
    </row>
    <row r="19" spans="1:9" ht="36" customHeight="1">
      <c r="A19" s="60" t="s">
        <v>320</v>
      </c>
      <c r="B19" s="59" t="s">
        <v>319</v>
      </c>
      <c r="C19" s="57">
        <f aca="true" t="shared" si="6" ref="C19:H19">C20</f>
        <v>5000</v>
      </c>
      <c r="D19" s="57">
        <f t="shared" si="6"/>
        <v>5000</v>
      </c>
      <c r="E19" s="58">
        <f t="shared" si="6"/>
        <v>5000</v>
      </c>
      <c r="F19" s="57">
        <f t="shared" si="6"/>
        <v>2898.74</v>
      </c>
      <c r="G19" s="57">
        <f t="shared" si="6"/>
        <v>2100</v>
      </c>
      <c r="H19" s="57">
        <f t="shared" si="6"/>
        <v>2100</v>
      </c>
      <c r="I19" s="57">
        <f t="shared" si="0"/>
        <v>100</v>
      </c>
    </row>
    <row r="20" spans="1:9" ht="42" customHeight="1">
      <c r="A20" s="60" t="s">
        <v>318</v>
      </c>
      <c r="B20" s="59" t="s">
        <v>317</v>
      </c>
      <c r="C20" s="57">
        <v>5000</v>
      </c>
      <c r="D20" s="57">
        <v>5000</v>
      </c>
      <c r="E20" s="58">
        <v>5000</v>
      </c>
      <c r="F20" s="57">
        <f>5000-2101.26</f>
        <v>2898.74</v>
      </c>
      <c r="G20" s="57">
        <v>2100</v>
      </c>
      <c r="H20" s="57">
        <v>2100</v>
      </c>
      <c r="I20" s="57">
        <f t="shared" si="0"/>
        <v>100</v>
      </c>
    </row>
    <row r="21" spans="1:9" ht="40.5" customHeight="1">
      <c r="A21" s="60" t="s">
        <v>316</v>
      </c>
      <c r="B21" s="59" t="s">
        <v>315</v>
      </c>
      <c r="C21" s="57">
        <f aca="true" t="shared" si="7" ref="C21:H21">C22</f>
        <v>-6319</v>
      </c>
      <c r="D21" s="57">
        <f t="shared" si="7"/>
        <v>-5390</v>
      </c>
      <c r="E21" s="58">
        <f t="shared" si="7"/>
        <v>-5390</v>
      </c>
      <c r="F21" s="57">
        <f t="shared" si="7"/>
        <v>-4623.074430000001</v>
      </c>
      <c r="G21" s="57">
        <f t="shared" si="7"/>
        <v>-1235.67</v>
      </c>
      <c r="H21" s="57">
        <f t="shared" si="7"/>
        <v>-1235.67</v>
      </c>
      <c r="I21" s="57">
        <f t="shared" si="0"/>
        <v>100</v>
      </c>
    </row>
    <row r="22" spans="1:9" ht="48.75" customHeight="1">
      <c r="A22" s="60" t="s">
        <v>314</v>
      </c>
      <c r="B22" s="59" t="s">
        <v>313</v>
      </c>
      <c r="C22" s="57">
        <f>-929+(-390)+(-5000)</f>
        <v>-6319</v>
      </c>
      <c r="D22" s="57">
        <f>(-390)+(-5000)</f>
        <v>-5390</v>
      </c>
      <c r="E22" s="58">
        <f>(-390)+(-5000)</f>
        <v>-5390</v>
      </c>
      <c r="F22" s="57">
        <f>-833-402.67443-2067.26-1354.14+34</f>
        <v>-4623.074430000001</v>
      </c>
      <c r="G22" s="57">
        <v>-1235.67</v>
      </c>
      <c r="H22" s="57">
        <v>-1235.67</v>
      </c>
      <c r="I22" s="57">
        <f t="shared" si="0"/>
        <v>100</v>
      </c>
    </row>
    <row r="23" spans="1:9" ht="30" customHeight="1">
      <c r="A23" s="55" t="s">
        <v>312</v>
      </c>
      <c r="B23" s="54" t="s">
        <v>311</v>
      </c>
      <c r="C23" s="61">
        <f aca="true" t="shared" si="8" ref="C23:H23">C24+C27</f>
        <v>1199</v>
      </c>
      <c r="D23" s="61">
        <f t="shared" si="8"/>
        <v>1200</v>
      </c>
      <c r="E23" s="62">
        <f t="shared" si="8"/>
        <v>1200</v>
      </c>
      <c r="F23" s="61">
        <f t="shared" si="8"/>
        <v>1724.33</v>
      </c>
      <c r="G23" s="61">
        <f t="shared" si="8"/>
        <v>1235.67</v>
      </c>
      <c r="H23" s="61">
        <f t="shared" si="8"/>
        <v>601.22</v>
      </c>
      <c r="I23" s="61">
        <f t="shared" si="0"/>
        <v>48.6553853375092</v>
      </c>
    </row>
    <row r="24" spans="1:9" ht="21" customHeight="1" hidden="1">
      <c r="A24" s="55" t="s">
        <v>310</v>
      </c>
      <c r="B24" s="54" t="s">
        <v>309</v>
      </c>
      <c r="C24" s="61">
        <f aca="true" t="shared" si="9" ref="C24:H25">C25</f>
        <v>0</v>
      </c>
      <c r="D24" s="61">
        <f t="shared" si="9"/>
        <v>0</v>
      </c>
      <c r="E24" s="62">
        <f t="shared" si="9"/>
        <v>0</v>
      </c>
      <c r="F24" s="61">
        <f t="shared" si="9"/>
        <v>0</v>
      </c>
      <c r="G24" s="61">
        <f t="shared" si="9"/>
        <v>0</v>
      </c>
      <c r="H24" s="61">
        <f t="shared" si="9"/>
        <v>0</v>
      </c>
      <c r="I24" s="61" t="e">
        <f t="shared" si="0"/>
        <v>#DIV/0!</v>
      </c>
    </row>
    <row r="25" spans="1:9" ht="36.75" customHeight="1" hidden="1">
      <c r="A25" s="60" t="s">
        <v>308</v>
      </c>
      <c r="B25" s="59" t="s">
        <v>307</v>
      </c>
      <c r="C25" s="57">
        <f t="shared" si="9"/>
        <v>0</v>
      </c>
      <c r="D25" s="57">
        <f t="shared" si="9"/>
        <v>0</v>
      </c>
      <c r="E25" s="58">
        <f t="shared" si="9"/>
        <v>0</v>
      </c>
      <c r="F25" s="57">
        <f t="shared" si="9"/>
        <v>0</v>
      </c>
      <c r="G25" s="57">
        <f t="shared" si="9"/>
        <v>0</v>
      </c>
      <c r="H25" s="57">
        <f t="shared" si="9"/>
        <v>0</v>
      </c>
      <c r="I25" s="57" t="e">
        <f t="shared" si="0"/>
        <v>#DIV/0!</v>
      </c>
    </row>
    <row r="26" spans="1:9" ht="37.5" customHeight="1" hidden="1">
      <c r="A26" s="60" t="s">
        <v>306</v>
      </c>
      <c r="B26" s="59" t="s">
        <v>305</v>
      </c>
      <c r="C26" s="57"/>
      <c r="D26" s="57"/>
      <c r="E26" s="58"/>
      <c r="F26" s="57"/>
      <c r="G26" s="57"/>
      <c r="H26" s="57"/>
      <c r="I26" s="57" t="e">
        <f t="shared" si="0"/>
        <v>#DIV/0!</v>
      </c>
    </row>
    <row r="27" spans="1:9" ht="24" customHeight="1">
      <c r="A27" s="55" t="s">
        <v>304</v>
      </c>
      <c r="B27" s="54" t="s">
        <v>303</v>
      </c>
      <c r="C27" s="61">
        <f aca="true" t="shared" si="10" ref="C27:H27">C28-C31</f>
        <v>1199</v>
      </c>
      <c r="D27" s="61">
        <f t="shared" si="10"/>
        <v>1200</v>
      </c>
      <c r="E27" s="62">
        <f t="shared" si="10"/>
        <v>1200</v>
      </c>
      <c r="F27" s="61">
        <f t="shared" si="10"/>
        <v>1724.33</v>
      </c>
      <c r="G27" s="61">
        <f t="shared" si="10"/>
        <v>1235.67</v>
      </c>
      <c r="H27" s="61">
        <f t="shared" si="10"/>
        <v>601.22</v>
      </c>
      <c r="I27" s="61">
        <f t="shared" si="0"/>
        <v>48.6553853375092</v>
      </c>
    </row>
    <row r="28" spans="1:9" ht="26.25" customHeight="1">
      <c r="A28" s="60" t="s">
        <v>302</v>
      </c>
      <c r="B28" s="59" t="s">
        <v>301</v>
      </c>
      <c r="C28" s="57">
        <f aca="true" t="shared" si="11" ref="C28:H28">C29+C30</f>
        <v>1199</v>
      </c>
      <c r="D28" s="57">
        <f t="shared" si="11"/>
        <v>1200</v>
      </c>
      <c r="E28" s="58">
        <f t="shared" si="11"/>
        <v>1200</v>
      </c>
      <c r="F28" s="57">
        <f t="shared" si="11"/>
        <v>1724.33</v>
      </c>
      <c r="G28" s="57">
        <f t="shared" si="11"/>
        <v>1235.67</v>
      </c>
      <c r="H28" s="57">
        <f t="shared" si="11"/>
        <v>601.22</v>
      </c>
      <c r="I28" s="57">
        <f t="shared" si="0"/>
        <v>48.6553853375092</v>
      </c>
    </row>
    <row r="29" spans="1:9" ht="34.5" customHeight="1">
      <c r="A29" s="60" t="s">
        <v>300</v>
      </c>
      <c r="B29" s="59" t="s">
        <v>299</v>
      </c>
      <c r="C29" s="57">
        <f>1199</f>
        <v>1199</v>
      </c>
      <c r="D29" s="57">
        <f>1200</f>
        <v>1200</v>
      </c>
      <c r="E29" s="58">
        <v>1200</v>
      </c>
      <c r="F29" s="57">
        <v>1724.33</v>
      </c>
      <c r="G29" s="57">
        <v>1235.67</v>
      </c>
      <c r="H29" s="57">
        <v>601.22</v>
      </c>
      <c r="I29" s="57">
        <f t="shared" si="0"/>
        <v>48.6553853375092</v>
      </c>
    </row>
    <row r="30" spans="1:7" ht="54.75" customHeight="1" hidden="1">
      <c r="A30" s="60" t="s">
        <v>298</v>
      </c>
      <c r="B30" s="59" t="s">
        <v>297</v>
      </c>
      <c r="C30" s="57">
        <v>0</v>
      </c>
      <c r="D30" s="57">
        <v>0</v>
      </c>
      <c r="E30" s="58">
        <v>0</v>
      </c>
      <c r="F30" s="57">
        <v>0</v>
      </c>
      <c r="G30" s="56"/>
    </row>
    <row r="31" spans="1:7" ht="26.25" customHeight="1" hidden="1">
      <c r="A31" s="60" t="s">
        <v>296</v>
      </c>
      <c r="B31" s="59" t="s">
        <v>295</v>
      </c>
      <c r="C31" s="57">
        <f>C33+C32</f>
        <v>0</v>
      </c>
      <c r="D31" s="57">
        <f>D33+D32</f>
        <v>0</v>
      </c>
      <c r="E31" s="58">
        <f>E33+E32</f>
        <v>0</v>
      </c>
      <c r="F31" s="57">
        <f>F33+F32</f>
        <v>0</v>
      </c>
      <c r="G31" s="56"/>
    </row>
    <row r="32" spans="1:7" ht="45" customHeight="1" hidden="1">
      <c r="A32" s="60" t="s">
        <v>294</v>
      </c>
      <c r="B32" s="59" t="s">
        <v>293</v>
      </c>
      <c r="C32" s="57">
        <v>0</v>
      </c>
      <c r="D32" s="57">
        <v>0</v>
      </c>
      <c r="E32" s="58">
        <v>0</v>
      </c>
      <c r="F32" s="57">
        <v>0</v>
      </c>
      <c r="G32" s="56"/>
    </row>
    <row r="33" spans="1:7" ht="38.25" customHeight="1" hidden="1">
      <c r="A33" s="60" t="s">
        <v>292</v>
      </c>
      <c r="B33" s="59" t="s">
        <v>291</v>
      </c>
      <c r="C33" s="57">
        <v>0</v>
      </c>
      <c r="D33" s="57">
        <v>0</v>
      </c>
      <c r="E33" s="58">
        <v>0</v>
      </c>
      <c r="F33" s="57">
        <v>0</v>
      </c>
      <c r="G33" s="56"/>
    </row>
    <row r="34" spans="1:8" ht="29.25" customHeight="1" hidden="1">
      <c r="A34" s="55" t="s">
        <v>290</v>
      </c>
      <c r="B34" s="54" t="s">
        <v>289</v>
      </c>
      <c r="H34" s="53"/>
    </row>
  </sheetData>
  <sheetProtection/>
  <mergeCells count="4">
    <mergeCell ref="G1:H1"/>
    <mergeCell ref="G2:H2"/>
    <mergeCell ref="G3:H3"/>
    <mergeCell ref="A6:G6"/>
  </mergeCells>
  <printOptions/>
  <pageMargins left="0.984251968503937" right="0.1968503937007874" top="0.5905511811023623" bottom="0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2012-05-15T04:27:44Z</cp:lastPrinted>
  <dcterms:created xsi:type="dcterms:W3CDTF">2011-05-25T09:02:18Z</dcterms:created>
  <dcterms:modified xsi:type="dcterms:W3CDTF">2012-05-15T04:28:31Z</dcterms:modified>
  <cp:category/>
  <cp:version/>
  <cp:contentType/>
  <cp:contentStatus/>
</cp:coreProperties>
</file>