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812 прил 2" sheetId="1" r:id="rId1"/>
    <sheet name="прил 8 (разд, подразд)" sheetId="2" r:id="rId2"/>
    <sheet name="10 прил(гл.расп,расх) правка" sheetId="3" r:id="rId3"/>
    <sheet name="Прилож.14 (кап стр)" sheetId="4" r:id="rId4"/>
    <sheet name="пРИЛ 15 ПУБЛИЧН." sheetId="5" r:id="rId5"/>
    <sheet name="Приложение 17 (2011)" sheetId="6" r:id="rId6"/>
    <sheet name="Лист1" sheetId="7" r:id="rId7"/>
  </sheets>
  <externalReferences>
    <externalReference r:id="rId10"/>
  </externalReferences>
  <definedNames>
    <definedName name="В11" localSheetId="2">'10 прил(гл.расп,расх) правка'!$A$15</definedName>
    <definedName name="В11" localSheetId="3">#REF!</definedName>
    <definedName name="В11" localSheetId="5">#REF!</definedName>
    <definedName name="В11">#REF!</definedName>
    <definedName name="_xlnm.Print_Titles" localSheetId="2">'10 прил(гл.расп,расх) правка'!$11:$11</definedName>
    <definedName name="_xlnm.Print_Area" localSheetId="2">'10 прил(гл.расп,расх) правка'!$A$2:$N$810</definedName>
    <definedName name="_xlnm.Print_Area" localSheetId="0">'2812 прил 2'!$A$2:$F$157</definedName>
    <definedName name="_xlnm.Print_Area" localSheetId="4">'пРИЛ 15 ПУБЛИЧН.'!$A$1:$S$29</definedName>
    <definedName name="_xlnm.Print_Area" localSheetId="1">'прил 8 (разд, подразд)'!$B$2:$I$78</definedName>
    <definedName name="_xlnm.Print_Area" localSheetId="3">'Прилож.14 (кап стр)'!$A$2:$N$36</definedName>
    <definedName name="_xlnm.Print_Area" localSheetId="5">'Приложение 17 (2011)'!$A$2:$AQ$31</definedName>
  </definedNames>
  <calcPr fullCalcOnLoad="1"/>
</workbook>
</file>

<file path=xl/sharedStrings.xml><?xml version="1.0" encoding="utf-8"?>
<sst xmlns="http://schemas.openxmlformats.org/spreadsheetml/2006/main" count="4574" uniqueCount="1111">
  <si>
    <t>А</t>
  </si>
  <si>
    <t>1.1.</t>
  </si>
  <si>
    <t>1.2.</t>
  </si>
  <si>
    <t>1.3.</t>
  </si>
  <si>
    <t>1.4.</t>
  </si>
  <si>
    <t>1.5.</t>
  </si>
  <si>
    <t>Иные межбюджетные трансферты</t>
  </si>
  <si>
    <t>3.1.</t>
  </si>
  <si>
    <t>РАСПРЕДЕЛЕНИЕ</t>
  </si>
  <si>
    <t>расходов бюджета муниципального образования  "Онгудайский район" на 2011 год                                           по разделам и подразделам   классификации расходов бюджетов Российской Федерации</t>
  </si>
  <si>
    <t>тыс.рублей</t>
  </si>
  <si>
    <t>Наименование разделов и подразделов</t>
  </si>
  <si>
    <t>Рз</t>
  </si>
  <si>
    <t>Пр</t>
  </si>
  <si>
    <t>Сумма на 2009 год</t>
  </si>
  <si>
    <t xml:space="preserve">Изменения и дополнения </t>
  </si>
  <si>
    <t>Сумма на  2011 г.</t>
  </si>
  <si>
    <t>Сумма на утверждение 2011 г.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</si>
  <si>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</si>
  <si>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</si>
  <si>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</si>
  <si>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</si>
  <si>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</si>
  <si>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</si>
  <si>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</si>
  <si>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</si>
  <si>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</si>
  <si>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</si>
  <si>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</si>
  <si>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</si>
  <si>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</si>
  <si>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</si>
  <si>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</si>
  <si>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Обслуживание государственного и муниципального долга</t>
  </si>
  <si>
    <t>11</t>
  </si>
  <si>
    <t>Резервные фонды</t>
  </si>
  <si>
    <t>12</t>
  </si>
  <si>
    <t>13</t>
  </si>
  <si>
    <t>Другие общегосударственные вопросы</t>
  </si>
  <si>
    <t>14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</si>
  <si>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</si>
  <si>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</si>
  <si>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</si>
  <si>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</si>
  <si>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</si>
  <si>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</si>
  <si>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</si>
  <si>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09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</si>
  <si>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</si>
  <si>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</si>
  <si>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</si>
  <si>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</si>
  <si>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</si>
  <si>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</si>
  <si>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</si>
  <si>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</si>
  <si>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</si>
  <si>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 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</si>
  <si>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</si>
  <si>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</si>
  <si>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</si>
  <si>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</si>
  <si>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</si>
  <si>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</si>
  <si>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0700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</si>
  <si>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</si>
  <si>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</si>
  <si>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</si>
  <si>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</si>
  <si>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</si>
  <si>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</si>
  <si>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>0800</t>
  </si>
  <si>
    <t>Культура</t>
  </si>
  <si>
    <t>Периодическая печать и издательства</t>
  </si>
  <si>
    <t xml:space="preserve">Другие вопросы в области культуры, кинематографии </t>
  </si>
  <si>
    <t>Другие вопросы в области культуры, кинематографии и стредств массовой информации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</si>
  <si>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</si>
  <si>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</si>
  <si>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</si>
  <si>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</si>
  <si>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</si>
  <si>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Прикладные научные исследования в области здравоохранения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</si>
  <si>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</si>
  <si>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</si>
  <si>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</si>
  <si>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10</t>
  </si>
  <si>
    <t>Социальная политика</t>
  </si>
  <si>
    <t>1000</t>
  </si>
  <si>
    <t>Пенсионное обеспечение</t>
  </si>
  <si>
    <t>Социальное обслуживание населения</t>
  </si>
  <si>
    <t>Социальное обеспечение население</t>
  </si>
  <si>
    <t>Охрана семьи  и детства</t>
  </si>
  <si>
    <t>Другие вопросы в области социальной политики</t>
  </si>
  <si>
    <t>Межбюджетные трансферты</t>
  </si>
  <si>
    <t>1100</t>
  </si>
  <si>
    <t>Дотации бюджетам субъектов Российской Федерации и муниципальных образований</t>
  </si>
  <si>
    <t>Физическая культура</t>
  </si>
  <si>
    <t>Средства массовой информации</t>
  </si>
  <si>
    <t>1200</t>
  </si>
  <si>
    <t>1300</t>
  </si>
  <si>
    <t>Обслуживание внутреннего государственного и муниципального долга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</si>
  <si>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</si>
  <si>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</si>
  <si>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</si>
  <si>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Иные дотации</t>
  </si>
  <si>
    <t>Прочие межбюджетные трансферты бюджетам субъектов РФ и муниципальных образований общего характера</t>
  </si>
  <si>
    <t>ВСЕГО РАСХОДОВ</t>
  </si>
  <si>
    <t xml:space="preserve">Распределение </t>
  </si>
  <si>
    <t>расходов бюджета муниципального образования  "Онгудайский район" по главным распорядителям бюджетных средств, разделам, подразделам, целевым статьям расходов, видам расходов  классификации расходов бюджетов Российской Федерации на 2011 год</t>
  </si>
  <si>
    <t xml:space="preserve">Наименование </t>
  </si>
  <si>
    <t>КОДЫ</t>
  </si>
  <si>
    <t>Изменения и дополнения   (тыс.руб)</t>
  </si>
  <si>
    <t>Сумма на 2009 год (тыс.руб.)</t>
  </si>
  <si>
    <t>Сумма на 2011г (тыс.руб.)</t>
  </si>
  <si>
    <t>Сумма на утверждение   2011г (тыс.руб.)</t>
  </si>
  <si>
    <t>Сумма на утверждение   2009г (тыс.руб.)</t>
  </si>
  <si>
    <t>Функциональной классификации расходов</t>
  </si>
  <si>
    <r>
      <t>Главный</t>
    </r>
    <r>
      <rPr>
        <b/>
        <sz val="11"/>
        <rFont val="Times New Roman"/>
        <family val="1"/>
      </rPr>
      <t xml:space="preserve"> распорядитель, распорядитель средств</t>
    </r>
  </si>
  <si>
    <t>Раздел</t>
  </si>
  <si>
    <t>Подраздел</t>
  </si>
  <si>
    <t>Целевая статья**</t>
  </si>
  <si>
    <t>Вид расхода**</t>
  </si>
  <si>
    <t>МУЗ  Онгудайская ЦРБ</t>
  </si>
  <si>
    <t>055</t>
  </si>
  <si>
    <t xml:space="preserve">Образование </t>
  </si>
  <si>
    <t>Профессиональная подготовка, переподготовка и повышение квалификации кадров</t>
  </si>
  <si>
    <t>Учебные заведения и курсы по переподготовке кадров</t>
  </si>
  <si>
    <t>4290000</t>
  </si>
  <si>
    <t>Переподготовка и повышение квалификации кадров</t>
  </si>
  <si>
    <t>4297800</t>
  </si>
  <si>
    <t>Выполнение функций государственными органами</t>
  </si>
  <si>
    <t>500</t>
  </si>
  <si>
    <t>4340000</t>
  </si>
  <si>
    <t>Выполнение функций органами местного самоуправления</t>
  </si>
  <si>
    <t>Здравоохранение</t>
  </si>
  <si>
    <t>Резервный фонд Правительства Республики Алтай по предупреждению и ликвидации чрезвычайных ситуаций и последствий стихийных бедствий</t>
  </si>
  <si>
    <t>0700400</t>
  </si>
  <si>
    <t xml:space="preserve">Резервный фонд Правительства Республики Алтай </t>
  </si>
  <si>
    <t>0700402</t>
  </si>
  <si>
    <t>Выполнение функций  бюджетными учреждениями</t>
  </si>
  <si>
    <t>001</t>
  </si>
  <si>
    <t>Больницы, клиники, госпитали, медико- санитарные части</t>
  </si>
  <si>
    <t>4700000</t>
  </si>
  <si>
    <t>Обеспечение деятельности подведомственных учреждений</t>
  </si>
  <si>
    <t>4709900</t>
  </si>
  <si>
    <t>Выполнение функций бюджетными учреждениями, за счет средств от предпринимательской и иной приносящей доход деятельности</t>
  </si>
  <si>
    <t>4709901</t>
  </si>
  <si>
    <t>Поликлиники, амбулатории, диагностические центры</t>
  </si>
  <si>
    <t>4710000</t>
  </si>
  <si>
    <t>4719900</t>
  </si>
  <si>
    <t>Выполнение функций бюджетными учреждениями</t>
  </si>
  <si>
    <t>Субсидии на капитальный,текущий ремонт объектов социо-культурной сферы</t>
  </si>
  <si>
    <t>4709902</t>
  </si>
  <si>
    <t>Софинансирование субсидии на кап.,текущий ремонт объктов социо-культ.сферы</t>
  </si>
  <si>
    <t>4709903</t>
  </si>
  <si>
    <t>Территориальная программа государственных гарантий оказания гражданам РФ на территории РА бесплатной медицинской помощи</t>
  </si>
  <si>
    <t>7959100</t>
  </si>
  <si>
    <t>Мероприятия по реализации проекта в рамках преимущественно одноканального финансирования</t>
  </si>
  <si>
    <t>797</t>
  </si>
  <si>
    <t>4719902</t>
  </si>
  <si>
    <t>4719903</t>
  </si>
  <si>
    <t>Фельдшерско- акушерские пункты</t>
  </si>
  <si>
    <t>4780000</t>
  </si>
  <si>
    <t>4789900</t>
  </si>
  <si>
    <t>4789902</t>
  </si>
  <si>
    <t>4789903</t>
  </si>
  <si>
    <t>Финансовое обеспечение государственного задания в соответствии с программой  государственных гарантий  оказания гражданам РФ бесплаттной мед.помощи на оказание дополнительной бесплатной  медицинской помощи, оказыавемой врачами - трапевтами участковыми, врачами-педиатрами участковыми, врачами общей практики и медицинскими сестрами врачей -терапевтов, врачей -педиатров участковыми и  врачей общей практики</t>
  </si>
  <si>
    <t>5054100</t>
  </si>
  <si>
    <t>Иные безвозмездные и безвозвратные перечисления</t>
  </si>
  <si>
    <t>5200000</t>
  </si>
  <si>
    <t>Денежные выплаты медицинскому персоналу фельдшерско- акушерских пунктов, врачам, фельдшерам и медицинским сестрам скорой медицинской помощи</t>
  </si>
  <si>
    <t>5201800</t>
  </si>
  <si>
    <t>Учебно- методические кабинеты, централизованные бухгалтерии, группы хозяйственного обслуживания</t>
  </si>
  <si>
    <t>4520000</t>
  </si>
  <si>
    <t>4529900</t>
  </si>
  <si>
    <t>МЦП "Вакцинопрофилактика заболеваний, управляемых иммунизацией в МО "Онгудайский район" на 2008-2010г"</t>
  </si>
  <si>
    <t>МЦП "Профилактика и предупреждение распространения туберкулеза в МО "Онгудайский район" на 2009-2011г</t>
  </si>
  <si>
    <t>МЦП "Вакцинопрофилактика заболеваний, управляемых иммунизацией в МО "Онгудайский район" на 2011-2013г"</t>
  </si>
  <si>
    <t>МЦП "Совершенствование первичной медико-санитарной помощи населению МО "Онгудайский район" на 2009-2011г</t>
  </si>
  <si>
    <t>МЦП "О мерах по предупреждению дальнейшего распространения заболеваний, передающихся преимущественно половым путем в МО "Онгудайский район" на 2009-2011г"</t>
  </si>
  <si>
    <t>МЦП "О мерах по предупреждению дальнейшего распространения заболеваний, вызываемого иммунодефицита человека и вирусного гепатитов В и С  на 2011-2013г"</t>
  </si>
  <si>
    <t>МЦП "Скорая медицинская помощь в МО "Онгудайский район" на 2011-2013г"</t>
  </si>
  <si>
    <t>МЦП "Скорая медицинская помощь в МО "Онгудайский район" на 2009-2011г"</t>
  </si>
  <si>
    <t>Отдел образования Онгудайского района</t>
  </si>
  <si>
    <t>074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</si>
  <si>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</si>
  <si>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государственных полномочий в сфере организации деятельности комиссий по делам несовершеннолетних и защите их прав</t>
  </si>
  <si>
    <t>0016200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</si>
  <si>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</si>
  <si>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</si>
  <si>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Центральный аппарат</t>
  </si>
  <si>
    <t>0020400</t>
  </si>
  <si>
    <t>Детские дошкольные учреждения</t>
  </si>
  <si>
    <t>4200000</t>
  </si>
  <si>
    <t>4209900</t>
  </si>
  <si>
    <t>Выпонение функций бюджетными учреждениями</t>
  </si>
  <si>
    <t>4209901</t>
  </si>
  <si>
    <t>Резервный фонд Президента Российской Федерации</t>
  </si>
  <si>
    <t>0700200</t>
  </si>
  <si>
    <t>Школы- детские сады, школы начальные, неполные средние и средние</t>
  </si>
  <si>
    <t>4210000</t>
  </si>
  <si>
    <t>4219900</t>
  </si>
  <si>
    <t>4219901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</si>
  <si>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</t>
  </si>
  <si>
    <t>4219904</t>
  </si>
  <si>
    <t>Субсидии на предоставление ежемесячной надбавки к зарплате молодым специалистам в муниципальных образовательных учреждениях</t>
  </si>
  <si>
    <t>4219905</t>
  </si>
  <si>
    <t>4219902</t>
  </si>
  <si>
    <t>4219903</t>
  </si>
  <si>
    <t>Обеспечение питанием учащихся из малообеспеченных семей в муниципальных образовательных учреждениях</t>
  </si>
  <si>
    <t>4219906</t>
  </si>
  <si>
    <t>Учреждения по внешкольной работе с детьми</t>
  </si>
  <si>
    <t>4230000</t>
  </si>
  <si>
    <t>4239900</t>
  </si>
  <si>
    <t>4239902</t>
  </si>
  <si>
    <t>4239903</t>
  </si>
  <si>
    <t>Ежемесячное денежное вознаграждение за классное руководство в государственных и муниципальных  общеобразовательных учреждениях</t>
  </si>
  <si>
    <t>5200900</t>
  </si>
  <si>
    <t>7952003</t>
  </si>
  <si>
    <t>Мероприятия в сфере образования</t>
  </si>
  <si>
    <t>022</t>
  </si>
  <si>
    <t>МЦП "Энергосбережение в МО "Онгудайский район" на 2010-2015г"</t>
  </si>
  <si>
    <t>7952020</t>
  </si>
  <si>
    <t xml:space="preserve">Переподготовка и повышение квалификации </t>
  </si>
  <si>
    <t>Мероприятия по организации оздоровительной кампании детей и подростков</t>
  </si>
  <si>
    <t>4320000</t>
  </si>
  <si>
    <t>Оздоровление детей</t>
  </si>
  <si>
    <t>4320200</t>
  </si>
  <si>
    <t>Выполнение функций бюджетными учреждениями, за счет средств от  предпринимательской и иной приносящей доход деятельности</t>
  </si>
  <si>
    <t>4320201</t>
  </si>
  <si>
    <t>012</t>
  </si>
  <si>
    <t>Осуществление государственных полномочий по опеке и попечительству, соц.поддержке детей-сирот,безнадзорн.дет., дет.оставш.без попеч.родителей</t>
  </si>
  <si>
    <t>4365300</t>
  </si>
  <si>
    <t>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комбинаты, логопедические пункты</t>
  </si>
  <si>
    <t>МЦП "Обеспечение санитарно-эпидемиологического благополучия школ Онгудайского района на 2009-2011 годы"</t>
  </si>
  <si>
    <t>7952018</t>
  </si>
  <si>
    <t>Социальное обеспечение населения</t>
  </si>
  <si>
    <t>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</si>
  <si>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</si>
  <si>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Социальные выплаты</t>
  </si>
  <si>
    <t>005</t>
  </si>
  <si>
    <t>5053601</t>
  </si>
  <si>
    <t>Охрана семьи и детства</t>
  </si>
  <si>
    <t>Выплата единовременного пособия при всех формах устройства детей лишенных родительского попечения, в семью</t>
  </si>
  <si>
    <t>5050502</t>
  </si>
  <si>
    <t>Предоставление дополнительных гарантий по социальной поддержке детей-сирот и детей, оставшихся без попечения родителей, лиц из их числа, находящихся в семье опекуна (попечителя) и приемной семье</t>
  </si>
  <si>
    <t>5057200</t>
  </si>
  <si>
    <t>Мероприятия по борьбе с беспризорностью, по опеке и попечительству</t>
  </si>
  <si>
    <t>5110000</t>
  </si>
  <si>
    <t>Другие пособия и компенсации</t>
  </si>
  <si>
    <t>755</t>
  </si>
  <si>
    <t>Компенсация части родительской платы за содержание  ребеннка в гос и мун. образовательных учреждениях, реализующих основную общеобразовательную программу дошкольного образования</t>
  </si>
  <si>
    <t>5201000</t>
  </si>
  <si>
    <t>5201001</t>
  </si>
  <si>
    <t>Содержание ребенка в семье опекуна и приемной семье, а также оплпта труда приемного родителя</t>
  </si>
  <si>
    <t>5201300</t>
  </si>
  <si>
    <t>Содержание ребенка в семье опекуна и приемной семье, а также оплата труда приемного  родителя</t>
  </si>
  <si>
    <t>5201301</t>
  </si>
  <si>
    <t>Материальное обеспечение приемной семьи</t>
  </si>
  <si>
    <t>5201310</t>
  </si>
  <si>
    <t>Выплата приемной семье на содержание подопечных семей</t>
  </si>
  <si>
    <t>5201311</t>
  </si>
  <si>
    <t>Оплата труда приемного родителя</t>
  </si>
  <si>
    <t>5201312</t>
  </si>
  <si>
    <t>5201313</t>
  </si>
  <si>
    <t>Управление по экономике и финансам Онгудайского района</t>
  </si>
  <si>
    <t>092</t>
  </si>
  <si>
    <t>Ощегосударственные вопросы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</si>
  <si>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</si>
  <si>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Осуществление государственных полномочий по лицензированию розничной продажи алкогольной продукции</t>
  </si>
  <si>
    <t>0016500</t>
  </si>
  <si>
    <t>РЦП "Поддержка реформирования общественных финансов на 2008-2009годы"</t>
  </si>
  <si>
    <t>5228800</t>
  </si>
  <si>
    <t>Выполнение функций  местными органами</t>
  </si>
  <si>
    <t>МЦП "Реформирование системы управления  общественными  финансами мо "Онгудайский район"  на 2008-2009годы"</t>
  </si>
  <si>
    <t>7952007</t>
  </si>
  <si>
    <t>Обеспечение деятельности  финансовых, налоговых и таможенных  органов и органов финансового надзора</t>
  </si>
  <si>
    <t>Руководство и управление в сфере установленных функций органов государственной власти  субъектов РФ и органов местного  самоуправления</t>
  </si>
  <si>
    <t>Выполнение функций  государственными органами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</si>
  <si>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</si>
  <si>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</si>
  <si>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</si>
  <si>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</si>
  <si>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Прочие расходы</t>
  </si>
  <si>
    <t>013</t>
  </si>
  <si>
    <t>0700000</t>
  </si>
  <si>
    <t>Резервные фонды местных администраций</t>
  </si>
  <si>
    <t>0700500</t>
  </si>
  <si>
    <t>00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</si>
  <si>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</si>
  <si>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</si>
  <si>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</si>
  <si>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коменсаций</t>
  </si>
  <si>
    <t>009</t>
  </si>
  <si>
    <t>Выполнение других обязательств государства</t>
  </si>
  <si>
    <t>Прочие расходы, финансируемые по поступлению доходов и источников  финансирования дефицита бюджтеа</t>
  </si>
  <si>
    <t>МЦП «Профилактика правонарушений на территории Онгудайского района на 2010-2012 г.г»</t>
  </si>
  <si>
    <t>7950001</t>
  </si>
  <si>
    <t>МЦП «Повышение безопасности дорожного движения в Онгудайском районе на 2010-2012г</t>
  </si>
  <si>
    <t>7952006</t>
  </si>
  <si>
    <t>Субсидии юридическим лицам</t>
  </si>
  <si>
    <t>006</t>
  </si>
  <si>
    <t>Субсидии на поддержку малого и среднего предпринимательства, включая крестьянские (фермерские) хозяйства</t>
  </si>
  <si>
    <t>3450101</t>
  </si>
  <si>
    <t>МЦП  «Развитие малого предпринимательства  и туризма в Онгудайском районе на 2010-2012г</t>
  </si>
  <si>
    <t>7950002</t>
  </si>
  <si>
    <t>Жилищно-коммунальное хозяйство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</si>
  <si>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</si>
  <si>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</si>
  <si>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017</t>
  </si>
  <si>
    <t>Обеспечение мероприятий по капит.ремонту многоквартирных домов и переселению граждан из аварийного жилищного фонда за счет средств бюджетов</t>
  </si>
  <si>
    <t>0980200</t>
  </si>
  <si>
    <t>Субсидии юридическим лицам на финансовое обеспечение мероприятий по проведению капитального ремонта многоквартирных домов</t>
  </si>
  <si>
    <t>0980201</t>
  </si>
  <si>
    <t>Переподготовка и повышение квалификации</t>
  </si>
  <si>
    <t>КЦСР 5201500</t>
  </si>
  <si>
    <t>Культура,кинематография</t>
  </si>
  <si>
    <t>4429900</t>
  </si>
  <si>
    <t>4419900</t>
  </si>
  <si>
    <t xml:space="preserve">Физическая культура </t>
  </si>
  <si>
    <t>Выравнивание уровня бюджетной обеспеченности поселений из районного фонда фин.поддержки</t>
  </si>
  <si>
    <t>5160130</t>
  </si>
  <si>
    <t>Фонд финансовой поддержки</t>
  </si>
  <si>
    <t>008</t>
  </si>
  <si>
    <t>Субсидии бюджетам  субъектов Российской Федерации  и  муниципальных образований (межбюджетные субсидии)</t>
  </si>
  <si>
    <t>Субсидии бюджетам  муниципальных образований для софинансирования расходных обязательств, возникающих при выполнении  полномочий  органов местного самоуправления по вопросам местного значения</t>
  </si>
  <si>
    <t>8101000</t>
  </si>
  <si>
    <t>Субсидии на капитальный  и текущий ремонт  объектов  социально-культурной сферы</t>
  </si>
  <si>
    <t>8101001</t>
  </si>
  <si>
    <t>Фонд софинансирования</t>
  </si>
  <si>
    <t>010</t>
  </si>
  <si>
    <t>Субсидии на софинансирование  расходов на благоустройство</t>
  </si>
  <si>
    <t>8101002</t>
  </si>
  <si>
    <t>Субсидии на софинансирование  расходов  по решению  вопросов местного значения поселений, связанных с реализацией  Закона РФ  от06.10.2003г №131-ФЗ</t>
  </si>
  <si>
    <t>8101003</t>
  </si>
  <si>
    <t>Субвенции бюджетам субъектов  Российской Федерации и  муниципальных образований</t>
  </si>
  <si>
    <t>Осуществление  первичного  воинского учета на территориях, где отсутствуют военные комиссариаты</t>
  </si>
  <si>
    <t>Фонд компенсаций</t>
  </si>
  <si>
    <t>Межбюджетные трансферты бюджетам субъектов РФ и муниципальных образований общего характера</t>
  </si>
  <si>
    <t xml:space="preserve">Дотации на выравнивание бюджетной обеспеченности субъектов РФ и муниципальных образований </t>
  </si>
  <si>
    <t>Выравнивание бюджетной обеспеченности</t>
  </si>
  <si>
    <t>5160100</t>
  </si>
  <si>
    <t xml:space="preserve">Выравнивание бюджетной обеспеченности поселений из регионального фонда финансовой поддержки </t>
  </si>
  <si>
    <t>5160110</t>
  </si>
  <si>
    <t>Фонд финансовой помощи</t>
  </si>
  <si>
    <t xml:space="preserve">Выравнивание бюджетной обеспеченности поселений из районного фонда финансовой поддержки </t>
  </si>
  <si>
    <t>87</t>
  </si>
  <si>
    <t>Отдел труда и социального развития  Онгудайского района</t>
  </si>
  <si>
    <t>150</t>
  </si>
  <si>
    <t>Обеспечение деятельности подведомственных  учреждений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</si>
  <si>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</si>
  <si>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4910200</t>
  </si>
  <si>
    <t>Доплаты к пенсиям государственных служащих субъектов Российской Федерации и муниципальных служащих</t>
  </si>
  <si>
    <t>4910100</t>
  </si>
  <si>
    <t>5056900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</si>
  <si>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</t>
  </si>
  <si>
    <t>0016300</t>
  </si>
  <si>
    <t>Учреждения социального обслуживания населения</t>
  </si>
  <si>
    <t>5070000</t>
  </si>
  <si>
    <t>5079900</t>
  </si>
  <si>
    <t>5089900</t>
  </si>
  <si>
    <t>Социальная помощь</t>
  </si>
  <si>
    <t>5050000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</si>
  <si>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</si>
  <si>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5052205</t>
  </si>
  <si>
    <t>Обеспечение мер социальной поддержки для лиц, награжденных знаком "Почетный донор России"</t>
  </si>
  <si>
    <t>5052901</t>
  </si>
  <si>
    <t>Пособия по социальной помощи населению</t>
  </si>
  <si>
    <t>5053000</t>
  </si>
  <si>
    <t>Ежемесячное пособие на ребенка</t>
  </si>
  <si>
    <t>5053001</t>
  </si>
  <si>
    <t>Обеспечение мер социальной поддержки ветеранов труда и тружеников тыла</t>
  </si>
  <si>
    <t>5053101</t>
  </si>
  <si>
    <t>5053100</t>
  </si>
  <si>
    <t>Обеспечение мер социальной поддержки ветеранов труда РА</t>
  </si>
  <si>
    <t>5053110</t>
  </si>
  <si>
    <t>Обеспечение мер социальной поддержки ветеранов труда федер.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</si>
  <si>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Ленинграда"</t>
  </si>
  <si>
    <t>5053400</t>
  </si>
  <si>
    <t>5053402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</si>
  <si>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</si>
  <si>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5054500</t>
  </si>
  <si>
    <t>Оплата жилищно-коммунальных услуг отдельным категориям граждан</t>
  </si>
  <si>
    <t>5054600</t>
  </si>
  <si>
    <t>Обеспечение мер социальной поддержки реабилитированных лиц и лиц, признанных пострадавшими от политических репрессий</t>
  </si>
  <si>
    <t>5054700</t>
  </si>
  <si>
    <t>5054701</t>
  </si>
  <si>
    <t>Предоставление гражданам субсидий на оплату жилого помещения и коммунальных услуг</t>
  </si>
  <si>
    <t>5054800</t>
  </si>
  <si>
    <t>5054801</t>
  </si>
  <si>
    <t>5055511</t>
  </si>
  <si>
    <t>5055521</t>
  </si>
  <si>
    <t>5055530</t>
  </si>
  <si>
    <t>5055531</t>
  </si>
  <si>
    <t>Предоставление гарантированных услуг по погребению</t>
  </si>
  <si>
    <t>5056500</t>
  </si>
  <si>
    <t>Предоставление мер социальной поддержки ветеранам труда Республики Алтай</t>
  </si>
  <si>
    <t>5056600</t>
  </si>
  <si>
    <t>Предоставление мер социальной поддержки некоторым категориям работников, проживающих в сельской местности Республики Алтай</t>
  </si>
  <si>
    <t>5056700</t>
  </si>
  <si>
    <t>Предоставление мер социальной поддержки многодетным семьям</t>
  </si>
  <si>
    <t>5056800</t>
  </si>
  <si>
    <t>Оказание других видов социальной помощи</t>
  </si>
  <si>
    <t>5058500</t>
  </si>
  <si>
    <t>Реализация государственных функций в области социальной политики</t>
  </si>
  <si>
    <t>5140000</t>
  </si>
  <si>
    <t>5058501</t>
  </si>
  <si>
    <t>Руководство и управление в сфере установленных функций</t>
  </si>
  <si>
    <t>Целевые программы муниципальных образований</t>
  </si>
  <si>
    <t>7950000</t>
  </si>
  <si>
    <t xml:space="preserve">Районная подпрограмма «Социальная поддержка населения МО "Онгудайский район" </t>
  </si>
  <si>
    <t>7952009</t>
  </si>
  <si>
    <t>Мероприятия в области социальной политики</t>
  </si>
  <si>
    <t>482</t>
  </si>
  <si>
    <t>МЦП "Улучшения условий и охраны труда в МО "Онгудайский район на 2011-2013г.г."</t>
  </si>
  <si>
    <t>7952011</t>
  </si>
  <si>
    <t>ОВД   по Онгудайскому району</t>
  </si>
  <si>
    <t>188</t>
  </si>
  <si>
    <t>МЦП "Профилактика правонарушений в муниципальном образорвании "Онгудайский район" на 2006-2009 г.г.""</t>
  </si>
  <si>
    <t>Целевая программа "Повышение безопасности дорожного движения в Онгудайском районе на 2007-2009 годы"</t>
  </si>
  <si>
    <t>Администрация Онгудайского района (аймака)</t>
  </si>
  <si>
    <t>800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</si>
  <si>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</si>
  <si>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</si>
  <si>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0020300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</si>
  <si>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</si>
  <si>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Председатель представительного органа муниципального образования</t>
  </si>
  <si>
    <t>0021100</t>
  </si>
  <si>
    <t>Осуществление государственных полномочий по вопросам административного законодательства</t>
  </si>
  <si>
    <t>0016000</t>
  </si>
  <si>
    <t>Софинансирование РЦП "Поддержка реформирования общественных финансов на 2008-2009годы"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</si>
  <si>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</si>
  <si>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0014000</t>
  </si>
  <si>
    <t>Обеспечение  проведения  выборов  и референдумов</t>
  </si>
  <si>
    <t>Проведение  выборов 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</si>
  <si>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</si>
  <si>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</si>
  <si>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</si>
  <si>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Проведение выборов главы муниципального образования</t>
  </si>
  <si>
    <t>0200003</t>
  </si>
  <si>
    <t>Осуществление государственных полномочий в области архивного дела</t>
  </si>
  <si>
    <t>0016100</t>
  </si>
  <si>
    <t>Дворцы и дома культуры, другие учреждения культуры и средств массовой информации</t>
  </si>
  <si>
    <t>4400000</t>
  </si>
  <si>
    <t>4409900</t>
  </si>
  <si>
    <t>Субвенции на осуществление полномочий по подготовке и проведению переписи населения</t>
  </si>
  <si>
    <t>0014300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</si>
  <si>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</si>
  <si>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</si>
  <si>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</si>
  <si>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</si>
  <si>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</si>
  <si>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</si>
  <si>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014</t>
  </si>
  <si>
    <t>МЦП "Развитие агропромышленного комплекса в Онгудайском районе" на 2011-2014 годы</t>
  </si>
  <si>
    <t>7952005</t>
  </si>
  <si>
    <t>Мероприятия в области сельскохозяйственного производства</t>
  </si>
  <si>
    <t>342</t>
  </si>
  <si>
    <t>Дорожное хозяйство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</si>
  <si>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</si>
  <si>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3150201</t>
  </si>
  <si>
    <t>ФЦП "Жилище" на 2008-2010г.г."Обеспечение земельных участков  коммунальной инфраструктурой  в целях жил.строительства</t>
  </si>
  <si>
    <t>5229606</t>
  </si>
  <si>
    <t>Другие вопросы в области  национальной экономики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</si>
  <si>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</si>
  <si>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</si>
  <si>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Бюджетные инвестиции</t>
  </si>
  <si>
    <t>003</t>
  </si>
  <si>
    <t>Мероприятия в области строительства, архитектуры и градостроительства</t>
  </si>
  <si>
    <t>3380000</t>
  </si>
  <si>
    <t>3380001</t>
  </si>
  <si>
    <t xml:space="preserve">Реализация государственных фнукций  в области национальной экономики </t>
  </si>
  <si>
    <t>3400000</t>
  </si>
  <si>
    <t>Мероприятия по землеустройству и землепользованию</t>
  </si>
  <si>
    <t>3400300</t>
  </si>
  <si>
    <t>Мероприятия в области жилищного хозяйства</t>
  </si>
  <si>
    <t>3500300</t>
  </si>
  <si>
    <t>0980202</t>
  </si>
  <si>
    <t>Софинансирование объектов капитального строительства</t>
  </si>
  <si>
    <t>1001100</t>
  </si>
  <si>
    <t>ФЦП Преодоление последствий радиационных аварий" на период до 2010 года"</t>
  </si>
  <si>
    <t>1002900</t>
  </si>
  <si>
    <t>Бюджетные инвестиции в объекты капитального строительства, не включенные в целевые программы</t>
  </si>
  <si>
    <t>1020000</t>
  </si>
  <si>
    <t>1020100</t>
  </si>
  <si>
    <t>Мероприятия в области коммунального хозяйства</t>
  </si>
  <si>
    <t>3510500</t>
  </si>
  <si>
    <t>Региональные целевые программы</t>
  </si>
  <si>
    <t>5220000</t>
  </si>
  <si>
    <t>РЦП Развитие АПК с 2011 до 2017г</t>
  </si>
  <si>
    <t>5222700</t>
  </si>
  <si>
    <t>5222702</t>
  </si>
  <si>
    <t>Региональная целевая программа "Отходы 2008-2010г.г"</t>
  </si>
  <si>
    <t>5229500</t>
  </si>
  <si>
    <t>Развитие социальной  и  инженерной инфраструктуры субъектов РФ и муниципальных образований</t>
  </si>
  <si>
    <t>5230000</t>
  </si>
  <si>
    <t>Капитальное строительство объектов муниципальных образований</t>
  </si>
  <si>
    <t>5230101</t>
  </si>
  <si>
    <t>Федеральная целевая программа «Преодоление последствий радиационных аварий на период до 2010 года»</t>
  </si>
  <si>
    <t>5230200</t>
  </si>
  <si>
    <t>Муниципальные целевые программы</t>
  </si>
  <si>
    <t>МЦП "Обеспечение населения Онгудайского района питьевой водой на 2011-2013г"</t>
  </si>
  <si>
    <t>7952021</t>
  </si>
  <si>
    <t>Благоустрой ство</t>
  </si>
  <si>
    <t>6000000</t>
  </si>
  <si>
    <t>Организация и содержание мест захоронения</t>
  </si>
  <si>
    <t>6000400</t>
  </si>
  <si>
    <t>Софинансирование РЦП "Жилище " на 2008-2010гг" подпрограмма "Обеспечение земельных участков коммунальной инфраструктурой в целях жилищного строительства на территории РА"</t>
  </si>
  <si>
    <t>Субсидии на реализацию РЦП "Жилище " на 2008-2010гг" подпрограмма "Обеспечение земельных участков коммунальной инфраструктурой в целях жилищного строительства на территории РА"</t>
  </si>
  <si>
    <t>Бюджетные инвестиции  в объекты капитального строительства собственности муниципальных образований</t>
  </si>
  <si>
    <t>Субсидии на реализацию РЦП "Развитие агропромышленного комплекса", на 2011-2017г</t>
  </si>
  <si>
    <t>Субсидии на реализацию РЦП "Демографическое развитие РА на 2010-2015г"</t>
  </si>
  <si>
    <t>5228400</t>
  </si>
  <si>
    <t>Муниципальное автономное образовательное учреждение дополнительного образования детей "Онгудайская детская школа искусств"</t>
  </si>
  <si>
    <t>Выполнение функций  государственными учреждениями</t>
  </si>
  <si>
    <t>Проведение мероприятий для детей и молодежи</t>
  </si>
  <si>
    <t>4310100</t>
  </si>
  <si>
    <t>Культура,кинематография, средства массовой информации</t>
  </si>
  <si>
    <t>Субсидии на реализацию РЦП Развитие АПК с 2009 до 2012г</t>
  </si>
  <si>
    <t>5222000</t>
  </si>
  <si>
    <t>Периодические издания, учрежденные органами законодательной и исполнительной власти</t>
  </si>
  <si>
    <t>4570000</t>
  </si>
  <si>
    <t>Государственная поддержка в сфере культуры, кинематографии и средств массовой информации</t>
  </si>
  <si>
    <t>4578500</t>
  </si>
  <si>
    <t>Другие вопросы в области культуры,кинематографии</t>
  </si>
  <si>
    <t>Учебно-методические кабинеты, центральные бухгалтерии, группы хоз.обслуживания</t>
  </si>
  <si>
    <t>Другие вопросы в области культуры,кинематографии, средств массовой информации</t>
  </si>
  <si>
    <t>Здравоохранение и спорт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</si>
  <si>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</si>
  <si>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</si>
  <si>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физической культуры, туризма</t>
  </si>
  <si>
    <t>5129700</t>
  </si>
  <si>
    <t>Федеральные целевые программы</t>
  </si>
  <si>
    <t>1000000</t>
  </si>
  <si>
    <t>Федеральная целевая программа «Социальное развитие села до 2010 года»</t>
  </si>
  <si>
    <t>Субсидии на обеспечение жильем молодых семей и молодых специалистов, проживающих и работающих в сельской местности</t>
  </si>
  <si>
    <t>021</t>
  </si>
  <si>
    <t>ФЦП Жилище на 2002-2010г" подпрогр. "Обеспечение жильем молодых семей"</t>
  </si>
  <si>
    <t>1040200</t>
  </si>
  <si>
    <t>Субсидии на осуществление  расходов из местного бюджета  на обеспечение жильем молодых семей прожив.всельской местности</t>
  </si>
  <si>
    <t>5057500</t>
  </si>
  <si>
    <t>Программа муниципального образования "Онгудайский район" "Обеспечение молодых семей "на 2007-2010г.г</t>
  </si>
  <si>
    <t>7952008</t>
  </si>
  <si>
    <t>ФЦП Жилище на 2002-2010г" подпрогр. РЦП "Обеспечение жильем молодых семей"</t>
  </si>
  <si>
    <t>5229604</t>
  </si>
  <si>
    <t>Субсидии на проведение ремонта жилья гражданам из числа инвалидов и участников Великой Отечественной Войны , вдов погибших (умерших) участников Великой Отечественной Войны, труженников тыла</t>
  </si>
  <si>
    <t>8101008</t>
  </si>
  <si>
    <t xml:space="preserve">Отдел культуры, спорта и туризма </t>
  </si>
  <si>
    <t>810</t>
  </si>
  <si>
    <t>4319900</t>
  </si>
  <si>
    <t>Районная целевая программа "Рализация молодежной политики в Онгудайской районе на 2010-2013г"</t>
  </si>
  <si>
    <t>Культура, кинематография и средства массовой информации</t>
  </si>
  <si>
    <t>Библиотека</t>
  </si>
  <si>
    <t>4420000</t>
  </si>
  <si>
    <t>субсидии на кап.,текущий ремонт объктов социо-культ.сферы</t>
  </si>
  <si>
    <t>4429902</t>
  </si>
  <si>
    <t>4429903</t>
  </si>
  <si>
    <t>Театры, цирки, коцертные и другие организации и исполнительских искусств</t>
  </si>
  <si>
    <t>4430000</t>
  </si>
  <si>
    <t>4439900</t>
  </si>
  <si>
    <t>4439901</t>
  </si>
  <si>
    <t>Комплектование книжных фондов библиотек муниципальных образований</t>
  </si>
  <si>
    <t>4500600</t>
  </si>
  <si>
    <t>Другие вопросы в области культуры, кинематографии</t>
  </si>
  <si>
    <t>Здравоохранение, физическая культура и спорт</t>
  </si>
  <si>
    <t>Мероприятия в области  физической культуры</t>
  </si>
  <si>
    <t xml:space="preserve">Всего </t>
  </si>
  <si>
    <t>0102</t>
  </si>
  <si>
    <t>0103</t>
  </si>
  <si>
    <t>0104</t>
  </si>
  <si>
    <t>0105</t>
  </si>
  <si>
    <t>0106</t>
  </si>
  <si>
    <t>0107</t>
  </si>
  <si>
    <t>0111</t>
  </si>
  <si>
    <t>0112</t>
  </si>
  <si>
    <t>0113</t>
  </si>
  <si>
    <t>0114</t>
  </si>
  <si>
    <t>0203</t>
  </si>
  <si>
    <t>0302</t>
  </si>
  <si>
    <t>0309</t>
  </si>
  <si>
    <t>0405</t>
  </si>
  <si>
    <t>0409</t>
  </si>
  <si>
    <t>0411</t>
  </si>
  <si>
    <t>0412</t>
  </si>
  <si>
    <t>0501</t>
  </si>
  <si>
    <t>0502</t>
  </si>
  <si>
    <t>0503</t>
  </si>
  <si>
    <t>0505</t>
  </si>
  <si>
    <t>0701</t>
  </si>
  <si>
    <t>0702</t>
  </si>
  <si>
    <t>0705</t>
  </si>
  <si>
    <t>0707</t>
  </si>
  <si>
    <t>0709</t>
  </si>
  <si>
    <t>0801</t>
  </si>
  <si>
    <t>0804</t>
  </si>
  <si>
    <t>0806</t>
  </si>
  <si>
    <t>0901</t>
  </si>
  <si>
    <t>0902</t>
  </si>
  <si>
    <t>0904</t>
  </si>
  <si>
    <t>,</t>
  </si>
  <si>
    <t>0908</t>
  </si>
  <si>
    <t>0909</t>
  </si>
  <si>
    <t>0910</t>
  </si>
  <si>
    <t>1001</t>
  </si>
  <si>
    <t>1002</t>
  </si>
  <si>
    <t>1003</t>
  </si>
  <si>
    <t>1004</t>
  </si>
  <si>
    <t>1006</t>
  </si>
  <si>
    <t>1101</t>
  </si>
  <si>
    <t>1102</t>
  </si>
  <si>
    <t>1103</t>
  </si>
  <si>
    <t>итог</t>
  </si>
  <si>
    <t>Приложение 2</t>
  </si>
  <si>
    <t>ОБЪЕМ ПОСТУПЛЕНИЙ ДОХОДОВ ПО ОСНОВНЫМ ИСТОЧНИКАМ В 2011 ГОДУ</t>
  </si>
  <si>
    <t>Код главы  администратора</t>
  </si>
  <si>
    <t>Код бюджетной классификации Российской Федерации</t>
  </si>
  <si>
    <t>Наименование доходов</t>
  </si>
  <si>
    <t>Всего утверждено</t>
  </si>
  <si>
    <t>Отклонение (+,-)</t>
  </si>
  <si>
    <t>Сумма на утверждение</t>
  </si>
  <si>
    <t>000</t>
  </si>
  <si>
    <t xml:space="preserve"> 1 0000000 00 0000 000</t>
  </si>
  <si>
    <t>НАЛОГОВЫЕ И НЕНАЛОГОВЫЕ ДОХОДЫ</t>
  </si>
  <si>
    <t>НАЛОГОВЫЕ ДОХОДЫ</t>
  </si>
  <si>
    <t xml:space="preserve"> 1 0100000 00 0000 000</t>
  </si>
  <si>
    <t>НАЛОГИ НА ПРИБЫЛЬ, ДОХОДЫ</t>
  </si>
  <si>
    <t>182</t>
  </si>
  <si>
    <t xml:space="preserve"> 1 0102000 01 0000 110</t>
  </si>
  <si>
    <t>Налог на доходы физических лиц</t>
  </si>
  <si>
    <t xml:space="preserve"> 1 0102010 01 0000 110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</si>
  <si>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</si>
  <si>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 xml:space="preserve"> 1 0102020 01 0000 110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</si>
  <si>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</si>
  <si>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1 0102021 01 0000 110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</si>
  <si>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</si>
  <si>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1 0102022 01 0000 110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</si>
  <si>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</si>
  <si>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1 0102030 01 0000 110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</si>
  <si>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</si>
  <si>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 xml:space="preserve"> 1 0102040 01 0000 110</t>
  </si>
  <si>
    <t>Налог на доходы физических лиц с доходов,  полученных в виде выигрышей и призов в проводимых конкурсах, играх и других мероприятиях в целях рекламы товаров, работ и услуг,  процентных доходов по вкладам в банках, в виде материальной выгоды от экономии   на процентах при получении  заемных (кредитных) средств.</t>
  </si>
  <si>
    <t>000 1 03 00000 00 0000 000</t>
  </si>
  <si>
    <t>НАЛОГИ НА ТОВАРЫ (РАБОТЫ, УСЛУГИ), РЕАЛИЗУЕМЫЕ НА ТЕРРИТОРИИ РОССИЙСКОЙ ФЕДЕРАЦИИ</t>
  </si>
  <si>
    <t xml:space="preserve"> 1 0500000 00 0000 000</t>
  </si>
  <si>
    <t>НАЛОГИ НА СОВОКУПНЫЙ ДОХОД</t>
  </si>
  <si>
    <t xml:space="preserve"> 1 0501000 00 0000 110</t>
  </si>
  <si>
    <t>Налог, взимаемый в связи с применением упрощенной системы налогообложения</t>
  </si>
  <si>
    <t xml:space="preserve"> 1 0501010 01 0000 110</t>
  </si>
  <si>
    <t>Налог, взимаемый  с налогоплательщиков, выбравших в качестве объекта налогообложения доходы</t>
  </si>
  <si>
    <t xml:space="preserve"> 1 0501020 01 0000 110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</si>
  <si>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</si>
  <si>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 xml:space="preserve"> 1 0502000 02 0000 110</t>
  </si>
  <si>
    <t>Единый налог на вмененный доход для отдельных видов деятельности</t>
  </si>
  <si>
    <t xml:space="preserve"> 1 0503000 01 0000 110</t>
  </si>
  <si>
    <t>Единый сельскохозяйственный налог</t>
  </si>
  <si>
    <t xml:space="preserve"> 1 0600000 00 0000 000</t>
  </si>
  <si>
    <t>НАЛОГИ НА ИМУЩЕСТВО</t>
  </si>
  <si>
    <t>182 1 06 01000 03 0000 110</t>
  </si>
  <si>
    <t>Налог на имущество физических лиц</t>
  </si>
  <si>
    <t xml:space="preserve"> 1 0602000 02 0000 110</t>
  </si>
  <si>
    <t>Налог на имущество организаций</t>
  </si>
  <si>
    <t xml:space="preserve"> 1 0602010 02 0000 110</t>
  </si>
  <si>
    <t>Налог на имущество организаций по имуществу, не входящему в Единую систему газоснабжения</t>
  </si>
  <si>
    <t xml:space="preserve"> 1 0602020 02 0000 110</t>
  </si>
  <si>
    <t>Налог на имущество организаций по имуществу, входящему в Единую систему газоснабжения</t>
  </si>
  <si>
    <t xml:space="preserve"> 1 0604000 02 0000 110</t>
  </si>
  <si>
    <t>Транспортный налог</t>
  </si>
  <si>
    <t xml:space="preserve"> 1 0604011 02 0000 110</t>
  </si>
  <si>
    <t>Транспортный налог с организаций</t>
  </si>
  <si>
    <t xml:space="preserve"> 1 0604012 02 0000 110</t>
  </si>
  <si>
    <t>Транспортный налог с физических лиц</t>
  </si>
  <si>
    <t>182 1 06 05000 02 0000 110</t>
  </si>
  <si>
    <t>Налог на игорный бизнес</t>
  </si>
  <si>
    <t>182 1 06 06000 00 0000 110</t>
  </si>
  <si>
    <t>Земельный налог</t>
  </si>
  <si>
    <t xml:space="preserve"> 1 0700000 00 0000 000</t>
  </si>
  <si>
    <t>НАЛОГИ, СБОРЫ И РЕГУЛЯРНЫЕ ПЛАТЕЖИ ЗА ПОЛЬЗОВАНИЕ ПРИРОДНЫМИ РЕСУРСАМИ</t>
  </si>
  <si>
    <t xml:space="preserve"> 1 0701000 01 0000 110</t>
  </si>
  <si>
    <t>Налог на добычу полезных ископаемых</t>
  </si>
  <si>
    <t xml:space="preserve"> 1 0701020 01 0000 110</t>
  </si>
  <si>
    <t>Налог на добычу общераспространенных полезных ископаемых</t>
  </si>
  <si>
    <t>182 1 07 01030 01 0000 110</t>
  </si>
  <si>
    <t>Налог на добычу прочих полезных ископаемых ( за исключением полезных ископаемых в виде природных алмазов)</t>
  </si>
  <si>
    <t>182 1 07 04000 01 0000 110</t>
  </si>
  <si>
    <t>Сборы за пользование объектами животного мира и за пользование объектами водных биологических ресурсов</t>
  </si>
  <si>
    <t>182 1 07 04010 01 0000 110</t>
  </si>
  <si>
    <t>Сбор за пользование объектами животного мира</t>
  </si>
  <si>
    <t xml:space="preserve"> 1 0800000 00 0000 000</t>
  </si>
  <si>
    <t>ГОСУДАРСТВЕННАЯ ПОШЛИНА</t>
  </si>
  <si>
    <t xml:space="preserve"> 1 0803000 01 0000 000</t>
  </si>
  <si>
    <t>Государственная пошлина по делам, рассматриваемым в судах общей юрисдикции, мировыми судьями</t>
  </si>
  <si>
    <t xml:space="preserve"> 1 0803010 01 0000 110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</si>
  <si>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</si>
  <si>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092 1 08 04000 01 0000 110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</si>
  <si>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</si>
  <si>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1 0807000 01 0000 110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</si>
  <si>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</si>
  <si>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1 0807084 01 1000 110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</si>
  <si>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</si>
  <si>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 xml:space="preserve"> 1 0807140 01 0000 110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</si>
  <si>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</si>
  <si>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НЕНАЛОГОВЫЕ ДОХОДЫ</t>
  </si>
  <si>
    <t xml:space="preserve"> 1 1100000 00 0000 000</t>
  </si>
  <si>
    <t>ДОХОДЫ ОТ ИСПОЛЬЗОВАНИЯ ИМУЩЕСТВА, НАХОДЯЩЕГОСЯ В ГОСУДАРСТВЕННОЙ И МУНИЦИПАЛЬНОЙ СОБСТВЕННОСТИ</t>
  </si>
  <si>
    <t xml:space="preserve"> 1 1103000 00 0000 120</t>
  </si>
  <si>
    <t>Проценты, полученные от предоставления бюджетных кредитов внутри страны</t>
  </si>
  <si>
    <t xml:space="preserve"> 1 1103050 05 0000 120</t>
  </si>
  <si>
    <t>Проценты, полученные от предоставления бюджетных кредитов внутри страны за счет средств   бюджетов муниципальных районов</t>
  </si>
  <si>
    <t xml:space="preserve"> 1 1105000 00 0000 120</t>
  </si>
  <si>
    <t>Доходы, получаемые в виде арендной  либо иной платы за передачу в возмездное пользование  государственного и муниципального имущества (за исключением имущества автономных учреждений, а так же имущества государственных и муниципальных унитарных предприятий, в том числе казенных)</t>
  </si>
  <si>
    <t xml:space="preserve"> 1 1105010 00 0000 120</t>
  </si>
  <si>
    <t>Доходы, получаемые в виде арендной платы за земельные участки,  государственная собственность на которые не разграничена,   а также средства  от продажи права на заключение договоров аренды указанных земельных участков</t>
  </si>
  <si>
    <t xml:space="preserve"> 1 1105010 10 0000 120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</si>
  <si>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поселений,   а также средства  от продажи права на заключение договоров аренды указанных земельных участков</t>
  </si>
  <si>
    <t xml:space="preserve"> 1 1105030 00 0000 120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</si>
  <si>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федеральных автономных учреждений)</t>
  </si>
  <si>
    <t xml:space="preserve"> 1 1105035 05 0000 120</t>
  </si>
  <si>
    <t>Доходы от сдачи в аренду имущества, находящегося в оперативном управлении  органов управления  муниципальных районов и созданных ими учреждений ( за исключением имущества муниципальных автономных учреждений)</t>
  </si>
  <si>
    <t xml:space="preserve"> 1 1200000 00 0000 000</t>
  </si>
  <si>
    <t>ПЛАТЕЖИ ПРИ ПОЛЬЗОВАНИИ ПРИРОДНЫМИ РЕСУРСАМИ</t>
  </si>
  <si>
    <t>498</t>
  </si>
  <si>
    <t xml:space="preserve"> 1 1201000 01 0000 120</t>
  </si>
  <si>
    <t>Плата за негативное воздействие на окружающую среду</t>
  </si>
  <si>
    <t xml:space="preserve"> 1 1300000 00 0000 000</t>
  </si>
  <si>
    <t>ДОХОДЫ ОТ ОКАЗАНИЯ ПЛАТНЫХ УСЛУГ И КОМПЕНСАЦИИ ЗАТРАТ ГОСУДАРСТВА</t>
  </si>
  <si>
    <t xml:space="preserve"> 1 1303000 00 0000 130</t>
  </si>
  <si>
    <t>Прочие доходы от оказания платных услуг и компенсации затрат государства</t>
  </si>
  <si>
    <t xml:space="preserve"> 1 1303050 05 0000 130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</si>
  <si>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</si>
  <si>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</si>
  <si>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</si>
  <si>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</si>
  <si>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</si>
  <si>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</si>
  <si>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 xml:space="preserve"> 1 14 06000 00 0000 430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</si>
  <si>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</si>
  <si>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1 14 06014 10 0000 430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</si>
  <si>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</si>
  <si>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 xml:space="preserve"> 1 15 00000 00 0000 000</t>
  </si>
  <si>
    <t>АДМИНИСТРАТИВНЫЕ ПЛАТЕЖИ И СБОРЫ</t>
  </si>
  <si>
    <t xml:space="preserve"> 1 1502000 00 0000 140</t>
  </si>
  <si>
    <t>Платежи, взимаемые государственными и муниципальными организациями за выполнение определенных функций</t>
  </si>
  <si>
    <t xml:space="preserve"> 1 1502050 05 0000 140</t>
  </si>
  <si>
    <t>Платежи, взимаемые   организациями муниципальных районов за выполнение определенных функций</t>
  </si>
  <si>
    <t xml:space="preserve"> 1 16 00000 00 0000 000</t>
  </si>
  <si>
    <t>ШТРАФЫ, САНКЦИИ, ВОЗМЕЩЕНИЕ УЩЕРБА</t>
  </si>
  <si>
    <t xml:space="preserve"> 1 16 03000 00 0000 140</t>
  </si>
  <si>
    <t>Денежные взыскания (штрафы) за нарушение законодательства о налогах и сборах</t>
  </si>
  <si>
    <t xml:space="preserve"> 1 16 03010 01 0000 140</t>
  </si>
  <si>
    <r>
  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, 132, 134,  135 и  135.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Налогового кодекса Российской Федерации</t>
    </r>
  </si>
  <si>
    <t xml:space="preserve">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</si>
  <si>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</si>
  <si>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</si>
  <si>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</si>
  <si>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</si>
  <si>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спирта,алкогольной, спиртсодержащей и табачной  продукции </t>
  </si>
  <si>
    <t>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</si>
  <si>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</si>
  <si>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 1 16 25010 01 0000 140</t>
  </si>
  <si>
    <t>Денежные взыскания (штрафы) за нарушение  законодательства о недрах</t>
  </si>
  <si>
    <t xml:space="preserve"> 1 16 25030 01 0000 140</t>
  </si>
  <si>
    <t xml:space="preserve">Денежные взыскания (штрафы) за нарушение  законодательства об охране и использовании животного мира  </t>
  </si>
  <si>
    <t xml:space="preserve"> 1 16 25050  01 0000 140</t>
  </si>
  <si>
    <t>Денежные взыскания (штрафы) за нарушение законодательства в области охраны окружающей среды</t>
  </si>
  <si>
    <t xml:space="preserve"> 1 16 25060 01 0000 140</t>
  </si>
  <si>
    <t>Денежные взыскания (штрафы) за нарушение земельного законодательства</t>
  </si>
  <si>
    <t xml:space="preserve">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</si>
  <si>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</si>
  <si>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1 16 30000 01 0000 140</t>
  </si>
  <si>
    <t>Денежные взыскания (штрафы) за административные правонарушения в области дорожного движения</t>
  </si>
  <si>
    <t xml:space="preserve"> 1 16 33050 05 0000 140</t>
  </si>
  <si>
    <t>Денежные взыскания (штрафы) за нарушение  законодательства РФ о размещении заказов на поставки товаров, выполнение работ, оказание услуг для нужд муниципальных районов</t>
  </si>
  <si>
    <t xml:space="preserve">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</si>
  <si>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</si>
  <si>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 xml:space="preserve"> 1 17 00000 00 0000 000</t>
  </si>
  <si>
    <t>ПРОЧИЕ НЕНАЛОГОВЫЕ ДОХОДЫ</t>
  </si>
  <si>
    <t xml:space="preserve"> 1 1705000 00 0000 180</t>
  </si>
  <si>
    <t>Прочие неналоговые доходы</t>
  </si>
  <si>
    <t xml:space="preserve"> 1 1705050 05 0000 180</t>
  </si>
  <si>
    <t>Прочие неналоговые доходы бюджетов муниципальных районов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</si>
  <si>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</si>
  <si>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2 0000000 00 0000 000</t>
  </si>
  <si>
    <t>БЕЗВОЗМЕЗДНЫЕ ПОСТУПЛЕНИЯ</t>
  </si>
  <si>
    <t>2 0200000 00 0000 000</t>
  </si>
  <si>
    <t>БЕЗВОЗМЕЗДНЫЕ ПОСТУПЛЕНИЯ ОТ ДРУГИХ БЮДЖЕТОВ БЮДЖЕТНОЙ СИСТЕМЫ РОССИЙСКОЙ ФЕДЕРАЦИИ</t>
  </si>
  <si>
    <t xml:space="preserve"> 2 0201000 00 0000 000</t>
  </si>
  <si>
    <t>2 0201001 05 0000 151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</si>
  <si>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</si>
  <si>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выравнивание бюджетной обеспеченности район</t>
  </si>
  <si>
    <t>Дотации  бюджетам муниципальных районов на выравнивание уровня бюджетной обеспеченности сельские поселения</t>
  </si>
  <si>
    <t xml:space="preserve"> 2 0201003 05 0000 151</t>
  </si>
  <si>
    <t>Дотации бюджетам муниципальных районов на поддержку мер по обеспечению сбалансированности бюджетов</t>
  </si>
  <si>
    <t xml:space="preserve"> 2 0202000 00 0000 000</t>
  </si>
  <si>
    <t>Субсидии бюджетам субъектов Российской Федерации и муниципальных образований (межбюджетные субсидии)</t>
  </si>
  <si>
    <t>Субсидии на реализацию РЦП "Жилище" на 2002-2010 годы"  подпрограмма "Обеспечение жильем молодых семей" (через Министерство образования, науки и молодежной политики РА)</t>
  </si>
  <si>
    <t xml:space="preserve"> 2 02 02077 05 0000 151</t>
  </si>
  <si>
    <t>Субсидии бюджетам муниципальных районов на реализацию федеральных целевых программ</t>
  </si>
  <si>
    <t xml:space="preserve"> 2 0202999 05 0000 151</t>
  </si>
  <si>
    <t>Прочие субсидии  бюджетам муниципальных районов</t>
  </si>
  <si>
    <t>092 2 02 02999 05 0000 151</t>
  </si>
  <si>
    <t>Субсидии на подпрограмму "Обеспечение земельных участков коммунальной инфраструктурой в целях жилищного строительства на территории Республики Алтай" РЦП "Жилище" на 2002-2010 годы" (софинансирование подготовки градостроительной документации)</t>
  </si>
  <si>
    <t>Субсидии на подготовку к отопительному сезону объектов ЖКХ (через Минрегин)</t>
  </si>
  <si>
    <t xml:space="preserve">Субсидии на софинансирование расходов на решение вопросов местного значения поселений, связанных с реализацией Федерального закона "Об общих принципах организации местного самоуправления в Российской Федерации" </t>
  </si>
  <si>
    <t>Субсидии на капитальный и текущий ремонт объектов социально-культурной сферы</t>
  </si>
  <si>
    <t>Субсидии на предоставление ежемесячной надбавки к заработной плате молодым специалистам в муниципальных образовательных учреждениях</t>
  </si>
  <si>
    <t xml:space="preserve">Субсидии   на комплектование книжных фондов библиотек муниципальных образований Республики Алтай </t>
  </si>
  <si>
    <t xml:space="preserve"> 2 0203000 00 0000 000</t>
  </si>
  <si>
    <t>Субвенции  бюджетам субъектов Российской Федерации и мунициапальных образований</t>
  </si>
  <si>
    <t xml:space="preserve"> 2 0203001 05 0000 151</t>
  </si>
  <si>
    <t>Субвенции  бюджетам  муниципальных районов на оплату жилищно-коммунальных услуг отдельным категориям граждан</t>
  </si>
  <si>
    <t xml:space="preserve"> 2 0203002 05 0000 151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</si>
  <si>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</si>
  <si>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 xml:space="preserve"> 2 0203004 05 0000 151</t>
  </si>
  <si>
    <t>Субвенции бюджетам муниципальных районов на обеспечение мер социальной поддержки для лиц, награжденных знаками "Почетный донор СССР" , "Почетный донор России"</t>
  </si>
  <si>
    <t>2 0203013  05 0000 151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</si>
  <si>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</si>
  <si>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2 0203015 05 0000 151</t>
  </si>
  <si>
    <t>Субвенции бюджетам муниципальных районов на осуществление  первичного  воинскоого учета на территориях, где отсутствуют военные комиссариаты</t>
  </si>
  <si>
    <t xml:space="preserve"> 2 0203021 05 0000 151</t>
  </si>
  <si>
    <t xml:space="preserve">Субвенции бюджетам муниципальных районов на ежемесячное денежное вознаграждение  за классное руководство </t>
  </si>
  <si>
    <t xml:space="preserve"> 2 0203022 05 0000 151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</si>
  <si>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</si>
  <si>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2 0203024 05 0000 151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</si>
  <si>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</si>
  <si>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на реализацию Закона Республики Алтай "О наделении органов местного самоуправления государственными полномочиями в области архивного дела"</t>
  </si>
  <si>
    <t>Субвенции на реализацию Закона Республики Алтай "О наделении органов местного самоуправления государственными полномочиями Республики Алтай по образованию и организации деятельности муниципальных комиссий по делам несовершеннолетних и защите их прав"</t>
  </si>
  <si>
    <t>Субвенции на реализацию пунктов 11-14 статьи 1 Закона Республики Алтай "О наделении органов местного самоуправления в Республике Алтай отдельными государственными полномочиями в области социальной поддержки, социального обслуживания отдельных категорий граждан и управления охраной труда"</t>
  </si>
  <si>
    <t>Субвенции на осуществление государственных полномочий по лицензированию продажи алкогольной продукции</t>
  </si>
  <si>
    <t>Субвенции на 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 же дополнительного образования в общеобразовательных учреждениях</t>
  </si>
  <si>
    <t>Субвенции на организацию и осуществление деятельности органов местного самоуправления по осуществлению полномочий по опеке и попечительству , социальной поддержке детей-сирот,  детей, осташихся без попечения родителей, и лиц из их числа</t>
  </si>
  <si>
    <t>Субвенции на предоставление гарантированных услуг по погребению</t>
  </si>
  <si>
    <t>Субвенции на предоставление мер социальной поддержки ветеранам труда Республики Алтай</t>
  </si>
  <si>
    <t>Субвенции на предоставление мер социальной поддержки некоторым категориям работников, проживающих в сельской местности Республики Алтай</t>
  </si>
  <si>
    <t>Субвенции  на предоставление мер социальной  поддержки отдельным категориям ветеранов</t>
  </si>
  <si>
    <t>Субвенции  на осуществление  выплаты   ежемесячного пособия на ребенка</t>
  </si>
  <si>
    <t>Субвенции на предоставление мер социальной поддержки многодетным семьям</t>
  </si>
  <si>
    <t>Субвенции на осуществление  государственных полномочий по вопросам административного законодательства</t>
  </si>
  <si>
    <t>Субвенции на осуществление  назначения и выплаты доплат к пенсиям</t>
  </si>
  <si>
    <t xml:space="preserve"> 2 0203026 05 0000 151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</si>
  <si>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</si>
  <si>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2 0203027 05 0000 151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</si>
  <si>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</si>
  <si>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2 0203029 05 0000 151</t>
  </si>
  <si>
    <t>Субвенции бюджетам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 общеобразовательную программу дошкольного образования</t>
  </si>
  <si>
    <t xml:space="preserve"> 2 0203033 05 0000 151</t>
  </si>
  <si>
    <t>Субвенции бюджетам муниципальных районов на оздоровление детей</t>
  </si>
  <si>
    <t xml:space="preserve"> 2 0203055 05 0000 151</t>
  </si>
  <si>
    <t>Субвенции на осуществление денежных выплат медицинскому персоналу фельдшерско-акушерских пунктов (заведующим фельдшерско-акушерскими пунктами, фельдшерам, акушеркам, медицинским сестрам, в том числе медицинским сестрам патронажным), врачам, фельдшерам (акушеркам), медицинским сестрам учреждений и подразделений скорой медицинской помощи муниципальной системы здравоохранения (через Министерство здравоохранения Республики Алтай)</t>
  </si>
  <si>
    <t xml:space="preserve"> 2 02 03070 05 0000 151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</si>
  <si>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</si>
  <si>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2 18 05030 05 0000 151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</si>
  <si>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 из бюджетов поселений</t>
  </si>
  <si>
    <t xml:space="preserve"> 2 19 05000 05 0000 151</t>
  </si>
  <si>
    <t>ВСЕГО ДОХОДОВ</t>
  </si>
  <si>
    <t>ДОХОДЫ без учета объема безвозмездных поступлений</t>
  </si>
  <si>
    <t>Остатки на 01.01.2011 год</t>
  </si>
  <si>
    <t>Целевые остатки на 01.01.2011год</t>
  </si>
  <si>
    <t>Остаток средств на 01.01.2011г. направленных на погашение дефицита бюджета</t>
  </si>
  <si>
    <t>ВСЕГО ДОХОДОВ и остатков</t>
  </si>
  <si>
    <t>ВСЕГО ПО МУНИЦИПАЛЬНОМУ ОБРАЗОВАНИЮ:</t>
  </si>
  <si>
    <t>Реконструкция  средней школы в с.Онгудай Онгдайского района РА (1 очередь строительства)</t>
  </si>
  <si>
    <t>РЦП "Демографическое развитие РА на 2010-2015 г.</t>
  </si>
  <si>
    <t>Реконструкция кинотеатра "Урсул" под сельский дом культуры в с.Онгудай</t>
  </si>
  <si>
    <t>2.4.</t>
  </si>
  <si>
    <t>Строительство полной средней школы на 260 учащихся с интернатом на 80 мест в с.Иня</t>
  </si>
  <si>
    <t>2.3.</t>
  </si>
  <si>
    <t>2.2.</t>
  </si>
  <si>
    <t>Реконструкция водопровода в с.Ело</t>
  </si>
  <si>
    <t>2.1.</t>
  </si>
  <si>
    <t>РЦП "Развитие агропромышленного комплекса РА на 2011-2017г"</t>
  </si>
  <si>
    <t>ФЦП  «Социальное развитие села »:</t>
  </si>
  <si>
    <t>Программная часть</t>
  </si>
  <si>
    <t>Корректировка рабочего проекта на реконструкцию общеобразовательной средней школы в с.Онгудай (1,2 очереди)</t>
  </si>
  <si>
    <t>1.10</t>
  </si>
  <si>
    <t>Экспертиза рабочего проекта на реконструкцию водопровода в с.Нижняя-Талда</t>
  </si>
  <si>
    <t>1.9.</t>
  </si>
  <si>
    <t>Экспертиза рабочего проекта на реконструкцию водопровода в с.Иня</t>
  </si>
  <si>
    <t>1.8.</t>
  </si>
  <si>
    <t>Экспертиза рабочего проекта на реконструкцию 1 го этапа 2 ой очереди общеобразовательной средней школы в с.Онгудай (нач.школа)</t>
  </si>
  <si>
    <t>1.7.</t>
  </si>
  <si>
    <t>Экспертиза рабочего проекта на строительство ВЛ-10,0 квт с ТП в с.Онгудай</t>
  </si>
  <si>
    <t>1.6.</t>
  </si>
  <si>
    <t>Разработка рабочего проекта на строительство ВЛ-10,0 квт с ТП в с.Онгудай</t>
  </si>
  <si>
    <t>Экспертиза рабочего проекта на строительство водопровода в с.Шашикман</t>
  </si>
  <si>
    <t>Разработка рабочего проекта на строительство водопровода в с.Шашикман</t>
  </si>
  <si>
    <t>Экспертиза рабочего проекта на строительство детского сада на 150 мест в с.Онгудай</t>
  </si>
  <si>
    <t>Разработка рабочего проекта на строительство детского сада на 150 мест в с.Онгудай</t>
  </si>
  <si>
    <t>Непрограммная часть</t>
  </si>
  <si>
    <t>местный бюджет</t>
  </si>
  <si>
    <t>республиканский  бюджет</t>
  </si>
  <si>
    <t>Инвестиции на 2011 год</t>
  </si>
  <si>
    <t>Всего на утверждение</t>
  </si>
  <si>
    <t>изменения (+,-)</t>
  </si>
  <si>
    <t>Федеральный бюджет (справочно)</t>
  </si>
  <si>
    <t>Всего, план</t>
  </si>
  <si>
    <t>Наименование объектов</t>
  </si>
  <si>
    <t>№п/п</t>
  </si>
  <si>
    <t>тыс.руб.</t>
  </si>
  <si>
    <t>на 2011 год</t>
  </si>
  <si>
    <t>4320203</t>
  </si>
  <si>
    <t>4320202</t>
  </si>
  <si>
    <t>Строительство водопровода в с.Шиба</t>
  </si>
  <si>
    <t>федеральный бюджет</t>
  </si>
  <si>
    <t>федеральный  бюджет</t>
  </si>
  <si>
    <t>8100108</t>
  </si>
  <si>
    <t>6000200</t>
  </si>
  <si>
    <t>ФЦП "Социальное развитие села  до 2012г"</t>
  </si>
  <si>
    <t>5058502</t>
  </si>
  <si>
    <t>Субсидии на подготовку  к отопительному сезону объектов  жилищно-коммунального хозяйства</t>
  </si>
  <si>
    <t xml:space="preserve"> РАСПРЕДЕЛЕНИЕ  МЕЖБЮДЖЕТНЫХ ТРАНСФЕРТОВ  БЮДЖЕТАМ СЕЛЬСКИХ ПОСЕЛЕНИЙ  ИЗ БЮДЖЕТА МУНИЦИПАЛЬНОГО ОБРАЗОВАНИЯ "ОНГУДАЙСКИЙ РАЙОН" </t>
  </si>
  <si>
    <t xml:space="preserve">   на  2011 год</t>
  </si>
  <si>
    <t>(тыс.руб)</t>
  </si>
  <si>
    <t>Наименования межбюджетных трансфертов</t>
  </si>
  <si>
    <t>Всего</t>
  </si>
  <si>
    <t>Наименования сельских поселений муниципального образования "Онгудайский район"</t>
  </si>
  <si>
    <t>Елинское</t>
  </si>
  <si>
    <t>Теньгинское</t>
  </si>
  <si>
    <t>Куладинское</t>
  </si>
  <si>
    <t>Каракольское</t>
  </si>
  <si>
    <t>Нижне-Талдинское</t>
  </si>
  <si>
    <t>Шашикманское</t>
  </si>
  <si>
    <t>Хабаровское</t>
  </si>
  <si>
    <t>Купчегеньское</t>
  </si>
  <si>
    <t>Ининское</t>
  </si>
  <si>
    <t>Онгудайское</t>
  </si>
  <si>
    <t>Б</t>
  </si>
  <si>
    <t>1</t>
  </si>
  <si>
    <t>Межбюджетные трансферты бюджетам сельских поселений из республиканского бюджета</t>
  </si>
  <si>
    <t>Дотации на выравнивание бюджетной обеспеченности поселений</t>
  </si>
  <si>
    <t>Субсидии на  благоустройство  территорий сельских поселений</t>
  </si>
  <si>
    <t xml:space="preserve">Субсидии на софинансирование  расходов на решение вопросов местного значения поселений, связанных с реализацией ФЗ "Об общих принципах организации местного самоуправления  в Российской Федерации" </t>
  </si>
  <si>
    <t xml:space="preserve">Субсидии на капитальный и текущий ремонт объектов социально- культурной сферы </t>
  </si>
  <si>
    <t>Субвенции на осуществление  первичного  воинского учета на территориях, где отсутствуют военные комиссариаты</t>
  </si>
  <si>
    <t>3</t>
  </si>
  <si>
    <t>Межбюджетные трансферты бюджетам сельских поселений бюджета муницпального района</t>
  </si>
  <si>
    <t>Дотация на выравнивание уровня бюджетной обеспеченности  из районного фонда  финансовой поддержки  поселений</t>
  </si>
  <si>
    <t>Итого межбюджетные трансферты бюджетам муниципальных образований</t>
  </si>
  <si>
    <t>3.3</t>
  </si>
  <si>
    <t>Повышение квалификации</t>
  </si>
  <si>
    <t>Повышение оплаты труда   работникам бюджетной  сферы</t>
  </si>
  <si>
    <t>Код бюджетной классификации</t>
  </si>
  <si>
    <t>0960300</t>
  </si>
  <si>
    <t>Реализация мероприятий по внедрению стандартов и повышению доступности амбулаторной медицинской помощи в рамках региональной программы модернизации здравоохранения</t>
  </si>
  <si>
    <t>1020101</t>
  </si>
  <si>
    <t>РЦП "Жилище на 2011-2015годы" подпрограмма "Стимулитрование развития  жилищного строительства на территроии РА "</t>
  </si>
  <si>
    <t>1 14 02032  05 0000  410</t>
  </si>
  <si>
    <t xml:space="preserve"> 2 02 02080 05 0000 151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</si>
  <si>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</si>
  <si>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3,289 было с плюсом по решению июня</t>
  </si>
  <si>
    <t>3,958 перепись убрать.</t>
  </si>
  <si>
    <t>0401</t>
  </si>
  <si>
    <t>Разработка рабочего проекта на реконструкцию здания  Отдела труда и социального развития в с.Онгудай</t>
  </si>
  <si>
    <t>4.1.</t>
  </si>
  <si>
    <t>Строительство ЦРБ с Онгудай Онгудайского района РА</t>
  </si>
  <si>
    <t xml:space="preserve">Региональная программа модернизации здравоохранения субъектов РФ и программы модернизации гос учреждений, оказывающих мед помощь </t>
  </si>
  <si>
    <t>тыс. рублей</t>
  </si>
  <si>
    <t>Главный распорядитель бюджетных средств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</si>
  <si>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</si>
  <si>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</si>
  <si>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2008 год , тыс.руб.</t>
  </si>
  <si>
    <t xml:space="preserve">2009 год по закону о бюджете </t>
  </si>
  <si>
    <t>Изменения 2009 год (+/-)</t>
  </si>
  <si>
    <t>2011 год</t>
  </si>
  <si>
    <t>раздел/ подраздел</t>
  </si>
  <si>
    <t>целевая статья</t>
  </si>
  <si>
    <t>вид расходов</t>
  </si>
  <si>
    <t>в том числе</t>
  </si>
  <si>
    <t>ФС</t>
  </si>
  <si>
    <t>РС</t>
  </si>
  <si>
    <t>Федераль-ные средства</t>
  </si>
  <si>
    <t>Республи-канские средства</t>
  </si>
  <si>
    <t>Местные средства</t>
  </si>
  <si>
    <t>Отдел образования Администрации района (аймака) муниципального образования "Онгудайский район"</t>
  </si>
  <si>
    <t>Содержание детей в семьях опекунов (попечителей) и приемных семьях, а так же  на оплату труда приемных родителей</t>
  </si>
  <si>
    <t>Закон Республики Алтай от 31.03.2008 №23-РЗ " О размере и порядке выплаты денежных средств на содержание  детей в семьях опекунов (попечителей) и приемных семьях, а  так же на оплату труда приемных родителей".Закон РФ от 21.12.1996 №159-ФЗ "О допонительных гарантиях по социаьной поддержке  детей - 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</si>
  <si>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</si>
  <si>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Закон РФ от 21.12.1996 №159-ФЗ "О допонительных гарантиях по социаьной поддержке  детей - 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</si>
  <si>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</si>
  <si>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Закон РА от 14.05.2007 №17-РЗ "О наделении органов местного самоуправления государственнми полномочиями РА по выплате компенсации части родительской платы за содержание детей в МОУ , реализующих основную общеобразовательную программу дошкольного образования"</t>
  </si>
  <si>
    <t xml:space="preserve">Итого по Отделу образования </t>
  </si>
  <si>
    <t xml:space="preserve">Доплаты к пенсиям государственных служащих субъектов Российской Федерации и Муниципальных образований </t>
  </si>
  <si>
    <t>Закон РА "О доплате к пенсии Республики Алтай" от 01.11.2001 г №25-28</t>
  </si>
  <si>
    <t>Отдел труда и социального развития Администрации района (аймака) муниципального образования "Онгудайский район"</t>
  </si>
  <si>
    <t>Федеральный закон от 12.01.1996 № 8-ФЗ "О погребении и похоронном деле"</t>
  </si>
  <si>
    <t>Статья 159 Жилищного кодекса РФ, постановление  Правительства РФ  от 14.12.2005г №941 " О предоставлении  субсидий на оплату жилого помещения и коммунальных услуг"</t>
  </si>
  <si>
    <t>Закон Республики Алтай от 11.10.2004 № 42-РЗ "О ветеранах труда Республики Алтай"</t>
  </si>
  <si>
    <t>Закон Республики Алтай от 11.10.2005  № 70-РЗ "О мерах социальной поддержки многодетных семей в Республике Алтай"</t>
  </si>
  <si>
    <t>Осуществление назначения и выплаты доплат к пенсиям</t>
  </si>
  <si>
    <t>Закон Республики Алтай от 01.11.2001 № 25-28 "О доплате к пенсии в Республике Алтай"</t>
  </si>
  <si>
    <t>Закон Республики Алтай от 01.12.2004 № 59-РЗ "О мерах социальной поддержки отдельных категорий ветеранов"</t>
  </si>
  <si>
    <t xml:space="preserve">Обеспечение мер социальной поддержки реабилитированных  и лиц, признанных пострадавшими от политических репрессий </t>
  </si>
  <si>
    <t>Закон Республики Алтай от 01.12.2004 № 61-РЗ "О мерах социальной поддержки жертв политических репрессий"</t>
  </si>
  <si>
    <t>Обеспечение мер социальной поддержки лиц, награжденных знаком "Почетный донор СССР", "Почетный донор России"</t>
  </si>
  <si>
    <t>Закон Российской Федерации  от 09.06.1993 №5142-1 "О донорстве крови и её компонентов"</t>
  </si>
  <si>
    <t>Закон Республики Алтай от 01.12.2004 № 60-РЗ "О ежемесячном пособии на ребенка"</t>
  </si>
  <si>
    <t>Оплата  жилищно-коммунальных услуг отдельным категориям граждан</t>
  </si>
  <si>
    <t>Федеральный закон от 12.01.1995 № 5-ФЗ "О ветеранах", Федеральный законот 24.11.1995 № 181-ФЗ "О социальной защите инвалидов в Российской
Федерации", Федеральный закон от 10.01.2002 № 2-ФЗ "О
социальных гарантиях гражданам, подвергшимся радиационному
воздействию вследствие ядерных испытаний на Семипалатинском полигоне",
Федеральный закон от 26.11.1998 № 175-ФЗ "О социальной защите граждан
Российской Федерации, подвергшихся воздействию радиации вследствие
аварии в 1957 году на ПО "Маяк" и сбросов радиоактивных отходов в реку
Теча", Закон Российской Федерации от 15.05.1991 № 1244-1 "О социальной
защите граждан, подвергшихся воздействию радиации вследствие
катастрофы на Чернобыльской АЭС", постановление Правительства
Республики Алтай от 15.03.2005 № 32 "О порядке предоставления мер
социальной поддержки по оплате жилья и коммунальных услуг отдельным
категориям граждан, проживающих на территории Республики Алтай"</t>
  </si>
  <si>
    <t>Обеспечение жильем инвалидов войны и инвалидов боевыхдействий, участников Великой Отечественной войны,ветеранов боевых действий,  военнослужащих,проходивших военную службу в период с 22 июня 1941года по 3 сентября 1945 года, граждан, награжденныхзнаком "Жителю блокадного Ленинграда", лиц,работавших на военных объектах в период Великой Отечественной войны, членов семей погибших (умерших)инвалидов войны, участников Великой Отечественной войны, ветеранов боевых действий, инвалидов и семей, имеющих детей -инвалидов</t>
  </si>
  <si>
    <t>Федеральный закон от 12.01.1995 № 5-ФЗ "О ветеранах", Федеральный закон
от 24.11.1995 № 181-ФЗ "О социальной защите инвалидов в Российской
Федерации"</t>
  </si>
  <si>
    <t>Итого по Отделу труда и социального развития</t>
  </si>
  <si>
    <t>Администрация района (аймака) муниципального образования "Онгудайский район"</t>
  </si>
  <si>
    <t>Социальные выплаты молодым семьям на приобретение жилья или строитльство индивидуального жилого дома</t>
  </si>
  <si>
    <t>Закон Республики Алтай от 18.04.2008 №30-РЗ " О респубиканской  целевой программе "Жилище" на 2008-2010 годы, подпрограмма "Обеспечение  жильем молодых семей"</t>
  </si>
  <si>
    <t>Социальные выплаты  на строительство  (приобретение) жилья гражданам Российской Федерации, проживающим в сельской  местности, в  том числе молодым семьям и молодым специалистам, проживающим и работающим  на селе  либо изъявивишим желание переехать на постоянное  место жительства в сельскую местность и работать там.</t>
  </si>
  <si>
    <t>Постановление Российской Федерации от 03.12.2002 №858 " О федеральной целевой программе "Социальное развитие села до 2012 года"</t>
  </si>
  <si>
    <t xml:space="preserve">Итого по Администрации района (аймака) </t>
  </si>
  <si>
    <t>4361500</t>
  </si>
  <si>
    <t>4361501</t>
  </si>
  <si>
    <t>0960100</t>
  </si>
  <si>
    <t>5220199</t>
  </si>
  <si>
    <t>099</t>
  </si>
  <si>
    <t>5100300</t>
  </si>
  <si>
    <t>7952025</t>
  </si>
  <si>
    <t>7952023</t>
  </si>
  <si>
    <t>Мероприятия в области</t>
  </si>
  <si>
    <t>4400200</t>
  </si>
  <si>
    <t>5053401</t>
  </si>
  <si>
    <t>3450000</t>
  </si>
  <si>
    <t>3450100</t>
  </si>
  <si>
    <t>0314</t>
  </si>
  <si>
    <t>Проведение противоаврийных мероприятий в общеобразовательных учреждениях</t>
  </si>
  <si>
    <t>Организация общественных работ безработных граждан</t>
  </si>
  <si>
    <t>Малое и среднее предпринимательство</t>
  </si>
  <si>
    <t>РП №Модернизация здравоохранения Республики  Алтай на 2011-2012 годы"</t>
  </si>
  <si>
    <t>ФЦП "Социальное развитие села до 2012года"</t>
  </si>
  <si>
    <t>Субсидии на обеспечение жильем молодых семей и молодых специалистов</t>
  </si>
  <si>
    <t xml:space="preserve">Субсидии на осуществление мероприятий
по обеспечению жильем граждан Российской Федерации,
проживающих в сельской местности
</t>
  </si>
  <si>
    <t>Другие вопросы в области национальной безопасности и правоохранительной деятельности</t>
  </si>
  <si>
    <t>МЦП "Комплексные  меры по противодействию незаконному обороту и потреблению наркотических средств, психотропных веществ и их прекурсоров в Онгудайском районе на 2011-2014 годы»</t>
  </si>
  <si>
    <t>МЦП "Патриотическое воспитание граждан в Онгудайском районе  на 2011-2015 годы»"</t>
  </si>
  <si>
    <t xml:space="preserve"> 2 02 02009 05 0000 151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</si>
  <si>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</si>
  <si>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 xml:space="preserve"> 2 0202085 05 0000 151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</si>
  <si>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</si>
  <si>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 xml:space="preserve"> 2 0202105 05 0000 151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</si>
  <si>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</si>
  <si>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Cубсидии на повышение оплаты труда работников органов местного самоуправления, оплата труда которых осуществляется на основе новых систем оплаты труда, а также  работников муниципальных учреждений в Республике Алтай</t>
  </si>
  <si>
    <t>Субвенции бюджетам муниципальных образований на реализации РЦП "Социальная адаптация граждан, освободившихся из мест лишения свободы"</t>
  </si>
  <si>
    <t xml:space="preserve"> 2 02 03069 05 0000 151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</si>
  <si>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</si>
  <si>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 202 04029 05 0000 151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</si>
  <si>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</si>
  <si>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 xml:space="preserve"> 202 04034 05 0000 151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</si>
  <si>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</si>
  <si>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 xml:space="preserve">РАСПРЕДЕЛЕНИЕ БЮДЖЕТНЫХ АССИГНОВАНИЙ НА ОСУЩЕСТВЛЕНИЕ  БЮДЖЕТНЫХ ИНВЕСТИЦИЙ  В ОБЪЕКТЫ  КАПИТАЛЬНОГО СТРОИТЕЛЬСТВА  МУНИЦИПАЛЬНОЙ СОБСТВЕННОСТИ                                                                         МУНИЦИПАЛЬНОГО ОБРАЗОВАНИЯ "ОНГУДАЙСКИЙ РАЙОН" </t>
  </si>
  <si>
    <t>7952026</t>
  </si>
  <si>
    <t>3.2.</t>
  </si>
  <si>
    <t>3.2.1.</t>
  </si>
  <si>
    <t>3.2.2.</t>
  </si>
  <si>
    <t>3.2.3</t>
  </si>
  <si>
    <t>3.2.4.</t>
  </si>
  <si>
    <t>3.2.5.</t>
  </si>
  <si>
    <t>3.2.6.</t>
  </si>
  <si>
    <t>4</t>
  </si>
  <si>
    <t xml:space="preserve">Субсидии на подготовку к отпительному сезону объектов жилищно-коммунального хозяйства </t>
  </si>
  <si>
    <t>МЦП «Оснащение многоквартирных домов коллективными (общедомовыми) приборами учета потребления коммунального ресурса на 2011-2013 годы»</t>
  </si>
  <si>
    <t>1.7</t>
  </si>
  <si>
    <t>Субсидии на организацию общественных работ безработных граждан</t>
  </si>
  <si>
    <t>На дополнительные расходы</t>
  </si>
  <si>
    <t>Постановление Правительства Республики Алтай №199 от 16.09.2011гПодпрограмма "Обеспечение жильем молодых семей" РЦП "Жилище" на 2011-2015 годы"</t>
  </si>
  <si>
    <t>Предоставление дополнительной  социальной выплаты в 2011 году молодым семьям при рождении (усыновлении) одного ребенка</t>
  </si>
  <si>
    <t>1.11</t>
  </si>
  <si>
    <t>4362100</t>
  </si>
  <si>
    <t>4362101</t>
  </si>
  <si>
    <t>Модернизация  региональной системы общего образования</t>
  </si>
  <si>
    <t>Выполнение функций бюджетными учреждениями (федер.бюджет)</t>
  </si>
  <si>
    <t>Выполнение функций бюджетными учреждениями (респ.бюджет)</t>
  </si>
  <si>
    <t>5227900</t>
  </si>
  <si>
    <t>Сфинансированиемун программ развития малого и среднего  предпринимательства из респ.бюджета</t>
  </si>
  <si>
    <t>5225101</t>
  </si>
  <si>
    <t>РЦП "Энергосбережение в сфере предоставления  коммунальных услуг на терр РА"</t>
  </si>
  <si>
    <t>РЦП " Оснащение многокварт. Домов коллективными (общедомовыми) приборами учета потребления коммунального ресурса на 2009-2011 годы"</t>
  </si>
  <si>
    <t>5222100</t>
  </si>
  <si>
    <t>1008820</t>
  </si>
  <si>
    <t>"Обеспечение жильем молодых семей"ФЦП "Жилище" на 2011-2015годы</t>
  </si>
  <si>
    <t>"Обеспечение жильем молодых семей"РЦП "Жилище" на 2011-2015годы</t>
  </si>
  <si>
    <t>Учебно- метод.кабинеты, центр.бухгалтерии, группы хоз.обслуживания</t>
  </si>
  <si>
    <t xml:space="preserve"> Проведение мероприятий для детей и молодежи</t>
  </si>
  <si>
    <t>ДОХОД</t>
  </si>
  <si>
    <t>Прочие межбюджетные трансферты, передаваемые бюджетам муниципальных районов</t>
  </si>
  <si>
    <t xml:space="preserve"> 202 04999 05 0000 151</t>
  </si>
  <si>
    <t xml:space="preserve"> 2 0204000 00 0000 000</t>
  </si>
  <si>
    <t>Субсидии на реализацию Региональной целевой программы "Оснащение многоквартирных домов коллективными приборами учета потребления коммунального ресурса на 2009-2011 годы"</t>
  </si>
  <si>
    <t>Субсидии на реализацию Региональной целевой программы" Энергосбережение и повышение энергетической эффективности Республики Алтай на 2010-2015 годы и на период до 2020 года"Подпрограмма "Энергосбережение в сфере предоставления коммунальных услуг на территории Республики Алтай"</t>
  </si>
  <si>
    <t>Субсидии бюджетам муниципальных районов на модернизацию региональных систем общего образования</t>
  </si>
  <si>
    <t xml:space="preserve"> 2 0202145 05 0000 151</t>
  </si>
  <si>
    <t xml:space="preserve"> 2 02 02051 05 0000 151</t>
  </si>
  <si>
    <t>Объем бюджетных ассигнований, направленных на исполнение публичных нормативных обязательств в 2011 году                                                                                    по муниципальному образованию "Онгудайский район"</t>
  </si>
  <si>
    <t>4361502</t>
  </si>
  <si>
    <t>1.12</t>
  </si>
  <si>
    <t>Реконструкция  киноконцертного зала "Урсул"  в с Онгудай</t>
  </si>
  <si>
    <t>1 0807150 01 0000 110</t>
  </si>
  <si>
    <t>Государственная пошлина за выдачу разрешения на установку рекламной конструкции</t>
  </si>
  <si>
    <t xml:space="preserve">Реализация программы повышения эффективности бюджетных расходов. </t>
  </si>
  <si>
    <t>Оснащение  объектов мун.учр-ий приборами учета воды, прир.газа, эл и тепловой энергии, проведение меропр.по энергосбережению на  объектах мун.учреждений</t>
  </si>
  <si>
    <t>5225103</t>
  </si>
  <si>
    <t>Возмещение части  процентной ставки по кредитам, привлеченным на реализацию  энергосберег.мероприятий на  источниках коммун.ресурсов</t>
  </si>
  <si>
    <t>0923400</t>
  </si>
  <si>
    <t xml:space="preserve">  Приложение 10</t>
  </si>
  <si>
    <t xml:space="preserve"> Приложение 8</t>
  </si>
  <si>
    <t>к  решению "О бюджете муниципального образования "Онгудайский район" на 2011 год и на плановый период 2012-2013 годов" ( в редакции решения "О внесении изменений и дополнений в бюджет муниципального образования "Онгудайский район" на 2011 год и на плановый период 2012-2013 годов" от  04.03.2011г № 24-1, от22.04.2011  №25-5, от 10.06.2011г №26/2,от 06.10.2011г №28-1,от 28.11.2011г №29/1, от  28.12.2011г №30-1)</t>
  </si>
  <si>
    <t>к решению  "О бюджете муниципального образования "Онгудайский район" на 2011год и на плановый период 2012 и 2013 годов" ( в ред.реш.сессии от 04.03.2011г № 24-1, от22.04. 2011 №25-5, от 10.06.2011г №26/2, от 06.10.2011 г № 28-1, от 28.11.2011г № 29-1, от 28.12.2011г №30-1)</t>
  </si>
  <si>
    <t>к решению "О бюджете муниципального образования "Онгудайский район" на 2011год и на плановый период 2012 и 2013 годов"( в ред.реш.сессии от 04.03.2011г №24-1, от 22.04.2011 № 25-5, от10.06.2011г № 26/2,от 06.10.2011 №28-1, 28.11.2011 г№29-1, от 28.12.2011 №30-1)</t>
  </si>
  <si>
    <t>Приложение 14</t>
  </si>
  <si>
    <t>к решению "О бюджете муниципального образования "Онгудайский район" на 2011 год и на плановый период 2012- 2013 годов" ( в ред.реш.сессии от 04.03.2011г №24-1, от 22.04.2011г №25-5, от 10.06.2011г №26/2, от06.10.2011г № 28-1, от28.11.2011г №29-1, от 28.12.2011г №30-1)</t>
  </si>
  <si>
    <t>Приложение № 15</t>
  </si>
  <si>
    <t>к решению  "О бюджете муниципального образования "Онгудайский район" на 2011год и на плановый период 2012 и 2013 годов" ( в ред.реш.сессии от 04.03.2011г № 24-1, от  22.04. 2011 №25-5, от06.10.2011 №28-1, от 28.11.2011г №29-1, от 28.12.2011г №30-1)</t>
  </si>
  <si>
    <t>Приложение 17</t>
  </si>
  <si>
    <t>к решению " О бюджете муниципального образования "Онгудайский район" на 2011 год и на плановый период 2012 и 2013 годов" (в ред.решения сессии от 04.03.2011г № 24-1, от 10.06.2011г №26/2, от06.10.2011г №28-1, от 28.11.2011г №29-1,от28.12.2011г №30-2)</t>
  </si>
  <si>
    <t>Субсидии бюджетам муниципальных районов на реализацию  региональной программы по энергосбережению и повышения энергетической эффективности на период до 2020 года.</t>
  </si>
  <si>
    <t xml:space="preserve"> 2 0202150 05 0000 151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</si>
</sst>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_(&quot;$&quot;* #,##0.00_);_(&quot;$&quot;* \(#,##0.00\);_(&quot;$&quot;* &quot;-&quot;??_);_(@_)"/>
    <numFmt numFmtId="171" formatCode="_-* #,##0.0_р_._-;\-* #,##0.0_р_._-;_-* &quot;-&quot;??_р_._-;_-@_-"/>
    <numFmt numFmtId="172" formatCode="#,##0.00_ ;\-#,##0.00\ "/>
    <numFmt numFmtId="173" formatCode="#,##0.00000"/>
    <numFmt numFmtId="174" formatCode="_-* #,##0.000_р_._-;\-* #,##0.000_р_._-;_-* &quot;-&quot;??_р_._-;_-@_-"/>
    <numFmt numFmtId="175" formatCode="_-* #,##0.00000_р_._-;\-* #,##0.00000_р_._-;_-* &quot;-&quot;?????_р_._-;_-@_-"/>
    <numFmt numFmtId="176" formatCode="_-* #,##0.00000_р_._-;\-* #,##0.00000_р_._-;_-* &quot;-&quot;??_р_._-;_-@_-"/>
    <numFmt numFmtId="177" formatCode="_(* #,##0.00_);_(* \(#,##0.00\);_(* &quot;-&quot;??_);_(@_)"/>
  </numFmts>
  <fonts count="9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b/>
      <sz val="11"/>
      <name val="Arial"/>
      <family val="2"/>
    </font>
    <font>
      <b/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4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11"/>
      <color indexed="48"/>
      <name val="Times New Roman"/>
      <family val="1"/>
    </font>
    <font>
      <b/>
      <sz val="11"/>
      <color indexed="62"/>
      <name val="Times New Roman"/>
      <family val="1"/>
    </font>
    <font>
      <sz val="12"/>
      <name val="Times New Roman"/>
      <family val="1"/>
    </font>
    <font>
      <vertAlign val="superscript"/>
      <sz val="11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 CE"/>
      <family val="0"/>
    </font>
    <font>
      <b/>
      <sz val="10"/>
      <name val="Times New Roman CE"/>
      <family val="1"/>
    </font>
    <font>
      <b/>
      <sz val="9"/>
      <name val="Arial Cyr"/>
      <family val="0"/>
    </font>
    <font>
      <sz val="7"/>
      <name val="Arial Cyr"/>
      <family val="0"/>
    </font>
    <font>
      <b/>
      <sz val="12"/>
      <name val="Arial Cyr"/>
      <family val="2"/>
    </font>
    <font>
      <b/>
      <sz val="14"/>
      <name val="Times New Roman"/>
      <family val="1"/>
    </font>
    <font>
      <sz val="12"/>
      <name val="Arial Cyr"/>
      <family val="2"/>
    </font>
    <font>
      <sz val="9"/>
      <name val="Arial Cyr"/>
      <family val="2"/>
    </font>
    <font>
      <sz val="10"/>
      <color indexed="8"/>
      <name val="Arial Cyr"/>
      <family val="0"/>
    </font>
    <font>
      <sz val="7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1"/>
      <name val="Calibri"/>
      <family val="2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1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00B0F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thin"/>
      <top/>
      <bottom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/>
      <right/>
      <top style="thin"/>
      <bottom style="medium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7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745">
    <xf numFmtId="0" fontId="0" fillId="0" borderId="0" xfId="0" applyAlignment="1">
      <alignment/>
    </xf>
    <xf numFmtId="0" fontId="12" fillId="0" borderId="0" xfId="66" applyFont="1" applyBorder="1">
      <alignment/>
      <protection/>
    </xf>
    <xf numFmtId="0" fontId="12" fillId="0" borderId="0" xfId="66" applyFont="1">
      <alignment/>
      <protection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0" xfId="66" applyFont="1" applyBorder="1" applyAlignment="1">
      <alignment horizontal="center" wrapText="1"/>
      <protection/>
    </xf>
    <xf numFmtId="0" fontId="12" fillId="0" borderId="0" xfId="66" applyFont="1" applyAlignment="1">
      <alignment wrapText="1"/>
      <protection/>
    </xf>
    <xf numFmtId="2" fontId="12" fillId="0" borderId="10" xfId="66" applyNumberFormat="1" applyFont="1" applyBorder="1" applyAlignment="1">
      <alignment horizontal="center"/>
      <protection/>
    </xf>
    <xf numFmtId="49" fontId="12" fillId="0" borderId="10" xfId="66" applyNumberFormat="1" applyFont="1" applyBorder="1" applyAlignment="1">
      <alignment horizontal="center"/>
      <protection/>
    </xf>
    <xf numFmtId="2" fontId="12" fillId="0" borderId="10" xfId="0" applyNumberFormat="1" applyFont="1" applyBorder="1" applyAlignment="1">
      <alignment horizontal="center" wrapText="1"/>
    </xf>
    <xf numFmtId="2" fontId="12" fillId="0" borderId="0" xfId="66" applyNumberFormat="1" applyFont="1">
      <alignment/>
      <protection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 vertical="top" wrapText="1"/>
    </xf>
    <xf numFmtId="167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13" fillId="0" borderId="11" xfId="0" applyFont="1" applyFill="1" applyBorder="1" applyAlignment="1">
      <alignment/>
    </xf>
    <xf numFmtId="0" fontId="13" fillId="0" borderId="12" xfId="0" applyFont="1" applyFill="1" applyBorder="1" applyAlignment="1">
      <alignment vertical="center"/>
    </xf>
    <xf numFmtId="166" fontId="12" fillId="0" borderId="13" xfId="0" applyNumberFormat="1" applyFont="1" applyFill="1" applyBorder="1" applyAlignment="1">
      <alignment/>
    </xf>
    <xf numFmtId="166" fontId="12" fillId="0" borderId="14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65" fontId="19" fillId="0" borderId="15" xfId="0" applyNumberFormat="1" applyFont="1" applyFill="1" applyBorder="1" applyAlignment="1">
      <alignment/>
    </xf>
    <xf numFmtId="165" fontId="19" fillId="0" borderId="16" xfId="0" applyNumberFormat="1" applyFont="1" applyFill="1" applyBorder="1" applyAlignment="1">
      <alignment/>
    </xf>
    <xf numFmtId="0" fontId="13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2" fontId="12" fillId="0" borderId="10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/>
    </xf>
    <xf numFmtId="165" fontId="12" fillId="0" borderId="17" xfId="0" applyNumberFormat="1" applyFont="1" applyFill="1" applyBorder="1" applyAlignment="1">
      <alignment/>
    </xf>
    <xf numFmtId="165" fontId="12" fillId="0" borderId="18" xfId="0" applyNumberFormat="1" applyFont="1" applyFill="1" applyBorder="1" applyAlignment="1">
      <alignment/>
    </xf>
    <xf numFmtId="0" fontId="12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49" fontId="19" fillId="0" borderId="10" xfId="0" applyNumberFormat="1" applyFont="1" applyBorder="1" applyAlignment="1">
      <alignment/>
    </xf>
    <xf numFmtId="2" fontId="19" fillId="0" borderId="19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65" fontId="19" fillId="0" borderId="17" xfId="0" applyNumberFormat="1" applyFont="1" applyFill="1" applyBorder="1" applyAlignment="1">
      <alignment/>
    </xf>
    <xf numFmtId="165" fontId="19" fillId="0" borderId="18" xfId="0" applyNumberFormat="1" applyFont="1" applyFill="1" applyBorder="1" applyAlignment="1">
      <alignment/>
    </xf>
    <xf numFmtId="0" fontId="12" fillId="33" borderId="10" xfId="0" applyFont="1" applyFill="1" applyBorder="1" applyAlignment="1">
      <alignment horizontal="justify" wrapText="1"/>
    </xf>
    <xf numFmtId="0" fontId="19" fillId="0" borderId="17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166" fontId="12" fillId="0" borderId="0" xfId="0" applyNumberFormat="1" applyFont="1" applyAlignment="1">
      <alignment/>
    </xf>
    <xf numFmtId="0" fontId="15" fillId="0" borderId="10" xfId="65" applyFont="1" applyFill="1" applyBorder="1" applyAlignment="1">
      <alignment wrapText="1"/>
      <protection/>
    </xf>
    <xf numFmtId="49" fontId="15" fillId="0" borderId="10" xfId="0" applyNumberFormat="1" applyFont="1" applyBorder="1" applyAlignment="1">
      <alignment/>
    </xf>
    <xf numFmtId="0" fontId="12" fillId="0" borderId="20" xfId="0" applyFont="1" applyFill="1" applyBorder="1" applyAlignment="1">
      <alignment/>
    </xf>
    <xf numFmtId="165" fontId="12" fillId="0" borderId="21" xfId="0" applyNumberFormat="1" applyFont="1" applyFill="1" applyBorder="1" applyAlignment="1">
      <alignment/>
    </xf>
    <xf numFmtId="49" fontId="13" fillId="0" borderId="22" xfId="0" applyNumberFormat="1" applyFont="1" applyBorder="1" applyAlignment="1">
      <alignment/>
    </xf>
    <xf numFmtId="2" fontId="13" fillId="0" borderId="22" xfId="0" applyNumberFormat="1" applyFont="1" applyFill="1" applyBorder="1" applyAlignment="1">
      <alignment/>
    </xf>
    <xf numFmtId="2" fontId="13" fillId="0" borderId="15" xfId="0" applyNumberFormat="1" applyFont="1" applyFill="1" applyBorder="1" applyAlignment="1">
      <alignment/>
    </xf>
    <xf numFmtId="2" fontId="13" fillId="0" borderId="16" xfId="0" applyNumberFormat="1" applyFont="1" applyFill="1" applyBorder="1" applyAlignment="1">
      <alignment/>
    </xf>
    <xf numFmtId="2" fontId="13" fillId="0" borderId="19" xfId="0" applyNumberFormat="1" applyFont="1" applyBorder="1" applyAlignment="1">
      <alignment/>
    </xf>
    <xf numFmtId="2" fontId="12" fillId="0" borderId="18" xfId="0" applyNumberFormat="1" applyFont="1" applyFill="1" applyBorder="1" applyAlignment="1">
      <alignment/>
    </xf>
    <xf numFmtId="2" fontId="12" fillId="0" borderId="19" xfId="0" applyNumberFormat="1" applyFont="1" applyBorder="1" applyAlignment="1">
      <alignment/>
    </xf>
    <xf numFmtId="4" fontId="12" fillId="0" borderId="18" xfId="0" applyNumberFormat="1" applyFont="1" applyFill="1" applyBorder="1" applyAlignment="1">
      <alignment/>
    </xf>
    <xf numFmtId="2" fontId="13" fillId="0" borderId="17" xfId="0" applyNumberFormat="1" applyFont="1" applyFill="1" applyBorder="1" applyAlignment="1">
      <alignment/>
    </xf>
    <xf numFmtId="165" fontId="12" fillId="0" borderId="23" xfId="0" applyNumberFormat="1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165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5" fontId="15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165" fontId="13" fillId="0" borderId="17" xfId="0" applyNumberFormat="1" applyFont="1" applyFill="1" applyBorder="1" applyAlignment="1">
      <alignment/>
    </xf>
    <xf numFmtId="165" fontId="20" fillId="0" borderId="23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20" fillId="0" borderId="2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165" fontId="20" fillId="0" borderId="24" xfId="0" applyNumberFormat="1" applyFont="1" applyFill="1" applyBorder="1" applyAlignment="1">
      <alignment/>
    </xf>
    <xf numFmtId="165" fontId="12" fillId="0" borderId="0" xfId="0" applyNumberFormat="1" applyFont="1" applyFill="1" applyBorder="1" applyAlignment="1">
      <alignment/>
    </xf>
    <xf numFmtId="165" fontId="12" fillId="0" borderId="25" xfId="0" applyNumberFormat="1" applyFont="1" applyFill="1" applyBorder="1" applyAlignment="1">
      <alignment/>
    </xf>
    <xf numFmtId="0" fontId="12" fillId="0" borderId="26" xfId="0" applyFont="1" applyFill="1" applyBorder="1" applyAlignment="1">
      <alignment/>
    </xf>
    <xf numFmtId="165" fontId="20" fillId="0" borderId="27" xfId="0" applyNumberFormat="1" applyFont="1" applyFill="1" applyBorder="1" applyAlignment="1">
      <alignment/>
    </xf>
    <xf numFmtId="0" fontId="12" fillId="0" borderId="28" xfId="0" applyFont="1" applyFill="1" applyBorder="1" applyAlignment="1">
      <alignment/>
    </xf>
    <xf numFmtId="165" fontId="20" fillId="0" borderId="29" xfId="0" applyNumberFormat="1" applyFont="1" applyFill="1" applyBorder="1" applyAlignment="1">
      <alignment/>
    </xf>
    <xf numFmtId="0" fontId="15" fillId="0" borderId="10" xfId="0" applyFont="1" applyBorder="1" applyAlignment="1">
      <alignment wrapText="1"/>
    </xf>
    <xf numFmtId="2" fontId="18" fillId="0" borderId="28" xfId="0" applyNumberFormat="1" applyFont="1" applyFill="1" applyBorder="1" applyAlignment="1">
      <alignment/>
    </xf>
    <xf numFmtId="2" fontId="18" fillId="0" borderId="30" xfId="0" applyNumberFormat="1" applyFont="1" applyFill="1" applyBorder="1" applyAlignment="1">
      <alignment/>
    </xf>
    <xf numFmtId="2" fontId="19" fillId="0" borderId="16" xfId="0" applyNumberFormat="1" applyFont="1" applyFill="1" applyBorder="1" applyAlignment="1">
      <alignment/>
    </xf>
    <xf numFmtId="0" fontId="12" fillId="0" borderId="10" xfId="0" applyFont="1" applyBorder="1" applyAlignment="1">
      <alignment horizontal="justify" vertical="top" wrapText="1"/>
    </xf>
    <xf numFmtId="2" fontId="19" fillId="0" borderId="18" xfId="0" applyNumberFormat="1" applyFont="1" applyFill="1" applyBorder="1" applyAlignment="1">
      <alignment/>
    </xf>
    <xf numFmtId="0" fontId="13" fillId="0" borderId="18" xfId="0" applyFont="1" applyFill="1" applyBorder="1" applyAlignment="1">
      <alignment/>
    </xf>
    <xf numFmtId="165" fontId="12" fillId="0" borderId="0" xfId="0" applyNumberFormat="1" applyFont="1" applyAlignment="1">
      <alignment/>
    </xf>
    <xf numFmtId="2" fontId="13" fillId="0" borderId="18" xfId="0" applyNumberFormat="1" applyFont="1" applyFill="1" applyBorder="1" applyAlignment="1">
      <alignment/>
    </xf>
    <xf numFmtId="0" fontId="15" fillId="0" borderId="17" xfId="0" applyFont="1" applyFill="1" applyBorder="1" applyAlignment="1">
      <alignment/>
    </xf>
    <xf numFmtId="4" fontId="12" fillId="0" borderId="10" xfId="0" applyNumberFormat="1" applyFont="1" applyBorder="1" applyAlignment="1">
      <alignment horizontal="justify" vertical="top" wrapText="1"/>
    </xf>
    <xf numFmtId="0" fontId="12" fillId="0" borderId="10" xfId="0" applyFont="1" applyBorder="1" applyAlignment="1">
      <alignment wrapText="1" shrinkToFit="1"/>
    </xf>
    <xf numFmtId="165" fontId="12" fillId="0" borderId="31" xfId="0" applyNumberFormat="1" applyFont="1" applyFill="1" applyBorder="1" applyAlignment="1">
      <alignment/>
    </xf>
    <xf numFmtId="4" fontId="18" fillId="0" borderId="13" xfId="0" applyNumberFormat="1" applyFont="1" applyFill="1" applyBorder="1" applyAlignment="1">
      <alignment/>
    </xf>
    <xf numFmtId="4" fontId="18" fillId="0" borderId="14" xfId="0" applyNumberFormat="1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4" fontId="12" fillId="0" borderId="0" xfId="0" applyNumberFormat="1" applyFont="1" applyAlignment="1">
      <alignment/>
    </xf>
    <xf numFmtId="0" fontId="13" fillId="0" borderId="10" xfId="66" applyFont="1" applyBorder="1" applyAlignment="1">
      <alignment horizontal="left" wrapText="1"/>
      <protection/>
    </xf>
    <xf numFmtId="0" fontId="12" fillId="0" borderId="10" xfId="66" applyFont="1" applyBorder="1" applyAlignment="1">
      <alignment horizontal="left" wrapText="1"/>
      <protection/>
    </xf>
    <xf numFmtId="0" fontId="12" fillId="0" borderId="10" xfId="65" applyFont="1" applyBorder="1" applyAlignment="1">
      <alignment wrapText="1"/>
      <protection/>
    </xf>
    <xf numFmtId="0" fontId="13" fillId="0" borderId="10" xfId="65" applyFont="1" applyBorder="1" applyAlignment="1">
      <alignment wrapText="1"/>
      <protection/>
    </xf>
    <xf numFmtId="0" fontId="13" fillId="0" borderId="0" xfId="0" applyFont="1" applyAlignment="1">
      <alignment/>
    </xf>
    <xf numFmtId="0" fontId="19" fillId="0" borderId="10" xfId="65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>
      <alignment/>
    </xf>
    <xf numFmtId="0" fontId="21" fillId="0" borderId="10" xfId="66" applyFont="1" applyBorder="1" applyAlignment="1">
      <alignment horizontal="left" wrapText="1"/>
      <protection/>
    </xf>
    <xf numFmtId="165" fontId="12" fillId="0" borderId="16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23" fillId="0" borderId="10" xfId="66" applyFont="1" applyBorder="1" applyAlignment="1">
      <alignment horizontal="left" wrapText="1"/>
      <protection/>
    </xf>
    <xf numFmtId="0" fontId="5" fillId="0" borderId="10" xfId="0" applyFont="1" applyBorder="1" applyAlignment="1">
      <alignment wrapText="1"/>
    </xf>
    <xf numFmtId="0" fontId="23" fillId="0" borderId="10" xfId="66" applyFont="1" applyBorder="1" applyAlignment="1">
      <alignment wrapText="1"/>
      <protection/>
    </xf>
    <xf numFmtId="165" fontId="13" fillId="0" borderId="18" xfId="0" applyNumberFormat="1" applyFont="1" applyFill="1" applyBorder="1" applyAlignment="1">
      <alignment/>
    </xf>
    <xf numFmtId="0" fontId="21" fillId="0" borderId="10" xfId="66" applyFont="1" applyBorder="1" applyAlignment="1">
      <alignment wrapText="1"/>
      <protection/>
    </xf>
    <xf numFmtId="0" fontId="12" fillId="0" borderId="10" xfId="66" applyFont="1" applyBorder="1" applyAlignment="1">
      <alignment wrapText="1"/>
      <protection/>
    </xf>
    <xf numFmtId="0" fontId="5" fillId="0" borderId="10" xfId="0" applyFont="1" applyBorder="1" applyAlignment="1">
      <alignment horizontal="left" wrapText="1"/>
    </xf>
    <xf numFmtId="49" fontId="12" fillId="0" borderId="10" xfId="0" applyNumberFormat="1" applyFont="1" applyFill="1" applyBorder="1" applyAlignment="1">
      <alignment/>
    </xf>
    <xf numFmtId="49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2" fontId="22" fillId="0" borderId="19" xfId="0" applyNumberFormat="1" applyFont="1" applyFill="1" applyBorder="1" applyAlignment="1">
      <alignment/>
    </xf>
    <xf numFmtId="4" fontId="12" fillId="0" borderId="17" xfId="0" applyNumberFormat="1" applyFont="1" applyFill="1" applyBorder="1" applyAlignment="1">
      <alignment/>
    </xf>
    <xf numFmtId="4" fontId="13" fillId="0" borderId="10" xfId="0" applyNumberFormat="1" applyFont="1" applyBorder="1" applyAlignment="1">
      <alignment/>
    </xf>
    <xf numFmtId="164" fontId="12" fillId="0" borderId="17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0" fontId="21" fillId="35" borderId="10" xfId="0" applyFont="1" applyFill="1" applyBorder="1" applyAlignment="1">
      <alignment wrapText="1"/>
    </xf>
    <xf numFmtId="49" fontId="12" fillId="35" borderId="10" xfId="0" applyNumberFormat="1" applyFont="1" applyFill="1" applyBorder="1" applyAlignment="1">
      <alignment/>
    </xf>
    <xf numFmtId="4" fontId="12" fillId="35" borderId="10" xfId="0" applyNumberFormat="1" applyFont="1" applyFill="1" applyBorder="1" applyAlignment="1">
      <alignment/>
    </xf>
    <xf numFmtId="0" fontId="22" fillId="0" borderId="10" xfId="65" applyFont="1" applyBorder="1">
      <alignment/>
      <protection/>
    </xf>
    <xf numFmtId="0" fontId="21" fillId="0" borderId="10" xfId="65" applyFont="1" applyBorder="1" applyAlignment="1">
      <alignment wrapText="1"/>
      <protection/>
    </xf>
    <xf numFmtId="166" fontId="87" fillId="0" borderId="0" xfId="0" applyNumberFormat="1" applyFont="1" applyAlignment="1">
      <alignment/>
    </xf>
    <xf numFmtId="0" fontId="22" fillId="0" borderId="10" xfId="65" applyFont="1" applyBorder="1" applyAlignment="1">
      <alignment wrapText="1"/>
      <protection/>
    </xf>
    <xf numFmtId="2" fontId="22" fillId="0" borderId="23" xfId="0" applyNumberFormat="1" applyFont="1" applyFill="1" applyBorder="1" applyAlignment="1">
      <alignment/>
    </xf>
    <xf numFmtId="0" fontId="15" fillId="0" borderId="10" xfId="66" applyFont="1" applyBorder="1" applyAlignment="1">
      <alignment horizontal="left" wrapText="1"/>
      <protection/>
    </xf>
    <xf numFmtId="0" fontId="12" fillId="0" borderId="10" xfId="65" applyFont="1" applyFill="1" applyBorder="1" applyAlignment="1">
      <alignment wrapText="1"/>
      <protection/>
    </xf>
    <xf numFmtId="0" fontId="13" fillId="0" borderId="10" xfId="65" applyFont="1" applyFill="1" applyBorder="1" applyAlignment="1">
      <alignment wrapText="1"/>
      <protection/>
    </xf>
    <xf numFmtId="2" fontId="13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0" fontId="22" fillId="0" borderId="10" xfId="65" applyFont="1" applyFill="1" applyBorder="1" applyAlignment="1">
      <alignment wrapText="1"/>
      <protection/>
    </xf>
    <xf numFmtId="49" fontId="24" fillId="0" borderId="10" xfId="0" applyNumberFormat="1" applyFont="1" applyBorder="1" applyAlignment="1">
      <alignment/>
    </xf>
    <xf numFmtId="0" fontId="12" fillId="0" borderId="32" xfId="0" applyFont="1" applyFill="1" applyBorder="1" applyAlignment="1">
      <alignment/>
    </xf>
    <xf numFmtId="165" fontId="12" fillId="0" borderId="15" xfId="0" applyNumberFormat="1" applyFont="1" applyFill="1" applyBorder="1" applyAlignment="1">
      <alignment/>
    </xf>
    <xf numFmtId="2" fontId="19" fillId="0" borderId="23" xfId="0" applyNumberFormat="1" applyFont="1" applyFill="1" applyBorder="1" applyAlignment="1">
      <alignment/>
    </xf>
    <xf numFmtId="165" fontId="12" fillId="0" borderId="33" xfId="0" applyNumberFormat="1" applyFont="1" applyFill="1" applyBorder="1" applyAlignment="1">
      <alignment/>
    </xf>
    <xf numFmtId="0" fontId="12" fillId="0" borderId="10" xfId="65" applyFont="1" applyFill="1" applyBorder="1">
      <alignment/>
      <protection/>
    </xf>
    <xf numFmtId="0" fontId="23" fillId="0" borderId="10" xfId="65" applyFont="1" applyBorder="1" applyAlignment="1">
      <alignment wrapText="1"/>
      <protection/>
    </xf>
    <xf numFmtId="168" fontId="12" fillId="0" borderId="0" xfId="0" applyNumberFormat="1" applyFont="1" applyAlignment="1">
      <alignment/>
    </xf>
    <xf numFmtId="0" fontId="25" fillId="0" borderId="10" xfId="0" applyFont="1" applyBorder="1" applyAlignment="1">
      <alignment wrapText="1"/>
    </xf>
    <xf numFmtId="166" fontId="18" fillId="0" borderId="28" xfId="0" applyNumberFormat="1" applyFont="1" applyFill="1" applyBorder="1" applyAlignment="1">
      <alignment/>
    </xf>
    <xf numFmtId="2" fontId="12" fillId="36" borderId="0" xfId="0" applyNumberFormat="1" applyFont="1" applyFill="1" applyAlignment="1">
      <alignment/>
    </xf>
    <xf numFmtId="0" fontId="19" fillId="0" borderId="0" xfId="0" applyFont="1" applyAlignment="1">
      <alignment/>
    </xf>
    <xf numFmtId="169" fontId="12" fillId="0" borderId="0" xfId="0" applyNumberFormat="1" applyFont="1" applyAlignment="1">
      <alignment/>
    </xf>
    <xf numFmtId="0" fontId="26" fillId="0" borderId="10" xfId="66" applyFont="1" applyBorder="1" applyAlignment="1">
      <alignment horizontal="left" wrapText="1"/>
      <protection/>
    </xf>
    <xf numFmtId="0" fontId="21" fillId="0" borderId="10" xfId="0" applyFont="1" applyFill="1" applyBorder="1" applyAlignment="1">
      <alignment wrapText="1"/>
    </xf>
    <xf numFmtId="49" fontId="21" fillId="0" borderId="10" xfId="0" applyNumberFormat="1" applyFont="1" applyFill="1" applyBorder="1" applyAlignment="1">
      <alignment/>
    </xf>
    <xf numFmtId="49" fontId="23" fillId="0" borderId="10" xfId="0" applyNumberFormat="1" applyFont="1" applyBorder="1" applyAlignment="1">
      <alignment/>
    </xf>
    <xf numFmtId="165" fontId="12" fillId="0" borderId="20" xfId="0" applyNumberFormat="1" applyFont="1" applyFill="1" applyBorder="1" applyAlignment="1">
      <alignment/>
    </xf>
    <xf numFmtId="49" fontId="21" fillId="0" borderId="10" xfId="0" applyNumberFormat="1" applyFont="1" applyBorder="1" applyAlignment="1">
      <alignment/>
    </xf>
    <xf numFmtId="49" fontId="18" fillId="0" borderId="10" xfId="0" applyNumberFormat="1" applyFont="1" applyFill="1" applyBorder="1" applyAlignment="1">
      <alignment/>
    </xf>
    <xf numFmtId="0" fontId="13" fillId="0" borderId="10" xfId="66" applyFont="1" applyFill="1" applyBorder="1" applyAlignment="1">
      <alignment horizontal="left" wrapText="1"/>
      <protection/>
    </xf>
    <xf numFmtId="49" fontId="13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justify" vertical="top" wrapText="1"/>
    </xf>
    <xf numFmtId="0" fontId="12" fillId="0" borderId="10" xfId="66" applyFont="1" applyFill="1" applyBorder="1" applyAlignment="1">
      <alignment horizontal="left" wrapText="1"/>
      <protection/>
    </xf>
    <xf numFmtId="0" fontId="19" fillId="0" borderId="10" xfId="66" applyFont="1" applyBorder="1" applyAlignment="1">
      <alignment horizontal="left" wrapText="1"/>
      <protection/>
    </xf>
    <xf numFmtId="0" fontId="22" fillId="0" borderId="10" xfId="66" applyFont="1" applyBorder="1" applyAlignment="1">
      <alignment horizontal="left" wrapText="1"/>
      <protection/>
    </xf>
    <xf numFmtId="0" fontId="23" fillId="0" borderId="10" xfId="66" applyFont="1" applyBorder="1" applyAlignment="1">
      <alignment horizontal="center" wrapText="1"/>
      <protection/>
    </xf>
    <xf numFmtId="0" fontId="21" fillId="0" borderId="10" xfId="0" applyFont="1" applyBorder="1" applyAlignment="1">
      <alignment wrapText="1"/>
    </xf>
    <xf numFmtId="0" fontId="18" fillId="0" borderId="0" xfId="0" applyFont="1" applyAlignment="1">
      <alignment/>
    </xf>
    <xf numFmtId="49" fontId="21" fillId="0" borderId="10" xfId="66" applyNumberFormat="1" applyFont="1" applyBorder="1" applyAlignment="1">
      <alignment horizontal="left" wrapText="1"/>
      <protection/>
    </xf>
    <xf numFmtId="0" fontId="22" fillId="0" borderId="10" xfId="66" applyFont="1" applyFill="1" applyBorder="1" applyAlignment="1">
      <alignment horizontal="left"/>
      <protection/>
    </xf>
    <xf numFmtId="0" fontId="23" fillId="0" borderId="10" xfId="0" applyFont="1" applyBorder="1" applyAlignment="1">
      <alignment wrapText="1"/>
    </xf>
    <xf numFmtId="4" fontId="13" fillId="0" borderId="17" xfId="0" applyNumberFormat="1" applyFont="1" applyFill="1" applyBorder="1" applyAlignment="1">
      <alignment/>
    </xf>
    <xf numFmtId="4" fontId="13" fillId="0" borderId="18" xfId="0" applyNumberFormat="1" applyFont="1" applyFill="1" applyBorder="1" applyAlignment="1">
      <alignment/>
    </xf>
    <xf numFmtId="4" fontId="12" fillId="0" borderId="10" xfId="0" applyNumberFormat="1" applyFont="1" applyBorder="1" applyAlignment="1">
      <alignment/>
    </xf>
    <xf numFmtId="0" fontId="27" fillId="0" borderId="17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166" fontId="12" fillId="0" borderId="26" xfId="0" applyNumberFormat="1" applyFont="1" applyFill="1" applyBorder="1" applyAlignment="1">
      <alignment/>
    </xf>
    <xf numFmtId="166" fontId="12" fillId="0" borderId="28" xfId="0" applyNumberFormat="1" applyFont="1" applyFill="1" applyBorder="1" applyAlignment="1">
      <alignment/>
    </xf>
    <xf numFmtId="165" fontId="12" fillId="0" borderId="30" xfId="0" applyNumberFormat="1" applyFont="1" applyFill="1" applyBorder="1" applyAlignment="1">
      <alignment/>
    </xf>
    <xf numFmtId="164" fontId="12" fillId="0" borderId="10" xfId="0" applyNumberFormat="1" applyFont="1" applyBorder="1" applyAlignment="1">
      <alignment/>
    </xf>
    <xf numFmtId="1" fontId="12" fillId="0" borderId="17" xfId="0" applyNumberFormat="1" applyFont="1" applyFill="1" applyBorder="1" applyAlignment="1">
      <alignment/>
    </xf>
    <xf numFmtId="0" fontId="12" fillId="0" borderId="29" xfId="0" applyFont="1" applyFill="1" applyBorder="1" applyAlignment="1">
      <alignment/>
    </xf>
    <xf numFmtId="2" fontId="18" fillId="0" borderId="34" xfId="0" applyNumberFormat="1" applyFont="1" applyFill="1" applyBorder="1" applyAlignment="1">
      <alignment/>
    </xf>
    <xf numFmtId="166" fontId="18" fillId="0" borderId="0" xfId="0" applyNumberFormat="1" applyFont="1" applyAlignment="1">
      <alignment/>
    </xf>
    <xf numFmtId="166" fontId="12" fillId="0" borderId="0" xfId="0" applyNumberFormat="1" applyFont="1" applyFill="1" applyAlignment="1">
      <alignment/>
    </xf>
    <xf numFmtId="49" fontId="19" fillId="0" borderId="35" xfId="0" applyNumberFormat="1" applyFont="1" applyBorder="1" applyAlignment="1">
      <alignment horizontal="center"/>
    </xf>
    <xf numFmtId="0" fontId="19" fillId="0" borderId="36" xfId="0" applyFont="1" applyBorder="1" applyAlignment="1">
      <alignment/>
    </xf>
    <xf numFmtId="2" fontId="19" fillId="0" borderId="36" xfId="0" applyNumberFormat="1" applyFont="1" applyBorder="1" applyAlignment="1">
      <alignment/>
    </xf>
    <xf numFmtId="2" fontId="19" fillId="0" borderId="36" xfId="0" applyNumberFormat="1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3" fillId="0" borderId="22" xfId="0" applyFont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2" fontId="13" fillId="0" borderId="10" xfId="0" applyNumberFormat="1" applyFont="1" applyBorder="1" applyAlignment="1">
      <alignment/>
    </xf>
    <xf numFmtId="165" fontId="13" fillId="0" borderId="10" xfId="0" applyNumberFormat="1" applyFont="1" applyBorder="1" applyAlignment="1">
      <alignment/>
    </xf>
    <xf numFmtId="165" fontId="13" fillId="0" borderId="10" xfId="0" applyNumberFormat="1" applyFont="1" applyFill="1" applyBorder="1" applyAlignment="1">
      <alignment/>
    </xf>
    <xf numFmtId="49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2" fontId="18" fillId="0" borderId="10" xfId="0" applyNumberFormat="1" applyFont="1" applyBorder="1" applyAlignment="1">
      <alignment/>
    </xf>
    <xf numFmtId="49" fontId="13" fillId="0" borderId="37" xfId="0" applyNumberFormat="1" applyFont="1" applyBorder="1" applyAlignment="1">
      <alignment/>
    </xf>
    <xf numFmtId="0" fontId="13" fillId="0" borderId="37" xfId="0" applyFont="1" applyBorder="1" applyAlignment="1">
      <alignment/>
    </xf>
    <xf numFmtId="2" fontId="13" fillId="0" borderId="37" xfId="0" applyNumberFormat="1" applyFont="1" applyBorder="1" applyAlignment="1">
      <alignment/>
    </xf>
    <xf numFmtId="2" fontId="13" fillId="0" borderId="37" xfId="0" applyNumberFormat="1" applyFont="1" applyFill="1" applyBorder="1" applyAlignment="1">
      <alignment/>
    </xf>
    <xf numFmtId="0" fontId="13" fillId="0" borderId="37" xfId="0" applyFont="1" applyFill="1" applyBorder="1" applyAlignment="1">
      <alignment/>
    </xf>
    <xf numFmtId="49" fontId="22" fillId="0" borderId="35" xfId="0" applyNumberFormat="1" applyFont="1" applyBorder="1" applyAlignment="1">
      <alignment/>
    </xf>
    <xf numFmtId="0" fontId="22" fillId="0" borderId="36" xfId="0" applyFont="1" applyBorder="1" applyAlignment="1">
      <alignment/>
    </xf>
    <xf numFmtId="0" fontId="13" fillId="0" borderId="32" xfId="0" applyFont="1" applyFill="1" applyBorder="1" applyAlignment="1">
      <alignment/>
    </xf>
    <xf numFmtId="2" fontId="13" fillId="0" borderId="38" xfId="0" applyNumberFormat="1" applyFont="1" applyFill="1" applyBorder="1" applyAlignment="1">
      <alignment/>
    </xf>
    <xf numFmtId="49" fontId="13" fillId="0" borderId="38" xfId="0" applyNumberFormat="1" applyFont="1" applyBorder="1" applyAlignment="1">
      <alignment/>
    </xf>
    <xf numFmtId="0" fontId="13" fillId="0" borderId="38" xfId="0" applyFont="1" applyBorder="1" applyAlignment="1">
      <alignment/>
    </xf>
    <xf numFmtId="0" fontId="13" fillId="0" borderId="38" xfId="0" applyFont="1" applyFill="1" applyBorder="1" applyAlignment="1">
      <alignment/>
    </xf>
    <xf numFmtId="0" fontId="13" fillId="0" borderId="36" xfId="0" applyFont="1" applyBorder="1" applyAlignment="1">
      <alignment/>
    </xf>
    <xf numFmtId="2" fontId="13" fillId="0" borderId="13" xfId="0" applyNumberFormat="1" applyFont="1" applyFill="1" applyBorder="1" applyAlignment="1">
      <alignment/>
    </xf>
    <xf numFmtId="2" fontId="13" fillId="0" borderId="36" xfId="0" applyNumberFormat="1" applyFont="1" applyFill="1" applyBorder="1" applyAlignment="1">
      <alignment/>
    </xf>
    <xf numFmtId="2" fontId="13" fillId="0" borderId="22" xfId="0" applyNumberFormat="1" applyFont="1" applyBorder="1" applyAlignment="1">
      <alignment/>
    </xf>
    <xf numFmtId="0" fontId="13" fillId="0" borderId="36" xfId="0" applyFont="1" applyFill="1" applyBorder="1" applyAlignment="1">
      <alignment/>
    </xf>
    <xf numFmtId="165" fontId="13" fillId="0" borderId="22" xfId="0" applyNumberFormat="1" applyFont="1" applyBorder="1" applyAlignment="1">
      <alignment/>
    </xf>
    <xf numFmtId="165" fontId="13" fillId="0" borderId="38" xfId="0" applyNumberFormat="1" applyFont="1" applyBorder="1" applyAlignment="1">
      <alignment/>
    </xf>
    <xf numFmtId="165" fontId="13" fillId="0" borderId="38" xfId="0" applyNumberFormat="1" applyFont="1" applyFill="1" applyBorder="1" applyAlignment="1">
      <alignment/>
    </xf>
    <xf numFmtId="49" fontId="19" fillId="0" borderId="35" xfId="0" applyNumberFormat="1" applyFont="1" applyFill="1" applyBorder="1" applyAlignment="1">
      <alignment horizontal="center"/>
    </xf>
    <xf numFmtId="4" fontId="13" fillId="0" borderId="36" xfId="0" applyNumberFormat="1" applyFont="1" applyBorder="1" applyAlignment="1">
      <alignment/>
    </xf>
    <xf numFmtId="4" fontId="13" fillId="0" borderId="36" xfId="0" applyNumberFormat="1" applyFont="1" applyFill="1" applyBorder="1" applyAlignment="1">
      <alignment/>
    </xf>
    <xf numFmtId="4" fontId="13" fillId="0" borderId="22" xfId="0" applyNumberFormat="1" applyFont="1" applyBorder="1" applyAlignment="1">
      <alignment/>
    </xf>
    <xf numFmtId="4" fontId="13" fillId="0" borderId="22" xfId="0" applyNumberFormat="1" applyFont="1" applyFill="1" applyBorder="1" applyAlignment="1">
      <alignment/>
    </xf>
    <xf numFmtId="165" fontId="13" fillId="0" borderId="36" xfId="0" applyNumberFormat="1" applyFont="1" applyBorder="1" applyAlignment="1">
      <alignment/>
    </xf>
    <xf numFmtId="49" fontId="18" fillId="0" borderId="37" xfId="0" applyNumberFormat="1" applyFont="1" applyBorder="1" applyAlignment="1">
      <alignment/>
    </xf>
    <xf numFmtId="0" fontId="18" fillId="0" borderId="37" xfId="0" applyFont="1" applyBorder="1" applyAlignment="1">
      <alignment/>
    </xf>
    <xf numFmtId="2" fontId="18" fillId="0" borderId="37" xfId="0" applyNumberFormat="1" applyFont="1" applyBorder="1" applyAlignment="1">
      <alignment/>
    </xf>
    <xf numFmtId="165" fontId="13" fillId="0" borderId="36" xfId="0" applyNumberFormat="1" applyFont="1" applyFill="1" applyBorder="1" applyAlignment="1">
      <alignment/>
    </xf>
    <xf numFmtId="2" fontId="13" fillId="0" borderId="36" xfId="0" applyNumberFormat="1" applyFont="1" applyBorder="1" applyAlignment="1">
      <alignment/>
    </xf>
    <xf numFmtId="0" fontId="19" fillId="0" borderId="35" xfId="0" applyFont="1" applyBorder="1" applyAlignment="1">
      <alignment horizontal="left"/>
    </xf>
    <xf numFmtId="0" fontId="22" fillId="0" borderId="35" xfId="0" applyFont="1" applyBorder="1" applyAlignment="1">
      <alignment horizontal="center"/>
    </xf>
    <xf numFmtId="49" fontId="12" fillId="0" borderId="35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43" fontId="12" fillId="0" borderId="10" xfId="81" applyNumberFormat="1" applyFont="1" applyFill="1" applyBorder="1" applyAlignment="1">
      <alignment horizontal="center" vertical="top" wrapText="1"/>
    </xf>
    <xf numFmtId="43" fontId="12" fillId="0" borderId="10" xfId="81" applyFont="1" applyFill="1" applyBorder="1" applyAlignment="1">
      <alignment horizontal="center" vertical="top" wrapText="1"/>
    </xf>
    <xf numFmtId="43" fontId="12" fillId="0" borderId="0" xfId="81" applyNumberFormat="1" applyFont="1" applyFill="1" applyBorder="1" applyAlignment="1">
      <alignment horizontal="center" vertical="top" wrapText="1"/>
    </xf>
    <xf numFmtId="43" fontId="7" fillId="0" borderId="10" xfId="81" applyFont="1" applyBorder="1" applyAlignment="1">
      <alignment horizontal="center" vertical="center"/>
    </xf>
    <xf numFmtId="43" fontId="12" fillId="33" borderId="10" xfId="81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67" applyFont="1" applyBorder="1" applyAlignment="1">
      <alignment horizontal="left"/>
      <protection/>
    </xf>
    <xf numFmtId="0" fontId="11" fillId="0" borderId="0" xfId="67" applyFont="1" applyBorder="1" applyAlignment="1">
      <alignment horizontal="center"/>
      <protection/>
    </xf>
    <xf numFmtId="0" fontId="20" fillId="0" borderId="37" xfId="0" applyFont="1" applyBorder="1" applyAlignment="1">
      <alignment vertical="top" wrapText="1"/>
    </xf>
    <xf numFmtId="0" fontId="8" fillId="0" borderId="39" xfId="67" applyFont="1" applyBorder="1" applyAlignment="1">
      <alignment horizontal="center"/>
      <protection/>
    </xf>
    <xf numFmtId="0" fontId="8" fillId="0" borderId="19" xfId="67" applyFont="1" applyBorder="1" applyAlignment="1">
      <alignment horizontal="center"/>
      <protection/>
    </xf>
    <xf numFmtId="49" fontId="8" fillId="0" borderId="19" xfId="67" applyNumberFormat="1" applyFont="1" applyBorder="1" applyAlignment="1">
      <alignment horizontal="center"/>
      <protection/>
    </xf>
    <xf numFmtId="0" fontId="8" fillId="0" borderId="40" xfId="67" applyFont="1" applyBorder="1" applyAlignment="1">
      <alignment horizontal="center"/>
      <protection/>
    </xf>
    <xf numFmtId="0" fontId="5" fillId="0" borderId="0" xfId="0" applyFont="1" applyAlignment="1">
      <alignment/>
    </xf>
    <xf numFmtId="0" fontId="6" fillId="0" borderId="40" xfId="67" applyFont="1" applyBorder="1" applyAlignment="1">
      <alignment horizontal="center"/>
      <protection/>
    </xf>
    <xf numFmtId="49" fontId="8" fillId="0" borderId="41" xfId="67" applyNumberFormat="1" applyFont="1" applyBorder="1" applyAlignment="1">
      <alignment horizontal="center" vertical="center" wrapText="1"/>
      <protection/>
    </xf>
    <xf numFmtId="0" fontId="8" fillId="0" borderId="41" xfId="67" applyFont="1" applyBorder="1" applyAlignment="1">
      <alignment horizontal="center" vertical="center" wrapText="1"/>
      <protection/>
    </xf>
    <xf numFmtId="0" fontId="7" fillId="0" borderId="0" xfId="67" applyAlignment="1">
      <alignment/>
      <protection/>
    </xf>
    <xf numFmtId="0" fontId="8" fillId="0" borderId="0" xfId="67" applyFont="1" applyAlignment="1">
      <alignment horizontal="center"/>
      <protection/>
    </xf>
    <xf numFmtId="0" fontId="8" fillId="0" borderId="0" xfId="67" applyFont="1" applyAlignment="1">
      <alignment horizontal="center" wrapText="1"/>
      <protection/>
    </xf>
    <xf numFmtId="0" fontId="4" fillId="0" borderId="0" xfId="67" applyFont="1" applyAlignment="1">
      <alignment horizontal="center"/>
      <protection/>
    </xf>
    <xf numFmtId="0" fontId="11" fillId="0" borderId="0" xfId="67" applyFont="1" applyAlignment="1">
      <alignment horizontal="center"/>
      <protection/>
    </xf>
    <xf numFmtId="0" fontId="12" fillId="0" borderId="23" xfId="0" applyFont="1" applyFill="1" applyBorder="1" applyAlignment="1">
      <alignment/>
    </xf>
    <xf numFmtId="0" fontId="15" fillId="0" borderId="10" xfId="66" applyFont="1" applyBorder="1" applyAlignment="1">
      <alignment wrapText="1"/>
      <protection/>
    </xf>
    <xf numFmtId="0" fontId="13" fillId="0" borderId="10" xfId="66" applyFont="1" applyBorder="1" applyAlignment="1">
      <alignment wrapText="1"/>
      <protection/>
    </xf>
    <xf numFmtId="2" fontId="13" fillId="0" borderId="10" xfId="66" applyNumberFormat="1" applyFont="1" applyBorder="1" applyAlignment="1">
      <alignment horizontal="center"/>
      <protection/>
    </xf>
    <xf numFmtId="2" fontId="13" fillId="0" borderId="10" xfId="0" applyNumberFormat="1" applyFont="1" applyBorder="1" applyAlignment="1">
      <alignment horizontal="center" wrapText="1"/>
    </xf>
    <xf numFmtId="49" fontId="13" fillId="0" borderId="10" xfId="66" applyNumberFormat="1" applyFont="1" applyBorder="1" applyAlignment="1">
      <alignment horizontal="center"/>
      <protection/>
    </xf>
    <xf numFmtId="2" fontId="13" fillId="0" borderId="10" xfId="66" applyNumberFormat="1" applyFont="1" applyBorder="1">
      <alignment/>
      <protection/>
    </xf>
    <xf numFmtId="0" fontId="14" fillId="0" borderId="10" xfId="66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0" xfId="63" applyFill="1" applyBorder="1">
      <alignment/>
      <protection/>
    </xf>
    <xf numFmtId="49" fontId="6" fillId="0" borderId="0" xfId="63" applyNumberFormat="1" applyFont="1" applyFill="1" applyBorder="1" applyAlignment="1">
      <alignment horizontal="center" vertical="center"/>
      <protection/>
    </xf>
    <xf numFmtId="0" fontId="6" fillId="0" borderId="0" xfId="63" applyFont="1" applyFill="1" applyBorder="1">
      <alignment/>
      <protection/>
    </xf>
    <xf numFmtId="166" fontId="6" fillId="0" borderId="0" xfId="63" applyNumberFormat="1" applyFont="1" applyFill="1" applyBorder="1">
      <alignment/>
      <protection/>
    </xf>
    <xf numFmtId="0" fontId="5" fillId="0" borderId="0" xfId="63" applyFont="1" applyFill="1" applyBorder="1" applyAlignment="1">
      <alignment/>
      <protection/>
    </xf>
    <xf numFmtId="0" fontId="7" fillId="0" borderId="0" xfId="64" applyAlignment="1">
      <alignment horizontal="left" vertical="center"/>
      <protection/>
    </xf>
    <xf numFmtId="0" fontId="6" fillId="0" borderId="0" xfId="68" applyFont="1" applyAlignment="1">
      <alignment wrapText="1"/>
      <protection/>
    </xf>
    <xf numFmtId="0" fontId="9" fillId="0" borderId="0" xfId="63" applyFont="1" applyFill="1" applyBorder="1">
      <alignment/>
      <protection/>
    </xf>
    <xf numFmtId="0" fontId="36" fillId="0" borderId="0" xfId="62" applyFont="1" applyFill="1" applyBorder="1" applyAlignment="1">
      <alignment horizontal="center" vertical="top"/>
      <protection/>
    </xf>
    <xf numFmtId="0" fontId="37" fillId="0" borderId="0" xfId="63" applyFont="1" applyFill="1" applyBorder="1" applyAlignment="1">
      <alignment/>
      <protection/>
    </xf>
    <xf numFmtId="166" fontId="37" fillId="0" borderId="0" xfId="63" applyNumberFormat="1" applyFont="1" applyFill="1" applyBorder="1" applyAlignment="1">
      <alignment/>
      <protection/>
    </xf>
    <xf numFmtId="0" fontId="5" fillId="0" borderId="29" xfId="63" applyFont="1" applyFill="1" applyBorder="1">
      <alignment/>
      <protection/>
    </xf>
    <xf numFmtId="0" fontId="5" fillId="0" borderId="0" xfId="62">
      <alignment/>
      <protection/>
    </xf>
    <xf numFmtId="49" fontId="9" fillId="0" borderId="42" xfId="62" applyNumberFormat="1" applyFont="1" applyBorder="1">
      <alignment/>
      <protection/>
    </xf>
    <xf numFmtId="49" fontId="11" fillId="0" borderId="43" xfId="62" applyNumberFormat="1" applyFont="1" applyBorder="1">
      <alignment/>
      <protection/>
    </xf>
    <xf numFmtId="0" fontId="11" fillId="0" borderId="38" xfId="62" applyFont="1" applyBorder="1" applyAlignment="1">
      <alignment horizontal="center" vertical="top"/>
      <protection/>
    </xf>
    <xf numFmtId="0" fontId="11" fillId="0" borderId="32" xfId="62" applyFont="1" applyBorder="1" applyAlignment="1">
      <alignment horizontal="justify" vertical="top"/>
      <protection/>
    </xf>
    <xf numFmtId="0" fontId="11" fillId="0" borderId="44" xfId="62" applyFont="1" applyBorder="1" applyAlignment="1">
      <alignment horizontal="justify" vertical="top"/>
      <protection/>
    </xf>
    <xf numFmtId="0" fontId="11" fillId="0" borderId="10" xfId="62" applyFont="1" applyBorder="1" applyAlignment="1">
      <alignment horizontal="justify" vertical="top"/>
      <protection/>
    </xf>
    <xf numFmtId="49" fontId="7" fillId="0" borderId="45" xfId="62" applyNumberFormat="1" applyFont="1" applyBorder="1">
      <alignment/>
      <protection/>
    </xf>
    <xf numFmtId="0" fontId="9" fillId="0" borderId="31" xfId="62" applyFont="1" applyBorder="1" applyAlignment="1">
      <alignment horizontal="center"/>
      <protection/>
    </xf>
    <xf numFmtId="0" fontId="9" fillId="0" borderId="46" xfId="62" applyFont="1" applyBorder="1" applyAlignment="1">
      <alignment horizontal="center"/>
      <protection/>
    </xf>
    <xf numFmtId="0" fontId="7" fillId="0" borderId="46" xfId="62" applyFont="1" applyBorder="1" applyAlignment="1">
      <alignment horizontal="center"/>
      <protection/>
    </xf>
    <xf numFmtId="0" fontId="5" fillId="0" borderId="27" xfId="62" applyBorder="1">
      <alignment/>
      <protection/>
    </xf>
    <xf numFmtId="0" fontId="12" fillId="34" borderId="32" xfId="63" applyFont="1" applyFill="1" applyBorder="1">
      <alignment/>
      <protection/>
    </xf>
    <xf numFmtId="0" fontId="12" fillId="34" borderId="47" xfId="63" applyFont="1" applyFill="1" applyBorder="1">
      <alignment/>
      <protection/>
    </xf>
    <xf numFmtId="49" fontId="13" fillId="34" borderId="35" xfId="63" applyNumberFormat="1" applyFont="1" applyFill="1" applyBorder="1" applyAlignment="1">
      <alignment horizontal="center" vertical="center"/>
      <protection/>
    </xf>
    <xf numFmtId="0" fontId="13" fillId="34" borderId="36" xfId="63" applyFont="1" applyFill="1" applyBorder="1" applyAlignment="1">
      <alignment horizontal="justify" vertical="center" wrapText="1"/>
      <protection/>
    </xf>
    <xf numFmtId="171" fontId="12" fillId="34" borderId="0" xfId="63" applyNumberFormat="1" applyFont="1" applyFill="1" applyBorder="1">
      <alignment/>
      <protection/>
    </xf>
    <xf numFmtId="0" fontId="12" fillId="34" borderId="0" xfId="63" applyFont="1" applyFill="1" applyBorder="1">
      <alignment/>
      <protection/>
    </xf>
    <xf numFmtId="0" fontId="12" fillId="34" borderId="38" xfId="63" applyFont="1" applyFill="1" applyBorder="1">
      <alignment/>
      <protection/>
    </xf>
    <xf numFmtId="49" fontId="7" fillId="0" borderId="48" xfId="62" applyNumberFormat="1" applyFont="1" applyBorder="1">
      <alignment/>
      <protection/>
    </xf>
    <xf numFmtId="0" fontId="7" fillId="0" borderId="49" xfId="64" applyFont="1" applyBorder="1" applyAlignment="1">
      <alignment wrapText="1"/>
      <protection/>
    </xf>
    <xf numFmtId="165" fontId="5" fillId="0" borderId="0" xfId="62" applyNumberFormat="1">
      <alignment/>
      <protection/>
    </xf>
    <xf numFmtId="49" fontId="7" fillId="0" borderId="43" xfId="62" applyNumberFormat="1" applyFont="1" applyBorder="1">
      <alignment/>
      <protection/>
    </xf>
    <xf numFmtId="0" fontId="7" fillId="0" borderId="22" xfId="62" applyFont="1" applyBorder="1" applyAlignment="1">
      <alignment horizontal="justify"/>
      <protection/>
    </xf>
    <xf numFmtId="49" fontId="7" fillId="0" borderId="40" xfId="62" applyNumberFormat="1" applyFont="1" applyBorder="1">
      <alignment/>
      <protection/>
    </xf>
    <xf numFmtId="0" fontId="7" fillId="0" borderId="10" xfId="64" applyBorder="1" applyAlignment="1">
      <alignment wrapText="1"/>
      <protection/>
    </xf>
    <xf numFmtId="49" fontId="39" fillId="0" borderId="40" xfId="62" applyNumberFormat="1" applyFont="1" applyFill="1" applyBorder="1">
      <alignment/>
      <protection/>
    </xf>
    <xf numFmtId="0" fontId="7" fillId="0" borderId="10" xfId="62" applyFont="1" applyFill="1" applyBorder="1" applyAlignment="1">
      <alignment horizontal="justify" wrapText="1"/>
      <protection/>
    </xf>
    <xf numFmtId="49" fontId="7" fillId="0" borderId="50" xfId="62" applyNumberFormat="1" applyFont="1" applyBorder="1">
      <alignment/>
      <protection/>
    </xf>
    <xf numFmtId="0" fontId="5" fillId="0" borderId="51" xfId="63" applyFill="1" applyBorder="1">
      <alignment/>
      <protection/>
    </xf>
    <xf numFmtId="0" fontId="5" fillId="0" borderId="52" xfId="63" applyFill="1" applyBorder="1">
      <alignment/>
      <protection/>
    </xf>
    <xf numFmtId="49" fontId="13" fillId="34" borderId="51" xfId="63" applyNumberFormat="1" applyFont="1" applyFill="1" applyBorder="1" applyAlignment="1">
      <alignment horizontal="center" vertical="center"/>
      <protection/>
    </xf>
    <xf numFmtId="0" fontId="13" fillId="34" borderId="53" xfId="63" applyFont="1" applyFill="1" applyBorder="1" applyAlignment="1">
      <alignment horizontal="justify" vertical="center" wrapText="1"/>
      <protection/>
    </xf>
    <xf numFmtId="0" fontId="5" fillId="0" borderId="53" xfId="63" applyFill="1" applyBorder="1">
      <alignment/>
      <protection/>
    </xf>
    <xf numFmtId="49" fontId="39" fillId="0" borderId="54" xfId="62" applyNumberFormat="1" applyFont="1" applyBorder="1">
      <alignment/>
      <protection/>
    </xf>
    <xf numFmtId="0" fontId="7" fillId="0" borderId="48" xfId="62" applyFont="1" applyBorder="1" applyAlignment="1">
      <alignment horizontal="justify" wrapText="1"/>
      <protection/>
    </xf>
    <xf numFmtId="1" fontId="5" fillId="0" borderId="0" xfId="62" applyNumberFormat="1">
      <alignment/>
      <protection/>
    </xf>
    <xf numFmtId="0" fontId="5" fillId="0" borderId="32" xfId="63" applyFill="1" applyBorder="1">
      <alignment/>
      <protection/>
    </xf>
    <xf numFmtId="0" fontId="5" fillId="0" borderId="47" xfId="63" applyFill="1" applyBorder="1">
      <alignment/>
      <protection/>
    </xf>
    <xf numFmtId="49" fontId="5" fillId="0" borderId="43" xfId="63" applyNumberFormat="1" applyFont="1" applyFill="1" applyBorder="1" applyAlignment="1">
      <alignment horizontal="center" vertical="center"/>
      <protection/>
    </xf>
    <xf numFmtId="0" fontId="5" fillId="0" borderId="38" xfId="63" applyFill="1" applyBorder="1">
      <alignment/>
      <protection/>
    </xf>
    <xf numFmtId="49" fontId="5" fillId="0" borderId="40" xfId="63" applyNumberFormat="1" applyFont="1" applyFill="1" applyBorder="1" applyAlignment="1">
      <alignment horizontal="center" vertical="center"/>
      <protection/>
    </xf>
    <xf numFmtId="0" fontId="12" fillId="0" borderId="10" xfId="63" applyFont="1" applyFill="1" applyBorder="1" applyAlignment="1">
      <alignment horizontal="justify" vertical="center" wrapText="1"/>
      <protection/>
    </xf>
    <xf numFmtId="1" fontId="13" fillId="34" borderId="36" xfId="63" applyNumberFormat="1" applyFont="1" applyFill="1" applyBorder="1" applyAlignment="1" applyProtection="1">
      <alignment horizontal="justify" vertical="center"/>
      <protection locked="0"/>
    </xf>
    <xf numFmtId="165" fontId="12" fillId="34" borderId="0" xfId="63" applyNumberFormat="1" applyFont="1" applyFill="1" applyBorder="1">
      <alignment/>
      <protection/>
    </xf>
    <xf numFmtId="0" fontId="5" fillId="0" borderId="0" xfId="63" applyFill="1">
      <alignment/>
      <protection/>
    </xf>
    <xf numFmtId="0" fontId="5" fillId="0" borderId="55" xfId="63" applyFont="1" applyFill="1" applyBorder="1" applyAlignment="1">
      <alignment horizontal="center" vertical="center"/>
      <protection/>
    </xf>
    <xf numFmtId="0" fontId="6" fillId="0" borderId="55" xfId="63" applyFont="1" applyFill="1" applyBorder="1">
      <alignment/>
      <protection/>
    </xf>
    <xf numFmtId="166" fontId="6" fillId="0" borderId="55" xfId="63" applyNumberFormat="1" applyFont="1" applyFill="1" applyBorder="1">
      <alignment/>
      <protection/>
    </xf>
    <xf numFmtId="0" fontId="5" fillId="0" borderId="0" xfId="63" applyFont="1" applyFill="1">
      <alignment/>
      <protection/>
    </xf>
    <xf numFmtId="49" fontId="39" fillId="0" borderId="56" xfId="62" applyNumberFormat="1" applyFont="1" applyBorder="1">
      <alignment/>
      <protection/>
    </xf>
    <xf numFmtId="0" fontId="7" fillId="0" borderId="10" xfId="62" applyFont="1" applyBorder="1" applyAlignment="1">
      <alignment horizontal="justify" wrapText="1"/>
      <protection/>
    </xf>
    <xf numFmtId="172" fontId="12" fillId="0" borderId="10" xfId="81" applyNumberFormat="1" applyFont="1" applyFill="1" applyBorder="1" applyAlignment="1">
      <alignment horizontal="center" vertical="top" wrapText="1"/>
    </xf>
    <xf numFmtId="2" fontId="13" fillId="0" borderId="23" xfId="0" applyNumberFormat="1" applyFont="1" applyBorder="1" applyAlignment="1">
      <alignment/>
    </xf>
    <xf numFmtId="2" fontId="12" fillId="0" borderId="23" xfId="0" applyNumberFormat="1" applyFont="1" applyBorder="1" applyAlignment="1">
      <alignment/>
    </xf>
    <xf numFmtId="0" fontId="13" fillId="0" borderId="23" xfId="0" applyFont="1" applyFill="1" applyBorder="1" applyAlignment="1">
      <alignment/>
    </xf>
    <xf numFmtId="166" fontId="18" fillId="0" borderId="57" xfId="0" applyNumberFormat="1" applyFont="1" applyFill="1" applyBorder="1" applyAlignment="1">
      <alignment/>
    </xf>
    <xf numFmtId="43" fontId="13" fillId="34" borderId="36" xfId="86" applyNumberFormat="1" applyFont="1" applyFill="1" applyBorder="1" applyAlignment="1" applyProtection="1">
      <alignment vertical="center" wrapText="1"/>
      <protection locked="0"/>
    </xf>
    <xf numFmtId="43" fontId="4" fillId="0" borderId="22" xfId="62" applyNumberFormat="1" applyFont="1" applyBorder="1" applyAlignment="1">
      <alignment horizontal="center"/>
      <protection/>
    </xf>
    <xf numFmtId="43" fontId="7" fillId="0" borderId="58" xfId="62" applyNumberFormat="1" applyFont="1" applyBorder="1" applyAlignment="1">
      <alignment horizontal="center"/>
      <protection/>
    </xf>
    <xf numFmtId="43" fontId="7" fillId="33" borderId="58" xfId="62" applyNumberFormat="1" applyFont="1" applyFill="1" applyBorder="1" applyAlignment="1">
      <alignment horizontal="center"/>
      <protection/>
    </xf>
    <xf numFmtId="43" fontId="5" fillId="33" borderId="38" xfId="62" applyNumberFormat="1" applyFill="1" applyBorder="1" applyAlignment="1">
      <alignment horizontal="center"/>
      <protection/>
    </xf>
    <xf numFmtId="43" fontId="5" fillId="0" borderId="22" xfId="62" applyNumberFormat="1" applyBorder="1">
      <alignment/>
      <protection/>
    </xf>
    <xf numFmtId="43" fontId="7" fillId="0" borderId="22" xfId="62" applyNumberFormat="1" applyFont="1" applyBorder="1" applyAlignment="1">
      <alignment horizontal="center"/>
      <protection/>
    </xf>
    <xf numFmtId="43" fontId="7" fillId="33" borderId="22" xfId="62" applyNumberFormat="1" applyFont="1" applyFill="1" applyBorder="1" applyAlignment="1">
      <alignment horizontal="center"/>
      <protection/>
    </xf>
    <xf numFmtId="43" fontId="5" fillId="33" borderId="10" xfId="62" applyNumberFormat="1" applyFill="1" applyBorder="1" applyAlignment="1">
      <alignment horizontal="center"/>
      <protection/>
    </xf>
    <xf numFmtId="43" fontId="5" fillId="0" borderId="10" xfId="62" applyNumberFormat="1" applyBorder="1">
      <alignment/>
      <protection/>
    </xf>
    <xf numFmtId="43" fontId="7" fillId="0" borderId="10" xfId="62" applyNumberFormat="1" applyFont="1" applyFill="1" applyBorder="1" applyAlignment="1">
      <alignment horizontal="center"/>
      <protection/>
    </xf>
    <xf numFmtId="43" fontId="5" fillId="0" borderId="10" xfId="62" applyNumberFormat="1" applyFill="1" applyBorder="1" applyAlignment="1">
      <alignment horizontal="center"/>
      <protection/>
    </xf>
    <xf numFmtId="43" fontId="5" fillId="0" borderId="10" xfId="62" applyNumberFormat="1" applyFill="1" applyBorder="1">
      <alignment/>
      <protection/>
    </xf>
    <xf numFmtId="43" fontId="0" fillId="0" borderId="10" xfId="62" applyNumberFormat="1" applyFont="1" applyFill="1" applyBorder="1" applyAlignment="1">
      <alignment horizontal="center"/>
      <protection/>
    </xf>
    <xf numFmtId="43" fontId="7" fillId="0" borderId="53" xfId="62" applyNumberFormat="1" applyFont="1" applyFill="1" applyBorder="1" applyAlignment="1">
      <alignment horizontal="center"/>
      <protection/>
    </xf>
    <xf numFmtId="43" fontId="5" fillId="0" borderId="53" xfId="62" applyNumberFormat="1" applyFill="1" applyBorder="1" applyAlignment="1">
      <alignment horizontal="center"/>
      <protection/>
    </xf>
    <xf numFmtId="43" fontId="13" fillId="34" borderId="36" xfId="63" applyNumberFormat="1" applyFont="1" applyFill="1" applyBorder="1" applyAlignment="1">
      <alignment horizontal="center" vertical="center" wrapText="1"/>
      <protection/>
    </xf>
    <xf numFmtId="43" fontId="7" fillId="0" borderId="58" xfId="62" applyNumberFormat="1" applyFont="1" applyBorder="1" applyAlignment="1">
      <alignment horizontal="center"/>
      <protection/>
    </xf>
    <xf numFmtId="43" fontId="40" fillId="33" borderId="58" xfId="62" applyNumberFormat="1" applyFont="1" applyFill="1" applyBorder="1" applyAlignment="1">
      <alignment horizontal="center"/>
      <protection/>
    </xf>
    <xf numFmtId="43" fontId="7" fillId="33" borderId="58" xfId="62" applyNumberFormat="1" applyFont="1" applyFill="1" applyBorder="1" applyAlignment="1">
      <alignment horizontal="center"/>
      <protection/>
    </xf>
    <xf numFmtId="43" fontId="7" fillId="0" borderId="22" xfId="62" applyNumberFormat="1" applyFont="1" applyBorder="1" applyAlignment="1">
      <alignment horizontal="center"/>
      <protection/>
    </xf>
    <xf numFmtId="43" fontId="40" fillId="33" borderId="22" xfId="62" applyNumberFormat="1" applyFont="1" applyFill="1" applyBorder="1" applyAlignment="1">
      <alignment horizontal="center"/>
      <protection/>
    </xf>
    <xf numFmtId="43" fontId="7" fillId="33" borderId="22" xfId="62" applyNumberFormat="1" applyFont="1" applyFill="1" applyBorder="1" applyAlignment="1">
      <alignment horizontal="center"/>
      <protection/>
    </xf>
    <xf numFmtId="43" fontId="5" fillId="0" borderId="22" xfId="86" applyNumberFormat="1" applyFont="1" applyFill="1" applyBorder="1" applyAlignment="1" applyProtection="1">
      <alignment horizontal="center" vertical="center" wrapText="1"/>
      <protection locked="0"/>
    </xf>
    <xf numFmtId="43" fontId="5" fillId="0" borderId="22" xfId="86" applyNumberFormat="1" applyFont="1" applyFill="1" applyBorder="1" applyAlignment="1">
      <alignment horizontal="center"/>
    </xf>
    <xf numFmtId="43" fontId="5" fillId="0" borderId="10" xfId="63" applyNumberFormat="1" applyFill="1" applyBorder="1">
      <alignment/>
      <protection/>
    </xf>
    <xf numFmtId="43" fontId="5" fillId="0" borderId="10" xfId="86" applyNumberFormat="1" applyFont="1" applyFill="1" applyBorder="1" applyAlignment="1" applyProtection="1">
      <alignment horizontal="center" vertical="center" wrapText="1"/>
      <protection locked="0"/>
    </xf>
    <xf numFmtId="43" fontId="7" fillId="0" borderId="38" xfId="86" applyNumberFormat="1" applyFont="1" applyFill="1" applyBorder="1" applyAlignment="1">
      <alignment horizontal="center"/>
    </xf>
    <xf numFmtId="43" fontId="13" fillId="34" borderId="36" xfId="63" applyNumberFormat="1" applyFont="1" applyFill="1" applyBorder="1" applyAlignment="1" applyProtection="1">
      <alignment horizontal="center" vertical="center"/>
      <protection locked="0"/>
    </xf>
    <xf numFmtId="168" fontId="12" fillId="0" borderId="19" xfId="0" applyNumberFormat="1" applyFont="1" applyFill="1" applyBorder="1" applyAlignment="1">
      <alignment/>
    </xf>
    <xf numFmtId="168" fontId="19" fillId="0" borderId="10" xfId="0" applyNumberFormat="1" applyFont="1" applyFill="1" applyBorder="1" applyAlignment="1">
      <alignment/>
    </xf>
    <xf numFmtId="168" fontId="13" fillId="0" borderId="19" xfId="0" applyNumberFormat="1" applyFont="1" applyFill="1" applyBorder="1" applyAlignment="1">
      <alignment/>
    </xf>
    <xf numFmtId="168" fontId="22" fillId="0" borderId="10" xfId="0" applyNumberFormat="1" applyFont="1" applyFill="1" applyBorder="1" applyAlignment="1">
      <alignment/>
    </xf>
    <xf numFmtId="168" fontId="13" fillId="0" borderId="22" xfId="0" applyNumberFormat="1" applyFont="1" applyBorder="1" applyAlignment="1">
      <alignment/>
    </xf>
    <xf numFmtId="0" fontId="87" fillId="0" borderId="10" xfId="66" applyFont="1" applyBorder="1" applyAlignment="1">
      <alignment horizontal="left" wrapText="1"/>
      <protection/>
    </xf>
    <xf numFmtId="49" fontId="87" fillId="0" borderId="10" xfId="0" applyNumberFormat="1" applyFont="1" applyBorder="1" applyAlignment="1">
      <alignment/>
    </xf>
    <xf numFmtId="0" fontId="87" fillId="0" borderId="17" xfId="0" applyFont="1" applyFill="1" applyBorder="1" applyAlignment="1">
      <alignment/>
    </xf>
    <xf numFmtId="165" fontId="87" fillId="0" borderId="18" xfId="0" applyNumberFormat="1" applyFont="1" applyFill="1" applyBorder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2" fontId="88" fillId="0" borderId="0" xfId="0" applyNumberFormat="1" applyFont="1" applyAlignment="1">
      <alignment/>
    </xf>
    <xf numFmtId="49" fontId="19" fillId="0" borderId="42" xfId="66" applyNumberFormat="1" applyFont="1" applyBorder="1" applyAlignment="1">
      <alignment horizontal="center"/>
      <protection/>
    </xf>
    <xf numFmtId="0" fontId="13" fillId="0" borderId="59" xfId="0" applyFont="1" applyBorder="1" applyAlignment="1">
      <alignment/>
    </xf>
    <xf numFmtId="49" fontId="19" fillId="0" borderId="10" xfId="66" applyNumberFormat="1" applyFont="1" applyBorder="1" applyAlignment="1">
      <alignment horizontal="center"/>
      <protection/>
    </xf>
    <xf numFmtId="4" fontId="32" fillId="33" borderId="20" xfId="67" applyNumberFormat="1" applyFont="1" applyFill="1" applyBorder="1" applyAlignment="1">
      <alignment horizontal="center" vertical="center" wrapText="1"/>
      <protection/>
    </xf>
    <xf numFmtId="4" fontId="20" fillId="0" borderId="17" xfId="67" applyNumberFormat="1" applyFont="1" applyBorder="1">
      <alignment/>
      <protection/>
    </xf>
    <xf numFmtId="4" fontId="20" fillId="0" borderId="10" xfId="0" applyNumberFormat="1" applyFont="1" applyBorder="1" applyAlignment="1">
      <alignment horizontal="center" wrapText="1"/>
    </xf>
    <xf numFmtId="4" fontId="31" fillId="0" borderId="10" xfId="0" applyNumberFormat="1" applyFont="1" applyBorder="1" applyAlignment="1">
      <alignment horizontal="center" wrapText="1"/>
    </xf>
    <xf numFmtId="4" fontId="20" fillId="0" borderId="37" xfId="0" applyNumberFormat="1" applyFont="1" applyBorder="1" applyAlignment="1">
      <alignment horizontal="center" wrapText="1"/>
    </xf>
    <xf numFmtId="4" fontId="20" fillId="0" borderId="34" xfId="0" applyNumberFormat="1" applyFont="1" applyBorder="1" applyAlignment="1">
      <alignment horizontal="center" wrapText="1"/>
    </xf>
    <xf numFmtId="173" fontId="7" fillId="0" borderId="0" xfId="67" applyNumberFormat="1" applyFont="1" applyAlignment="1">
      <alignment wrapText="1"/>
      <protection/>
    </xf>
    <xf numFmtId="173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8" fillId="0" borderId="0" xfId="67" applyNumberFormat="1" applyFont="1" applyAlignment="1">
      <alignment vertical="top" wrapText="1"/>
      <protection/>
    </xf>
    <xf numFmtId="173" fontId="9" fillId="0" borderId="0" xfId="67" applyNumberFormat="1" applyFont="1" applyBorder="1" applyAlignment="1">
      <alignment vertical="top" wrapText="1"/>
      <protection/>
    </xf>
    <xf numFmtId="173" fontId="14" fillId="0" borderId="60" xfId="0" applyNumberFormat="1" applyFont="1" applyBorder="1" applyAlignment="1">
      <alignment horizontal="center" wrapText="1"/>
    </xf>
    <xf numFmtId="173" fontId="33" fillId="0" borderId="46" xfId="67" applyNumberFormat="1" applyFont="1" applyBorder="1" applyAlignment="1">
      <alignment horizontal="center" vertical="center" wrapText="1"/>
      <protection/>
    </xf>
    <xf numFmtId="173" fontId="4" fillId="0" borderId="0" xfId="67" applyNumberFormat="1" applyFont="1" applyBorder="1">
      <alignment/>
      <protection/>
    </xf>
    <xf numFmtId="4" fontId="32" fillId="0" borderId="20" xfId="67" applyNumberFormat="1" applyFont="1" applyBorder="1" applyAlignment="1">
      <alignment horizontal="center" vertical="center" wrapText="1"/>
      <protection/>
    </xf>
    <xf numFmtId="4" fontId="0" fillId="0" borderId="17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29" fillId="0" borderId="37" xfId="0" applyNumberFormat="1" applyFont="1" applyBorder="1" applyAlignment="1">
      <alignment horizontal="center" wrapText="1"/>
    </xf>
    <xf numFmtId="4" fontId="20" fillId="0" borderId="14" xfId="0" applyNumberFormat="1" applyFont="1" applyBorder="1" applyAlignment="1">
      <alignment horizontal="center" wrapText="1"/>
    </xf>
    <xf numFmtId="4" fontId="20" fillId="0" borderId="36" xfId="0" applyNumberFormat="1" applyFont="1" applyBorder="1" applyAlignment="1">
      <alignment horizontal="center" wrapText="1"/>
    </xf>
    <xf numFmtId="16" fontId="8" fillId="0" borderId="39" xfId="67" applyNumberFormat="1" applyFont="1" applyBorder="1" applyAlignment="1">
      <alignment horizontal="center"/>
      <protection/>
    </xf>
    <xf numFmtId="4" fontId="31" fillId="0" borderId="20" xfId="67" applyNumberFormat="1" applyFont="1" applyFill="1" applyBorder="1" applyAlignment="1">
      <alignment horizontal="center" wrapText="1"/>
      <protection/>
    </xf>
    <xf numFmtId="0" fontId="29" fillId="0" borderId="0" xfId="54" applyFont="1">
      <alignment/>
      <protection/>
    </xf>
    <xf numFmtId="0" fontId="42" fillId="0" borderId="0" xfId="54" applyFont="1">
      <alignment/>
      <protection/>
    </xf>
    <xf numFmtId="0" fontId="7" fillId="0" borderId="0" xfId="54">
      <alignment/>
      <protection/>
    </xf>
    <xf numFmtId="49" fontId="42" fillId="0" borderId="0" xfId="54" applyNumberFormat="1" applyFont="1" applyAlignment="1">
      <alignment horizontal="right"/>
      <protection/>
    </xf>
    <xf numFmtId="49" fontId="29" fillId="0" borderId="0" xfId="54" applyNumberFormat="1" applyFont="1" applyAlignment="1">
      <alignment horizontal="right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center" wrapText="1"/>
      <protection/>
    </xf>
    <xf numFmtId="0" fontId="7" fillId="0" borderId="10" xfId="54" applyFill="1" applyBorder="1" applyAlignment="1">
      <alignment horizontal="center"/>
      <protection/>
    </xf>
    <xf numFmtId="49" fontId="20" fillId="0" borderId="10" xfId="54" applyNumberFormat="1" applyFont="1" applyBorder="1" applyAlignment="1">
      <alignment horizontal="center"/>
      <protection/>
    </xf>
    <xf numFmtId="0" fontId="20" fillId="0" borderId="10" xfId="54" applyFont="1" applyBorder="1" applyAlignment="1">
      <alignment horizontal="center"/>
      <protection/>
    </xf>
    <xf numFmtId="0" fontId="20" fillId="0" borderId="10" xfId="54" applyFont="1" applyBorder="1" applyAlignment="1">
      <alignment vertical="top" wrapText="1"/>
      <protection/>
    </xf>
    <xf numFmtId="0" fontId="29" fillId="0" borderId="10" xfId="54" applyFont="1" applyBorder="1" applyAlignment="1">
      <alignment horizontal="justify" vertical="center"/>
      <protection/>
    </xf>
    <xf numFmtId="0" fontId="29" fillId="0" borderId="10" xfId="54" applyFont="1" applyBorder="1" applyAlignment="1">
      <alignment horizontal="justify" vertical="center" wrapText="1"/>
      <protection/>
    </xf>
    <xf numFmtId="49" fontId="29" fillId="0" borderId="10" xfId="54" applyNumberFormat="1" applyFont="1" applyBorder="1" applyAlignment="1">
      <alignment horizontal="right"/>
      <protection/>
    </xf>
    <xf numFmtId="43" fontId="29" fillId="0" borderId="10" xfId="54" applyNumberFormat="1" applyFont="1" applyBorder="1">
      <alignment/>
      <protection/>
    </xf>
    <xf numFmtId="171" fontId="29" fillId="0" borderId="10" xfId="54" applyNumberFormat="1" applyFont="1" applyBorder="1" applyAlignment="1">
      <alignment wrapText="1"/>
      <protection/>
    </xf>
    <xf numFmtId="0" fontId="29" fillId="0" borderId="10" xfId="54" applyFont="1" applyFill="1" applyBorder="1" applyAlignment="1">
      <alignment horizontal="justify" vertical="center" wrapText="1"/>
      <protection/>
    </xf>
    <xf numFmtId="43" fontId="29" fillId="0" borderId="10" xfId="81" applyNumberFormat="1" applyFont="1" applyFill="1" applyBorder="1" applyAlignment="1">
      <alignment/>
    </xf>
    <xf numFmtId="43" fontId="29" fillId="0" borderId="10" xfId="54" applyNumberFormat="1" applyFont="1" applyFill="1" applyBorder="1">
      <alignment/>
      <protection/>
    </xf>
    <xf numFmtId="0" fontId="7" fillId="0" borderId="0" xfId="54" applyFill="1">
      <alignment/>
      <protection/>
    </xf>
    <xf numFmtId="0" fontId="20" fillId="0" borderId="10" xfId="54" applyFont="1" applyBorder="1" applyAlignment="1">
      <alignment horizontal="justify" vertical="center"/>
      <protection/>
    </xf>
    <xf numFmtId="49" fontId="20" fillId="0" borderId="10" xfId="54" applyNumberFormat="1" applyFont="1" applyBorder="1" applyAlignment="1">
      <alignment horizontal="right"/>
      <protection/>
    </xf>
    <xf numFmtId="43" fontId="20" fillId="0" borderId="10" xfId="54" applyNumberFormat="1" applyFont="1" applyBorder="1">
      <alignment/>
      <protection/>
    </xf>
    <xf numFmtId="171" fontId="20" fillId="0" borderId="10" xfId="54" applyNumberFormat="1" applyFont="1" applyBorder="1" applyAlignment="1">
      <alignment wrapText="1"/>
      <protection/>
    </xf>
    <xf numFmtId="0" fontId="4" fillId="0" borderId="0" xfId="54" applyFont="1">
      <alignment/>
      <protection/>
    </xf>
    <xf numFmtId="0" fontId="29" fillId="0" borderId="10" xfId="54" applyFont="1" applyBorder="1" applyAlignment="1">
      <alignment vertical="center" wrapText="1"/>
      <protection/>
    </xf>
    <xf numFmtId="0" fontId="29" fillId="0" borderId="10" xfId="54" applyFont="1" applyBorder="1" applyAlignment="1">
      <alignment vertical="top" wrapText="1"/>
      <protection/>
    </xf>
    <xf numFmtId="49" fontId="29" fillId="33" borderId="10" xfId="54" applyNumberFormat="1" applyFont="1" applyFill="1" applyBorder="1" applyAlignment="1">
      <alignment horizontal="right"/>
      <protection/>
    </xf>
    <xf numFmtId="1" fontId="29" fillId="0" borderId="10" xfId="54" applyNumberFormat="1" applyFont="1" applyFill="1" applyBorder="1" applyAlignment="1" applyProtection="1">
      <alignment horizontal="justify" vertical="center" wrapText="1"/>
      <protection locked="0"/>
    </xf>
    <xf numFmtId="0" fontId="7" fillId="0" borderId="0" xfId="54" applyFont="1" applyFill="1">
      <alignment/>
      <protection/>
    </xf>
    <xf numFmtId="0" fontId="20" fillId="0" borderId="10" xfId="54" applyFont="1" applyBorder="1" applyAlignment="1">
      <alignment vertical="top"/>
      <protection/>
    </xf>
    <xf numFmtId="43" fontId="20" fillId="0" borderId="10" xfId="81" applyNumberFormat="1" applyFont="1" applyBorder="1" applyAlignment="1">
      <alignment/>
    </xf>
    <xf numFmtId="43" fontId="20" fillId="0" borderId="10" xfId="54" applyNumberFormat="1" applyFont="1" applyBorder="1" applyAlignment="1">
      <alignment horizontal="right"/>
      <protection/>
    </xf>
    <xf numFmtId="0" fontId="20" fillId="0" borderId="0" xfId="54" applyFont="1" applyAlignment="1">
      <alignment horizontal="center" vertical="center"/>
      <protection/>
    </xf>
    <xf numFmtId="0" fontId="20" fillId="0" borderId="10" xfId="54" applyFont="1" applyBorder="1" applyAlignment="1">
      <alignment horizontal="center" vertical="center"/>
      <protection/>
    </xf>
    <xf numFmtId="171" fontId="20" fillId="0" borderId="10" xfId="54" applyNumberFormat="1" applyFont="1" applyBorder="1" applyAlignment="1">
      <alignment horizontal="center"/>
      <protection/>
    </xf>
    <xf numFmtId="0" fontId="20" fillId="0" borderId="0" xfId="54" applyFont="1" applyAlignment="1">
      <alignment horizontal="center"/>
      <protection/>
    </xf>
    <xf numFmtId="0" fontId="7" fillId="0" borderId="0" xfId="54" applyAlignment="1">
      <alignment vertical="center"/>
      <protection/>
    </xf>
    <xf numFmtId="171" fontId="7" fillId="0" borderId="0" xfId="54" applyNumberFormat="1">
      <alignment/>
      <protection/>
    </xf>
    <xf numFmtId="0" fontId="89" fillId="0" borderId="10" xfId="66" applyFont="1" applyFill="1" applyBorder="1" applyAlignment="1">
      <alignment horizontal="left" wrapText="1"/>
      <protection/>
    </xf>
    <xf numFmtId="49" fontId="89" fillId="0" borderId="10" xfId="0" applyNumberFormat="1" applyFont="1" applyFill="1" applyBorder="1" applyAlignment="1">
      <alignment/>
    </xf>
    <xf numFmtId="168" fontId="89" fillId="0" borderId="19" xfId="0" applyNumberFormat="1" applyFont="1" applyFill="1" applyBorder="1" applyAlignment="1">
      <alignment/>
    </xf>
    <xf numFmtId="0" fontId="89" fillId="0" borderId="0" xfId="0" applyFont="1" applyFill="1" applyAlignment="1">
      <alignment/>
    </xf>
    <xf numFmtId="2" fontId="89" fillId="0" borderId="0" xfId="0" applyNumberFormat="1" applyFont="1" applyFill="1" applyAlignment="1">
      <alignment/>
    </xf>
    <xf numFmtId="49" fontId="13" fillId="0" borderId="32" xfId="0" applyNumberFormat="1" applyFont="1" applyBorder="1" applyAlignment="1">
      <alignment/>
    </xf>
    <xf numFmtId="2" fontId="22" fillId="0" borderId="59" xfId="0" applyNumberFormat="1" applyFont="1" applyFill="1" applyBorder="1" applyAlignment="1">
      <alignment/>
    </xf>
    <xf numFmtId="174" fontId="12" fillId="0" borderId="10" xfId="81" applyNumberFormat="1" applyFont="1" applyFill="1" applyBorder="1" applyAlignment="1">
      <alignment horizontal="center" vertical="top" wrapText="1"/>
    </xf>
    <xf numFmtId="168" fontId="89" fillId="0" borderId="23" xfId="0" applyNumberFormat="1" applyFont="1" applyFill="1" applyBorder="1" applyAlignment="1">
      <alignment/>
    </xf>
    <xf numFmtId="168" fontId="13" fillId="0" borderId="23" xfId="0" applyNumberFormat="1" applyFont="1" applyFill="1" applyBorder="1" applyAlignment="1">
      <alignment/>
    </xf>
    <xf numFmtId="168" fontId="12" fillId="0" borderId="23" xfId="0" applyNumberFormat="1" applyFont="1" applyFill="1" applyBorder="1" applyAlignment="1">
      <alignment/>
    </xf>
    <xf numFmtId="0" fontId="36" fillId="0" borderId="0" xfId="62" applyFont="1" applyFill="1" applyBorder="1" applyAlignment="1">
      <alignment horizontal="center" vertical="top" wrapText="1"/>
      <protection/>
    </xf>
    <xf numFmtId="0" fontId="36" fillId="0" borderId="0" xfId="62" applyFont="1" applyFill="1" applyBorder="1" applyAlignment="1">
      <alignment horizontal="center" vertical="center" wrapText="1"/>
      <protection/>
    </xf>
    <xf numFmtId="0" fontId="0" fillId="0" borderId="0" xfId="57" applyAlignment="1">
      <alignment horizontal="center" wrapText="1"/>
      <protection/>
    </xf>
    <xf numFmtId="0" fontId="5" fillId="0" borderId="0" xfId="62" applyFont="1" applyFill="1">
      <alignment/>
      <protection/>
    </xf>
    <xf numFmtId="49" fontId="39" fillId="0" borderId="56" xfId="62" applyNumberFormat="1" applyFont="1" applyFill="1" applyBorder="1">
      <alignment/>
      <protection/>
    </xf>
    <xf numFmtId="43" fontId="7" fillId="0" borderId="22" xfId="62" applyNumberFormat="1" applyFont="1" applyFill="1" applyBorder="1" applyAlignment="1">
      <alignment horizontal="center"/>
      <protection/>
    </xf>
    <xf numFmtId="43" fontId="5" fillId="0" borderId="10" xfId="62" applyNumberFormat="1" applyFont="1" applyFill="1" applyBorder="1">
      <alignment/>
      <protection/>
    </xf>
    <xf numFmtId="1" fontId="5" fillId="0" borderId="0" xfId="62" applyNumberFormat="1" applyFont="1" applyFill="1">
      <alignment/>
      <protection/>
    </xf>
    <xf numFmtId="0" fontId="7" fillId="0" borderId="53" xfId="62" applyFont="1" applyBorder="1" applyAlignment="1">
      <alignment horizontal="justify"/>
      <protection/>
    </xf>
    <xf numFmtId="43" fontId="5" fillId="0" borderId="53" xfId="62" applyNumberFormat="1" applyFill="1" applyBorder="1">
      <alignment/>
      <protection/>
    </xf>
    <xf numFmtId="49" fontId="7" fillId="0" borderId="19" xfId="62" applyNumberFormat="1" applyFont="1" applyBorder="1">
      <alignment/>
      <protection/>
    </xf>
    <xf numFmtId="0" fontId="7" fillId="0" borderId="10" xfId="62" applyFont="1" applyBorder="1" applyAlignment="1">
      <alignment horizontal="justify"/>
      <protection/>
    </xf>
    <xf numFmtId="171" fontId="13" fillId="34" borderId="36" xfId="63" applyNumberFormat="1" applyFont="1" applyFill="1" applyBorder="1" applyAlignment="1" applyProtection="1">
      <alignment horizontal="center" vertical="center"/>
      <protection locked="0"/>
    </xf>
    <xf numFmtId="171" fontId="9" fillId="0" borderId="26" xfId="62" applyNumberFormat="1" applyFont="1" applyBorder="1" applyAlignment="1">
      <alignment horizontal="center"/>
      <protection/>
    </xf>
    <xf numFmtId="171" fontId="13" fillId="34" borderId="36" xfId="86" applyNumberFormat="1" applyFont="1" applyFill="1" applyBorder="1" applyAlignment="1" applyProtection="1">
      <alignment vertical="center" wrapText="1"/>
      <protection locked="0"/>
    </xf>
    <xf numFmtId="171" fontId="4" fillId="0" borderId="22" xfId="62" applyNumberFormat="1" applyFont="1" applyFill="1" applyBorder="1" applyAlignment="1">
      <alignment horizontal="center"/>
      <protection/>
    </xf>
    <xf numFmtId="171" fontId="4" fillId="0" borderId="10" xfId="62" applyNumberFormat="1" applyFont="1" applyFill="1" applyBorder="1" applyAlignment="1">
      <alignment horizontal="center"/>
      <protection/>
    </xf>
    <xf numFmtId="171" fontId="13" fillId="34" borderId="36" xfId="63" applyNumberFormat="1" applyFont="1" applyFill="1" applyBorder="1" applyAlignment="1">
      <alignment horizontal="center" vertical="center" wrapText="1"/>
      <protection/>
    </xf>
    <xf numFmtId="171" fontId="7" fillId="0" borderId="22" xfId="62" applyNumberFormat="1" applyFont="1" applyFill="1" applyBorder="1" applyAlignment="1">
      <alignment horizontal="center"/>
      <protection/>
    </xf>
    <xf numFmtId="171" fontId="7" fillId="0" borderId="10" xfId="62" applyNumberFormat="1" applyFont="1" applyFill="1" applyBorder="1" applyAlignment="1">
      <alignment horizontal="center"/>
      <protection/>
    </xf>
    <xf numFmtId="171" fontId="4" fillId="0" borderId="22" xfId="62" applyNumberFormat="1" applyFont="1" applyBorder="1" applyAlignment="1">
      <alignment horizontal="center"/>
      <protection/>
    </xf>
    <xf numFmtId="168" fontId="13" fillId="0" borderId="10" xfId="0" applyNumberFormat="1" applyFont="1" applyFill="1" applyBorder="1" applyAlignment="1">
      <alignment/>
    </xf>
    <xf numFmtId="4" fontId="29" fillId="0" borderId="20" xfId="67" applyNumberFormat="1" applyFont="1" applyFill="1" applyBorder="1" applyAlignment="1">
      <alignment horizontal="center" vertical="center" wrapText="1"/>
      <protection/>
    </xf>
    <xf numFmtId="4" fontId="0" fillId="0" borderId="17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29" fillId="33" borderId="20" xfId="67" applyNumberFormat="1" applyFont="1" applyFill="1" applyBorder="1" applyAlignment="1">
      <alignment horizontal="center" vertical="center" wrapText="1"/>
      <protection/>
    </xf>
    <xf numFmtId="4" fontId="29" fillId="0" borderId="20" xfId="67" applyNumberFormat="1" applyFont="1" applyBorder="1" applyAlignment="1">
      <alignment horizontal="center" vertical="center" wrapText="1"/>
      <protection/>
    </xf>
    <xf numFmtId="4" fontId="29" fillId="0" borderId="10" xfId="0" applyNumberFormat="1" applyFont="1" applyBorder="1" applyAlignment="1">
      <alignment horizontal="center" wrapText="1"/>
    </xf>
    <xf numFmtId="4" fontId="29" fillId="0" borderId="20" xfId="67" applyNumberFormat="1" applyFont="1" applyFill="1" applyBorder="1" applyAlignment="1">
      <alignment horizontal="center" wrapText="1"/>
      <protection/>
    </xf>
    <xf numFmtId="0" fontId="29" fillId="0" borderId="19" xfId="67" applyFont="1" applyBorder="1" applyAlignment="1">
      <alignment horizontal="center"/>
      <protection/>
    </xf>
    <xf numFmtId="4" fontId="29" fillId="0" borderId="17" xfId="0" applyNumberFormat="1" applyFont="1" applyBorder="1" applyAlignment="1">
      <alignment/>
    </xf>
    <xf numFmtId="0" fontId="13" fillId="0" borderId="37" xfId="67" applyFont="1" applyBorder="1" applyAlignment="1">
      <alignment horizontal="center" vertical="center" wrapText="1"/>
      <protection/>
    </xf>
    <xf numFmtId="0" fontId="12" fillId="0" borderId="37" xfId="67" applyFont="1" applyFill="1" applyBorder="1" applyAlignment="1">
      <alignment horizontal="left" vertical="center" wrapText="1"/>
      <protection/>
    </xf>
    <xf numFmtId="0" fontId="12" fillId="0" borderId="37" xfId="67" applyFont="1" applyBorder="1" applyAlignment="1">
      <alignment horizontal="left" vertical="center" wrapText="1"/>
      <protection/>
    </xf>
    <xf numFmtId="0" fontId="13" fillId="0" borderId="10" xfId="69" applyFont="1" applyBorder="1" applyAlignment="1">
      <alignment horizontal="center" wrapText="1"/>
      <protection/>
    </xf>
    <xf numFmtId="0" fontId="13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43" fontId="12" fillId="0" borderId="10" xfId="85" applyFont="1" applyFill="1" applyBorder="1" applyAlignment="1">
      <alignment horizontal="left" wrapText="1"/>
    </xf>
    <xf numFmtId="0" fontId="26" fillId="0" borderId="37" xfId="67" applyFont="1" applyBorder="1" applyAlignment="1">
      <alignment horizontal="left" vertical="center" wrapText="1"/>
      <protection/>
    </xf>
    <xf numFmtId="0" fontId="13" fillId="0" borderId="10" xfId="0" applyFont="1" applyBorder="1" applyAlignment="1">
      <alignment horizontal="left" wrapText="1"/>
    </xf>
    <xf numFmtId="0" fontId="12" fillId="0" borderId="37" xfId="0" applyFont="1" applyBorder="1" applyAlignment="1">
      <alignment vertical="top" wrapText="1"/>
    </xf>
    <xf numFmtId="43" fontId="29" fillId="0" borderId="10" xfId="54" applyNumberFormat="1" applyFont="1" applyFill="1" applyBorder="1" applyAlignment="1">
      <alignment horizontal="center" wrapText="1"/>
      <protection/>
    </xf>
    <xf numFmtId="43" fontId="7" fillId="0" borderId="10" xfId="54" applyNumberFormat="1" applyFill="1" applyBorder="1" applyAlignment="1">
      <alignment horizontal="center"/>
      <protection/>
    </xf>
    <xf numFmtId="43" fontId="20" fillId="0" borderId="10" xfId="54" applyNumberFormat="1" applyFont="1" applyFill="1" applyBorder="1" applyAlignment="1">
      <alignment horizontal="center" wrapText="1"/>
      <protection/>
    </xf>
    <xf numFmtId="43" fontId="4" fillId="0" borderId="10" xfId="54" applyNumberFormat="1" applyFont="1" applyFill="1" applyBorder="1" applyAlignment="1">
      <alignment horizontal="center"/>
      <protection/>
    </xf>
    <xf numFmtId="43" fontId="29" fillId="0" borderId="10" xfId="54" applyNumberFormat="1" applyFont="1" applyFill="1" applyBorder="1" applyAlignment="1">
      <alignment horizontal="center"/>
      <protection/>
    </xf>
    <xf numFmtId="43" fontId="38" fillId="0" borderId="10" xfId="54" applyNumberFormat="1" applyFont="1" applyFill="1" applyBorder="1" applyAlignment="1">
      <alignment horizontal="center"/>
      <protection/>
    </xf>
    <xf numFmtId="43" fontId="20" fillId="0" borderId="10" xfId="54" applyNumberFormat="1" applyFont="1" applyBorder="1" applyAlignment="1">
      <alignment horizontal="center"/>
      <protection/>
    </xf>
    <xf numFmtId="176" fontId="7" fillId="0" borderId="22" xfId="62" applyNumberFormat="1" applyFont="1" applyFill="1" applyBorder="1" applyAlignment="1">
      <alignment horizontal="center"/>
      <protection/>
    </xf>
    <xf numFmtId="0" fontId="2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43" fontId="12" fillId="0" borderId="0" xfId="81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13" fillId="0" borderId="17" xfId="0" applyFont="1" applyFill="1" applyBorder="1" applyAlignment="1">
      <alignment/>
    </xf>
    <xf numFmtId="168" fontId="19" fillId="0" borderId="17" xfId="0" applyNumberFormat="1" applyFont="1" applyFill="1" applyBorder="1" applyAlignment="1">
      <alignment/>
    </xf>
    <xf numFmtId="0" fontId="18" fillId="0" borderId="22" xfId="0" applyFont="1" applyBorder="1" applyAlignment="1">
      <alignment horizontal="center"/>
    </xf>
    <xf numFmtId="49" fontId="18" fillId="0" borderId="22" xfId="0" applyNumberFormat="1" applyFont="1" applyBorder="1" applyAlignment="1">
      <alignment/>
    </xf>
    <xf numFmtId="49" fontId="18" fillId="0" borderId="61" xfId="0" applyNumberFormat="1" applyFont="1" applyBorder="1" applyAlignment="1">
      <alignment/>
    </xf>
    <xf numFmtId="166" fontId="18" fillId="0" borderId="62" xfId="0" applyNumberFormat="1" applyFont="1" applyBorder="1" applyAlignment="1">
      <alignment/>
    </xf>
    <xf numFmtId="2" fontId="18" fillId="0" borderId="61" xfId="0" applyNumberFormat="1" applyFont="1" applyBorder="1" applyAlignment="1">
      <alignment/>
    </xf>
    <xf numFmtId="166" fontId="18" fillId="0" borderId="44" xfId="0" applyNumberFormat="1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166" fontId="12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49" fontId="19" fillId="0" borderId="10" xfId="0" applyNumberFormat="1" applyFont="1" applyBorder="1" applyAlignment="1">
      <alignment horizontal="center"/>
    </xf>
    <xf numFmtId="165" fontId="19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165" fontId="12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165" fontId="15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49" fontId="21" fillId="0" borderId="10" xfId="0" applyNumberFormat="1" applyFont="1" applyBorder="1" applyAlignment="1">
      <alignment wrapText="1"/>
    </xf>
    <xf numFmtId="49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4" fontId="18" fillId="0" borderId="10" xfId="0" applyNumberFormat="1" applyFont="1" applyBorder="1" applyAlignment="1">
      <alignment/>
    </xf>
    <xf numFmtId="0" fontId="87" fillId="0" borderId="10" xfId="0" applyFont="1" applyBorder="1" applyAlignment="1">
      <alignment/>
    </xf>
    <xf numFmtId="165" fontId="87" fillId="0" borderId="10" xfId="0" applyNumberFormat="1" applyFont="1" applyBorder="1" applyAlignment="1">
      <alignment/>
    </xf>
    <xf numFmtId="0" fontId="19" fillId="0" borderId="10" xfId="0" applyFont="1" applyFill="1" applyBorder="1" applyAlignment="1">
      <alignment/>
    </xf>
    <xf numFmtId="0" fontId="5" fillId="0" borderId="10" xfId="0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wrapText="1"/>
    </xf>
    <xf numFmtId="0" fontId="22" fillId="0" borderId="10" xfId="0" applyFont="1" applyBorder="1" applyAlignment="1">
      <alignment/>
    </xf>
    <xf numFmtId="165" fontId="22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165" fontId="24" fillId="0" borderId="10" xfId="0" applyNumberFormat="1" applyFont="1" applyBorder="1" applyAlignment="1">
      <alignment/>
    </xf>
    <xf numFmtId="49" fontId="15" fillId="0" borderId="10" xfId="0" applyNumberFormat="1" applyFont="1" applyFill="1" applyBorder="1" applyAlignment="1">
      <alignment/>
    </xf>
    <xf numFmtId="0" fontId="22" fillId="0" borderId="10" xfId="65" applyFont="1" applyFill="1" applyBorder="1">
      <alignment/>
      <protection/>
    </xf>
    <xf numFmtId="0" fontId="18" fillId="36" borderId="10" xfId="0" applyFont="1" applyFill="1" applyBorder="1" applyAlignment="1">
      <alignment horizontal="center" wrapText="1"/>
    </xf>
    <xf numFmtId="49" fontId="18" fillId="36" borderId="10" xfId="0" applyNumberFormat="1" applyFont="1" applyFill="1" applyBorder="1" applyAlignment="1">
      <alignment/>
    </xf>
    <xf numFmtId="2" fontId="18" fillId="36" borderId="10" xfId="0" applyNumberFormat="1" applyFont="1" applyFill="1" applyBorder="1" applyAlignment="1">
      <alignment/>
    </xf>
    <xf numFmtId="166" fontId="18" fillId="36" borderId="10" xfId="0" applyNumberFormat="1" applyFont="1" applyFill="1" applyBorder="1" applyAlignment="1">
      <alignment/>
    </xf>
    <xf numFmtId="0" fontId="27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89" fillId="0" borderId="10" xfId="0" applyFont="1" applyFill="1" applyBorder="1" applyAlignment="1">
      <alignment/>
    </xf>
    <xf numFmtId="164" fontId="89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 wrapText="1"/>
    </xf>
    <xf numFmtId="168" fontId="12" fillId="0" borderId="0" xfId="0" applyNumberFormat="1" applyFont="1" applyFill="1" applyAlignment="1">
      <alignment/>
    </xf>
    <xf numFmtId="168" fontId="12" fillId="0" borderId="0" xfId="0" applyNumberFormat="1" applyFont="1" applyAlignment="1">
      <alignment vertical="top" wrapText="1"/>
    </xf>
    <xf numFmtId="168" fontId="18" fillId="0" borderId="10" xfId="0" applyNumberFormat="1" applyFont="1" applyBorder="1" applyAlignment="1">
      <alignment/>
    </xf>
    <xf numFmtId="168" fontId="18" fillId="0" borderId="10" xfId="0" applyNumberFormat="1" applyFont="1" applyFill="1" applyBorder="1" applyAlignment="1">
      <alignment/>
    </xf>
    <xf numFmtId="168" fontId="19" fillId="0" borderId="36" xfId="0" applyNumberFormat="1" applyFont="1" applyBorder="1" applyAlignment="1">
      <alignment/>
    </xf>
    <xf numFmtId="168" fontId="19" fillId="0" borderId="36" xfId="0" applyNumberFormat="1" applyFont="1" applyFill="1" applyBorder="1" applyAlignment="1">
      <alignment/>
    </xf>
    <xf numFmtId="168" fontId="13" fillId="0" borderId="22" xfId="0" applyNumberFormat="1" applyFont="1" applyFill="1" applyBorder="1" applyAlignment="1">
      <alignment/>
    </xf>
    <xf numFmtId="168" fontId="13" fillId="0" borderId="10" xfId="0" applyNumberFormat="1" applyFont="1" applyBorder="1" applyAlignment="1">
      <alignment/>
    </xf>
    <xf numFmtId="168" fontId="13" fillId="0" borderId="37" xfId="0" applyNumberFormat="1" applyFont="1" applyBorder="1" applyAlignment="1">
      <alignment/>
    </xf>
    <xf numFmtId="168" fontId="13" fillId="0" borderId="37" xfId="0" applyNumberFormat="1" applyFont="1" applyFill="1" applyBorder="1" applyAlignment="1">
      <alignment/>
    </xf>
    <xf numFmtId="168" fontId="22" fillId="0" borderId="36" xfId="0" applyNumberFormat="1" applyFont="1" applyBorder="1" applyAlignment="1">
      <alignment/>
    </xf>
    <xf numFmtId="168" fontId="22" fillId="0" borderId="36" xfId="0" applyNumberFormat="1" applyFont="1" applyFill="1" applyBorder="1" applyAlignment="1">
      <alignment/>
    </xf>
    <xf numFmtId="168" fontId="22" fillId="0" borderId="34" xfId="0" applyNumberFormat="1" applyFont="1" applyFill="1" applyBorder="1" applyAlignment="1">
      <alignment/>
    </xf>
    <xf numFmtId="168" fontId="13" fillId="0" borderId="38" xfId="0" applyNumberFormat="1" applyFont="1" applyBorder="1" applyAlignment="1">
      <alignment/>
    </xf>
    <xf numFmtId="168" fontId="13" fillId="0" borderId="38" xfId="0" applyNumberFormat="1" applyFont="1" applyFill="1" applyBorder="1" applyAlignment="1">
      <alignment/>
    </xf>
    <xf numFmtId="168" fontId="22" fillId="0" borderId="59" xfId="0" applyNumberFormat="1" applyFont="1" applyFill="1" applyBorder="1" applyAlignment="1">
      <alignment/>
    </xf>
    <xf numFmtId="168" fontId="18" fillId="0" borderId="37" xfId="0" applyNumberFormat="1" applyFont="1" applyBorder="1" applyAlignment="1">
      <alignment/>
    </xf>
    <xf numFmtId="168" fontId="22" fillId="0" borderId="34" xfId="0" applyNumberFormat="1" applyFont="1" applyBorder="1" applyAlignment="1">
      <alignment/>
    </xf>
    <xf numFmtId="168" fontId="28" fillId="0" borderId="36" xfId="0" applyNumberFormat="1" applyFont="1" applyBorder="1" applyAlignment="1">
      <alignment/>
    </xf>
    <xf numFmtId="168" fontId="13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1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/>
    </xf>
    <xf numFmtId="43" fontId="47" fillId="0" borderId="10" xfId="54" applyNumberFormat="1" applyFont="1" applyFill="1" applyBorder="1" applyAlignment="1">
      <alignment horizontal="center"/>
      <protection/>
    </xf>
    <xf numFmtId="43" fontId="12" fillId="0" borderId="0" xfId="79" applyFont="1" applyAlignment="1">
      <alignment/>
    </xf>
    <xf numFmtId="43" fontId="68" fillId="0" borderId="0" xfId="81" applyFont="1" applyAlignment="1">
      <alignment horizontal="center" vertical="center"/>
    </xf>
    <xf numFmtId="43" fontId="12" fillId="37" borderId="10" xfId="81" applyNumberFormat="1" applyFont="1" applyFill="1" applyBorder="1" applyAlignment="1">
      <alignment horizontal="center" vertical="top" wrapText="1"/>
    </xf>
    <xf numFmtId="43" fontId="12" fillId="0" borderId="10" xfId="79" applyFont="1" applyFill="1" applyBorder="1" applyAlignment="1">
      <alignment wrapText="1"/>
    </xf>
    <xf numFmtId="0" fontId="68" fillId="0" borderId="0" xfId="58">
      <alignment/>
      <protection/>
    </xf>
    <xf numFmtId="0" fontId="7" fillId="0" borderId="0" xfId="58" applyFont="1">
      <alignment/>
      <protection/>
    </xf>
    <xf numFmtId="0" fontId="7" fillId="0" borderId="0" xfId="58" applyFont="1" applyFill="1">
      <alignment/>
      <protection/>
    </xf>
    <xf numFmtId="0" fontId="68" fillId="0" borderId="0" xfId="58" applyAlignment="1">
      <alignment horizontal="center"/>
      <protection/>
    </xf>
    <xf numFmtId="43" fontId="7" fillId="0" borderId="0" xfId="82" applyFont="1" applyAlignment="1">
      <alignment/>
    </xf>
    <xf numFmtId="43" fontId="68" fillId="0" borderId="0" xfId="58" applyNumberFormat="1">
      <alignment/>
      <protection/>
    </xf>
    <xf numFmtId="43" fontId="7" fillId="0" borderId="0" xfId="58" applyNumberFormat="1" applyFont="1">
      <alignment/>
      <protection/>
    </xf>
    <xf numFmtId="43" fontId="12" fillId="0" borderId="0" xfId="58" applyNumberFormat="1" applyFont="1">
      <alignment/>
      <protection/>
    </xf>
    <xf numFmtId="175" fontId="68" fillId="0" borderId="0" xfId="58" applyNumberFormat="1">
      <alignment/>
      <protection/>
    </xf>
    <xf numFmtId="175" fontId="7" fillId="0" borderId="0" xfId="58" applyNumberFormat="1" applyFont="1" applyFill="1">
      <alignment/>
      <protection/>
    </xf>
    <xf numFmtId="175" fontId="7" fillId="0" borderId="0" xfId="58" applyNumberFormat="1" applyFont="1">
      <alignment/>
      <protection/>
    </xf>
    <xf numFmtId="0" fontId="68" fillId="0" borderId="0" xfId="58" applyBorder="1">
      <alignment/>
      <protection/>
    </xf>
    <xf numFmtId="43" fontId="68" fillId="0" borderId="0" xfId="58" applyNumberFormat="1" applyBorder="1">
      <alignment/>
      <protection/>
    </xf>
    <xf numFmtId="0" fontId="7" fillId="0" borderId="0" xfId="58" applyFont="1" applyFill="1" applyBorder="1">
      <alignment/>
      <protection/>
    </xf>
    <xf numFmtId="0" fontId="68" fillId="0" borderId="0" xfId="58" applyBorder="1" applyAlignment="1">
      <alignment horizontal="center"/>
      <protection/>
    </xf>
    <xf numFmtId="43" fontId="7" fillId="0" borderId="0" xfId="58" applyNumberFormat="1" applyFont="1" applyFill="1" applyBorder="1">
      <alignment/>
      <protection/>
    </xf>
    <xf numFmtId="0" fontId="21" fillId="0" borderId="0" xfId="58" applyFont="1" applyFill="1" applyBorder="1" applyAlignment="1">
      <alignment horizontal="center" vertical="top" wrapText="1"/>
      <protection/>
    </xf>
    <xf numFmtId="176" fontId="68" fillId="0" borderId="0" xfId="58" applyNumberFormat="1" applyBorder="1">
      <alignment/>
      <protection/>
    </xf>
    <xf numFmtId="176" fontId="12" fillId="33" borderId="10" xfId="82" applyNumberFormat="1" applyFont="1" applyFill="1" applyBorder="1" applyAlignment="1">
      <alignment horizontal="center" vertical="top" wrapText="1"/>
    </xf>
    <xf numFmtId="0" fontId="68" fillId="0" borderId="10" xfId="58" applyBorder="1">
      <alignment/>
      <protection/>
    </xf>
    <xf numFmtId="0" fontId="7" fillId="0" borderId="10" xfId="58" applyFont="1" applyBorder="1">
      <alignment/>
      <protection/>
    </xf>
    <xf numFmtId="0" fontId="68" fillId="0" borderId="10" xfId="58" applyBorder="1" applyAlignment="1">
      <alignment vertical="top" wrapText="1"/>
      <protection/>
    </xf>
    <xf numFmtId="0" fontId="12" fillId="0" borderId="0" xfId="58" applyFont="1" applyBorder="1">
      <alignment/>
      <protection/>
    </xf>
    <xf numFmtId="43" fontId="12" fillId="0" borderId="0" xfId="58" applyNumberFormat="1" applyFont="1" applyBorder="1">
      <alignment/>
      <protection/>
    </xf>
    <xf numFmtId="0" fontId="21" fillId="0" borderId="10" xfId="58" applyFont="1" applyFill="1" applyBorder="1" applyAlignment="1">
      <alignment horizontal="left" vertical="top" wrapText="1"/>
      <protection/>
    </xf>
    <xf numFmtId="0" fontId="21" fillId="0" borderId="10" xfId="58" applyFont="1" applyFill="1" applyBorder="1" applyAlignment="1">
      <alignment horizontal="center" vertical="top" wrapText="1"/>
      <protection/>
    </xf>
    <xf numFmtId="0" fontId="12" fillId="0" borderId="0" xfId="58" applyFont="1">
      <alignment/>
      <protection/>
    </xf>
    <xf numFmtId="176" fontId="12" fillId="0" borderId="10" xfId="81" applyNumberFormat="1" applyFont="1" applyFill="1" applyBorder="1" applyAlignment="1">
      <alignment horizontal="center" vertical="top" wrapText="1"/>
    </xf>
    <xf numFmtId="0" fontId="13" fillId="0" borderId="0" xfId="58" applyFont="1">
      <alignment/>
      <protection/>
    </xf>
    <xf numFmtId="0" fontId="12" fillId="0" borderId="10" xfId="58" applyFont="1" applyFill="1" applyBorder="1" applyAlignment="1">
      <alignment horizontal="center" vertical="top" wrapText="1"/>
      <protection/>
    </xf>
    <xf numFmtId="0" fontId="12" fillId="0" borderId="0" xfId="58" applyFont="1" applyFill="1">
      <alignment/>
      <protection/>
    </xf>
    <xf numFmtId="0" fontId="7" fillId="0" borderId="10" xfId="58" applyFont="1" applyBorder="1" applyAlignment="1">
      <alignment horizontal="center" vertical="center" wrapText="1"/>
      <protection/>
    </xf>
    <xf numFmtId="0" fontId="29" fillId="0" borderId="0" xfId="58" applyFont="1" applyBorder="1" applyAlignment="1">
      <alignment horizontal="center" vertical="center" wrapText="1"/>
      <protection/>
    </xf>
    <xf numFmtId="0" fontId="29" fillId="0" borderId="0" xfId="58" applyFont="1" applyFill="1" applyBorder="1" applyAlignment="1">
      <alignment horizontal="center" vertical="center" wrapText="1"/>
      <protection/>
    </xf>
    <xf numFmtId="0" fontId="68" fillId="0" borderId="0" xfId="58" applyBorder="1" applyAlignment="1">
      <alignment vertical="top"/>
      <protection/>
    </xf>
    <xf numFmtId="0" fontId="29" fillId="0" borderId="0" xfId="58" applyFont="1" applyBorder="1" applyAlignment="1">
      <alignment vertical="center" wrapText="1"/>
      <protection/>
    </xf>
    <xf numFmtId="0" fontId="68" fillId="0" borderId="0" xfId="58" applyAlignment="1">
      <alignment horizontal="center" vertical="top"/>
      <protection/>
    </xf>
    <xf numFmtId="0" fontId="68" fillId="0" borderId="0" xfId="58" applyAlignment="1">
      <alignment vertical="top"/>
      <protection/>
    </xf>
    <xf numFmtId="2" fontId="18" fillId="0" borderId="10" xfId="0" applyNumberFormat="1" applyFont="1" applyFill="1" applyBorder="1" applyAlignment="1">
      <alignment/>
    </xf>
    <xf numFmtId="2" fontId="19" fillId="0" borderId="1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/>
    </xf>
    <xf numFmtId="2" fontId="87" fillId="0" borderId="10" xfId="0" applyNumberFormat="1" applyFont="1" applyFill="1" applyBorder="1" applyAlignment="1">
      <alignment/>
    </xf>
    <xf numFmtId="2" fontId="22" fillId="0" borderId="10" xfId="0" applyNumberFormat="1" applyFont="1" applyFill="1" applyBorder="1" applyAlignment="1">
      <alignment/>
    </xf>
    <xf numFmtId="2" fontId="12" fillId="35" borderId="10" xfId="0" applyNumberFormat="1" applyFont="1" applyFill="1" applyBorder="1" applyAlignment="1">
      <alignment/>
    </xf>
    <xf numFmtId="2" fontId="12" fillId="38" borderId="10" xfId="0" applyNumberFormat="1" applyFont="1" applyFill="1" applyBorder="1" applyAlignment="1">
      <alignment/>
    </xf>
    <xf numFmtId="2" fontId="27" fillId="0" borderId="10" xfId="0" applyNumberFormat="1" applyFont="1" applyFill="1" applyBorder="1" applyAlignment="1">
      <alignment/>
    </xf>
    <xf numFmtId="2" fontId="89" fillId="0" borderId="10" xfId="0" applyNumberFormat="1" applyFont="1" applyFill="1" applyBorder="1" applyAlignment="1">
      <alignment/>
    </xf>
    <xf numFmtId="2" fontId="18" fillId="0" borderId="63" xfId="0" applyNumberFormat="1" applyFont="1" applyFill="1" applyBorder="1" applyAlignment="1">
      <alignment/>
    </xf>
    <xf numFmtId="0" fontId="8" fillId="0" borderId="0" xfId="58" applyFont="1" applyAlignment="1">
      <alignment horizontal="left" vertical="top" wrapText="1"/>
      <protection/>
    </xf>
    <xf numFmtId="0" fontId="4" fillId="0" borderId="0" xfId="58" applyFont="1" applyAlignment="1">
      <alignment horizontal="center" vertical="top" wrapText="1"/>
      <protection/>
    </xf>
    <xf numFmtId="0" fontId="68" fillId="0" borderId="0" xfId="58" applyAlignment="1">
      <alignment horizontal="left" vertical="top"/>
      <protection/>
    </xf>
    <xf numFmtId="0" fontId="7" fillId="0" borderId="0" xfId="58" applyFont="1" applyFill="1" applyAlignment="1">
      <alignment horizontal="right"/>
      <protection/>
    </xf>
    <xf numFmtId="49" fontId="13" fillId="0" borderId="10" xfId="66" applyNumberFormat="1" applyFont="1" applyBorder="1" applyAlignment="1">
      <alignment horizontal="center"/>
      <protection/>
    </xf>
    <xf numFmtId="0" fontId="12" fillId="0" borderId="0" xfId="66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44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13" fillId="0" borderId="0" xfId="66" applyFont="1" applyBorder="1" applyAlignment="1">
      <alignment horizontal="center" vertical="center" wrapText="1"/>
      <protection/>
    </xf>
    <xf numFmtId="0" fontId="12" fillId="0" borderId="0" xfId="66" applyFont="1" applyAlignment="1">
      <alignment vertical="center" wrapText="1"/>
      <protection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66" applyFont="1" applyBorder="1" applyAlignment="1">
      <alignment horizontal="center" wrapText="1"/>
      <protection/>
    </xf>
    <xf numFmtId="0" fontId="0" fillId="0" borderId="0" xfId="0" applyAlignment="1">
      <alignment/>
    </xf>
    <xf numFmtId="0" fontId="12" fillId="0" borderId="10" xfId="0" applyFont="1" applyBorder="1" applyAlignment="1">
      <alignment horizontal="center"/>
    </xf>
    <xf numFmtId="0" fontId="13" fillId="0" borderId="6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3" fillId="0" borderId="65" xfId="0" applyFont="1" applyFill="1" applyBorder="1" applyAlignment="1">
      <alignment vertical="center" wrapText="1"/>
    </xf>
    <xf numFmtId="0" fontId="13" fillId="0" borderId="66" xfId="0" applyFont="1" applyFill="1" applyBorder="1" applyAlignment="1">
      <alignment vertical="center"/>
    </xf>
    <xf numFmtId="0" fontId="13" fillId="0" borderId="67" xfId="0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/>
    </xf>
    <xf numFmtId="168" fontId="13" fillId="0" borderId="10" xfId="0" applyNumberFormat="1" applyFont="1" applyBorder="1" applyAlignment="1">
      <alignment vertical="center" wrapText="1"/>
    </xf>
    <xf numFmtId="168" fontId="13" fillId="0" borderId="10" xfId="0" applyNumberFormat="1" applyFont="1" applyBorder="1" applyAlignment="1">
      <alignment vertical="center"/>
    </xf>
    <xf numFmtId="168" fontId="13" fillId="0" borderId="10" xfId="0" applyNumberFormat="1" applyFont="1" applyFill="1" applyBorder="1" applyAlignment="1">
      <alignment horizontal="center" vertical="center" wrapText="1"/>
    </xf>
    <xf numFmtId="168" fontId="13" fillId="0" borderId="10" xfId="0" applyNumberFormat="1" applyFont="1" applyFill="1" applyBorder="1" applyAlignment="1">
      <alignment/>
    </xf>
    <xf numFmtId="168" fontId="13" fillId="0" borderId="10" xfId="0" applyNumberFormat="1" applyFont="1" applyFill="1" applyBorder="1" applyAlignment="1">
      <alignment vertical="center" wrapText="1"/>
    </xf>
    <xf numFmtId="168" fontId="13" fillId="0" borderId="10" xfId="0" applyNumberFormat="1" applyFont="1" applyFill="1" applyBorder="1" applyAlignment="1">
      <alignment vertical="center"/>
    </xf>
    <xf numFmtId="173" fontId="7" fillId="0" borderId="0" xfId="67" applyNumberFormat="1" applyFont="1" applyAlignment="1">
      <alignment horizontal="left" wrapText="1"/>
      <protection/>
    </xf>
    <xf numFmtId="173" fontId="0" fillId="0" borderId="0" xfId="0" applyNumberFormat="1" applyAlignment="1">
      <alignment horizontal="left"/>
    </xf>
    <xf numFmtId="173" fontId="35" fillId="0" borderId="0" xfId="45" applyNumberFormat="1" applyFont="1" applyAlignment="1">
      <alignment horizontal="left" vertical="top" wrapText="1"/>
    </xf>
    <xf numFmtId="173" fontId="33" fillId="33" borderId="58" xfId="67" applyNumberFormat="1" applyFont="1" applyFill="1" applyBorder="1" applyAlignment="1">
      <alignment horizontal="center" vertical="center" wrapText="1"/>
      <protection/>
    </xf>
    <xf numFmtId="173" fontId="33" fillId="33" borderId="46" xfId="67" applyNumberFormat="1" applyFont="1" applyFill="1" applyBorder="1" applyAlignment="1">
      <alignment horizontal="center" vertical="center" wrapText="1"/>
      <protection/>
    </xf>
    <xf numFmtId="0" fontId="34" fillId="0" borderId="0" xfId="67" applyFont="1" applyAlignment="1">
      <alignment horizontal="center" wrapText="1"/>
      <protection/>
    </xf>
    <xf numFmtId="0" fontId="4" fillId="0" borderId="0" xfId="67" applyFont="1" applyAlignment="1">
      <alignment horizontal="center" wrapText="1"/>
      <protection/>
    </xf>
    <xf numFmtId="173" fontId="2" fillId="0" borderId="68" xfId="0" applyNumberFormat="1" applyFont="1" applyBorder="1" applyAlignment="1">
      <alignment horizontal="center" wrapText="1"/>
    </xf>
    <xf numFmtId="173" fontId="2" fillId="0" borderId="31" xfId="0" applyNumberFormat="1" applyFont="1" applyBorder="1" applyAlignment="1">
      <alignment horizontal="center" wrapText="1"/>
    </xf>
    <xf numFmtId="173" fontId="33" fillId="33" borderId="48" xfId="67" applyNumberFormat="1" applyFont="1" applyFill="1" applyBorder="1" applyAlignment="1">
      <alignment horizontal="center" vertical="center" wrapText="1"/>
      <protection/>
    </xf>
    <xf numFmtId="173" fontId="0" fillId="0" borderId="69" xfId="0" applyNumberFormat="1" applyBorder="1" applyAlignment="1">
      <alignment horizontal="center" wrapText="1"/>
    </xf>
    <xf numFmtId="173" fontId="0" fillId="0" borderId="64" xfId="0" applyNumberFormat="1" applyBorder="1" applyAlignment="1">
      <alignment horizontal="center" wrapText="1"/>
    </xf>
    <xf numFmtId="173" fontId="33" fillId="33" borderId="49" xfId="67" applyNumberFormat="1" applyFont="1" applyFill="1" applyBorder="1" applyAlignment="1">
      <alignment horizontal="center" vertical="center" wrapText="1"/>
      <protection/>
    </xf>
    <xf numFmtId="173" fontId="0" fillId="0" borderId="69" xfId="0" applyNumberFormat="1" applyBorder="1" applyAlignment="1">
      <alignment horizontal="center" vertical="center" wrapText="1"/>
    </xf>
    <xf numFmtId="173" fontId="0" fillId="0" borderId="64" xfId="0" applyNumberFormat="1" applyBorder="1" applyAlignment="1">
      <alignment horizontal="center" vertical="center" wrapText="1"/>
    </xf>
    <xf numFmtId="0" fontId="4" fillId="0" borderId="35" xfId="67" applyFont="1" applyBorder="1" applyAlignment="1">
      <alignment horizontal="left"/>
      <protection/>
    </xf>
    <xf numFmtId="0" fontId="4" fillId="0" borderId="36" xfId="67" applyFont="1" applyBorder="1" applyAlignment="1">
      <alignment horizontal="left"/>
      <protection/>
    </xf>
    <xf numFmtId="3" fontId="33" fillId="33" borderId="70" xfId="67" applyNumberFormat="1" applyFont="1" applyFill="1" applyBorder="1" applyAlignment="1">
      <alignment horizontal="center" vertical="center" wrapText="1"/>
      <protection/>
    </xf>
    <xf numFmtId="0" fontId="4" fillId="0" borderId="45" xfId="67" applyFont="1" applyBorder="1" applyAlignment="1">
      <alignment horizontal="center" vertical="center" wrapText="1"/>
      <protection/>
    </xf>
    <xf numFmtId="3" fontId="33" fillId="33" borderId="58" xfId="67" applyNumberFormat="1" applyFont="1" applyFill="1" applyBorder="1" applyAlignment="1">
      <alignment horizontal="center" vertical="center" wrapText="1"/>
      <protection/>
    </xf>
    <xf numFmtId="0" fontId="4" fillId="0" borderId="46" xfId="67" applyFont="1" applyBorder="1" applyAlignment="1">
      <alignment horizontal="center" vertical="center" wrapText="1"/>
      <protection/>
    </xf>
    <xf numFmtId="0" fontId="20" fillId="0" borderId="25" xfId="54" applyFont="1" applyBorder="1" applyAlignment="1">
      <alignment horizontal="center" wrapText="1"/>
      <protection/>
    </xf>
    <xf numFmtId="0" fontId="20" fillId="0" borderId="23" xfId="54" applyFont="1" applyBorder="1" applyAlignment="1">
      <alignment horizontal="center" wrapText="1"/>
      <protection/>
    </xf>
    <xf numFmtId="0" fontId="20" fillId="0" borderId="17" xfId="54" applyFont="1" applyBorder="1" applyAlignment="1">
      <alignment horizontal="center" wrapText="1"/>
      <protection/>
    </xf>
    <xf numFmtId="0" fontId="20" fillId="0" borderId="25" xfId="54" applyFont="1" applyFill="1" applyBorder="1" applyAlignment="1">
      <alignment horizontal="center" wrapText="1"/>
      <protection/>
    </xf>
    <xf numFmtId="0" fontId="7" fillId="0" borderId="23" xfId="54" applyFill="1" applyBorder="1" applyAlignment="1">
      <alignment horizontal="center"/>
      <protection/>
    </xf>
    <xf numFmtId="0" fontId="7" fillId="0" borderId="17" xfId="54" applyFill="1" applyBorder="1" applyAlignment="1">
      <alignment horizontal="center"/>
      <protection/>
    </xf>
    <xf numFmtId="49" fontId="20" fillId="0" borderId="37" xfId="54" applyNumberFormat="1" applyFont="1" applyBorder="1" applyAlignment="1">
      <alignment horizontal="center" vertical="top" wrapText="1"/>
      <protection/>
    </xf>
    <xf numFmtId="49" fontId="20" fillId="0" borderId="22" xfId="54" applyNumberFormat="1" applyFont="1" applyBorder="1" applyAlignment="1">
      <alignment horizontal="center" vertical="top" wrapText="1"/>
      <protection/>
    </xf>
    <xf numFmtId="49" fontId="20" fillId="0" borderId="37" xfId="54" applyNumberFormat="1" applyFont="1" applyBorder="1" applyAlignment="1">
      <alignment horizontal="center" vertical="center"/>
      <protection/>
    </xf>
    <xf numFmtId="49" fontId="20" fillId="0" borderId="22" xfId="54" applyNumberFormat="1" applyFont="1" applyBorder="1" applyAlignment="1">
      <alignment horizontal="center" vertical="center"/>
      <protection/>
    </xf>
    <xf numFmtId="0" fontId="20" fillId="0" borderId="37" xfId="54" applyFont="1" applyBorder="1" applyAlignment="1">
      <alignment horizontal="center" vertical="center" wrapText="1"/>
      <protection/>
    </xf>
    <xf numFmtId="0" fontId="20" fillId="0" borderId="22" xfId="54" applyFont="1" applyBorder="1" applyAlignment="1">
      <alignment horizontal="center" vertical="center" wrapText="1"/>
      <protection/>
    </xf>
    <xf numFmtId="0" fontId="20" fillId="0" borderId="38" xfId="54" applyFont="1" applyBorder="1" applyAlignment="1">
      <alignment horizontal="center" vertical="center" wrapText="1"/>
      <protection/>
    </xf>
    <xf numFmtId="49" fontId="29" fillId="0" borderId="0" xfId="54" applyNumberFormat="1" applyFont="1" applyAlignment="1">
      <alignment horizontal="left"/>
      <protection/>
    </xf>
    <xf numFmtId="0" fontId="6" fillId="0" borderId="0" xfId="54" applyFont="1" applyAlignment="1">
      <alignment wrapText="1"/>
      <protection/>
    </xf>
    <xf numFmtId="0" fontId="43" fillId="0" borderId="0" xfId="54" applyFont="1" applyAlignment="1">
      <alignment horizontal="center" wrapText="1"/>
      <protection/>
    </xf>
    <xf numFmtId="0" fontId="29" fillId="0" borderId="0" xfId="54" applyFont="1" applyBorder="1" applyAlignment="1">
      <alignment horizontal="right"/>
      <protection/>
    </xf>
    <xf numFmtId="0" fontId="20" fillId="0" borderId="37" xfId="54" applyFont="1" applyBorder="1" applyAlignment="1">
      <alignment horizontal="justify" vertical="center"/>
      <protection/>
    </xf>
    <xf numFmtId="0" fontId="7" fillId="0" borderId="38" xfId="54" applyBorder="1">
      <alignment/>
      <protection/>
    </xf>
    <xf numFmtId="0" fontId="7" fillId="0" borderId="22" xfId="54" applyBorder="1">
      <alignment/>
      <protection/>
    </xf>
    <xf numFmtId="0" fontId="20" fillId="0" borderId="38" xfId="54" applyFont="1" applyBorder="1" applyAlignment="1">
      <alignment horizontal="justify" vertical="center"/>
      <protection/>
    </xf>
    <xf numFmtId="0" fontId="20" fillId="0" borderId="22" xfId="54" applyFont="1" applyBorder="1" applyAlignment="1">
      <alignment horizontal="justify" vertical="center"/>
      <protection/>
    </xf>
    <xf numFmtId="49" fontId="20" fillId="0" borderId="25" xfId="54" applyNumberFormat="1" applyFont="1" applyBorder="1" applyAlignment="1">
      <alignment horizontal="right"/>
      <protection/>
    </xf>
    <xf numFmtId="49" fontId="20" fillId="0" borderId="23" xfId="54" applyNumberFormat="1" applyFont="1" applyBorder="1" applyAlignment="1">
      <alignment horizontal="right"/>
      <protection/>
    </xf>
    <xf numFmtId="49" fontId="20" fillId="0" borderId="17" xfId="54" applyNumberFormat="1" applyFont="1" applyBorder="1" applyAlignment="1">
      <alignment horizontal="right"/>
      <protection/>
    </xf>
    <xf numFmtId="0" fontId="20" fillId="0" borderId="25" xfId="54" applyFont="1" applyBorder="1" applyAlignment="1">
      <alignment horizontal="center"/>
      <protection/>
    </xf>
    <xf numFmtId="0" fontId="20" fillId="0" borderId="23" xfId="54" applyFont="1" applyBorder="1" applyAlignment="1">
      <alignment horizontal="center"/>
      <protection/>
    </xf>
    <xf numFmtId="0" fontId="20" fillId="0" borderId="17" xfId="54" applyFont="1" applyBorder="1" applyAlignment="1">
      <alignment horizontal="center"/>
      <protection/>
    </xf>
    <xf numFmtId="0" fontId="20" fillId="0" borderId="25" xfId="54" applyFont="1" applyBorder="1" applyAlignment="1">
      <alignment horizontal="center" vertical="center"/>
      <protection/>
    </xf>
    <xf numFmtId="0" fontId="20" fillId="0" borderId="17" xfId="54" applyFont="1" applyBorder="1" applyAlignment="1">
      <alignment horizontal="center" vertical="center"/>
      <protection/>
    </xf>
    <xf numFmtId="0" fontId="13" fillId="0" borderId="0" xfId="66" applyFont="1" applyBorder="1" applyAlignment="1">
      <alignment horizontal="center" wrapText="1"/>
      <protection/>
    </xf>
    <xf numFmtId="0" fontId="12" fillId="0" borderId="0" xfId="66" applyFont="1" applyAlignment="1">
      <alignment wrapText="1"/>
      <protection/>
    </xf>
    <xf numFmtId="0" fontId="12" fillId="0" borderId="0" xfId="54" applyFont="1" applyAlignment="1">
      <alignment wrapText="1"/>
      <protection/>
    </xf>
    <xf numFmtId="0" fontId="7" fillId="0" borderId="38" xfId="54" applyBorder="1" applyAlignment="1">
      <alignment horizontal="center" vertical="center" wrapText="1"/>
      <protection/>
    </xf>
    <xf numFmtId="0" fontId="7" fillId="0" borderId="22" xfId="54" applyBorder="1" applyAlignment="1">
      <alignment horizontal="center" vertical="center" wrapText="1"/>
      <protection/>
    </xf>
    <xf numFmtId="0" fontId="20" fillId="0" borderId="25" xfId="54" applyFont="1" applyBorder="1" applyAlignment="1">
      <alignment horizontal="center" vertical="center" wrapText="1"/>
      <protection/>
    </xf>
    <xf numFmtId="0" fontId="4" fillId="0" borderId="17" xfId="54" applyFont="1" applyBorder="1" applyAlignment="1">
      <alignment horizontal="center" vertical="center"/>
      <protection/>
    </xf>
    <xf numFmtId="0" fontId="10" fillId="0" borderId="12" xfId="62" applyFont="1" applyBorder="1" applyAlignment="1">
      <alignment horizontal="center" wrapText="1"/>
      <protection/>
    </xf>
    <xf numFmtId="0" fontId="10" fillId="0" borderId="61" xfId="62" applyFont="1" applyBorder="1" applyAlignment="1">
      <alignment horizontal="center" wrapText="1"/>
      <protection/>
    </xf>
    <xf numFmtId="0" fontId="36" fillId="0" borderId="42" xfId="62" applyFont="1" applyBorder="1" applyAlignment="1">
      <alignment horizontal="center" vertical="center" wrapText="1"/>
      <protection/>
    </xf>
    <xf numFmtId="0" fontId="38" fillId="0" borderId="43" xfId="64" applyFont="1" applyBorder="1" applyAlignment="1">
      <alignment horizontal="center" vertical="center" wrapText="1"/>
      <protection/>
    </xf>
    <xf numFmtId="1" fontId="10" fillId="0" borderId="49" xfId="62" applyNumberFormat="1" applyFont="1" applyBorder="1" applyAlignment="1">
      <alignment horizontal="center" wrapText="1"/>
      <protection/>
    </xf>
    <xf numFmtId="1" fontId="10" fillId="0" borderId="69" xfId="62" applyNumberFormat="1" applyFont="1" applyBorder="1" applyAlignment="1">
      <alignment horizontal="center" wrapText="1"/>
      <protection/>
    </xf>
    <xf numFmtId="0" fontId="7" fillId="0" borderId="0" xfId="62" applyFont="1" applyAlignment="1">
      <alignment horizontal="left" vertical="center" wrapText="1"/>
      <protection/>
    </xf>
    <xf numFmtId="0" fontId="7" fillId="0" borderId="0" xfId="64" applyFont="1" applyAlignment="1">
      <alignment horizontal="left" vertical="center" wrapText="1"/>
      <protection/>
    </xf>
    <xf numFmtId="0" fontId="7" fillId="0" borderId="0" xfId="64" applyFont="1" applyAlignment="1">
      <alignment horizontal="left" vertical="center" wrapText="1"/>
      <protection/>
    </xf>
    <xf numFmtId="0" fontId="7" fillId="0" borderId="0" xfId="64" applyAlignment="1">
      <alignment horizontal="left" vertical="center" wrapText="1"/>
      <protection/>
    </xf>
    <xf numFmtId="0" fontId="8" fillId="0" borderId="0" xfId="64" applyFont="1" applyAlignment="1">
      <alignment horizontal="left" vertical="top" wrapText="1"/>
      <protection/>
    </xf>
    <xf numFmtId="0" fontId="36" fillId="0" borderId="0" xfId="62" applyFont="1" applyFill="1" applyBorder="1" applyAlignment="1">
      <alignment horizontal="center" vertical="top" wrapText="1"/>
      <protection/>
    </xf>
    <xf numFmtId="0" fontId="0" fillId="0" borderId="0" xfId="57" applyAlignment="1">
      <alignment horizontal="center" vertical="top"/>
      <protection/>
    </xf>
    <xf numFmtId="0" fontId="36" fillId="0" borderId="0" xfId="62" applyFont="1" applyFill="1" applyBorder="1" applyAlignment="1">
      <alignment horizontal="center" vertical="center" wrapText="1"/>
      <protection/>
    </xf>
    <xf numFmtId="0" fontId="0" fillId="0" borderId="0" xfId="57" applyAlignment="1">
      <alignment horizontal="center" wrapText="1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4" xfId="58"/>
    <cellStyle name="Обычный 5" xfId="59"/>
    <cellStyle name="Обычный 6" xfId="60"/>
    <cellStyle name="Обычный 7" xfId="61"/>
    <cellStyle name="Обычный_ПР 13 фин.помощь1" xfId="62"/>
    <cellStyle name="Обычный_Прил 22,23,24" xfId="63"/>
    <cellStyle name="Обычный_Прил 5,6,8,18" xfId="64"/>
    <cellStyle name="Обычный_прил 7,9-2009-2010 нов классиф." xfId="65"/>
    <cellStyle name="Обычный_прилож 8,10 -2008г." xfId="66"/>
    <cellStyle name="Обычный_Прилож.№9 кап.стр." xfId="67"/>
    <cellStyle name="Обычный_Прилож_МР" xfId="68"/>
    <cellStyle name="Обычный_Район 2006г.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Тысячи [0]_перечис.11" xfId="77"/>
    <cellStyle name="Тысячи_перечис.11" xfId="78"/>
    <cellStyle name="Comma" xfId="79"/>
    <cellStyle name="Comma [0]" xfId="80"/>
    <cellStyle name="Финансовый 2" xfId="81"/>
    <cellStyle name="Финансовый 3" xfId="82"/>
    <cellStyle name="Финансовый 4" xfId="83"/>
    <cellStyle name="Финансовый 5" xfId="84"/>
    <cellStyle name="Финансовый_прил 9,11-2009-2010гг(окончательный)" xfId="85"/>
    <cellStyle name="Финансовый_Прилож_МР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Application%20Data\Microsoft\Excel\&#1055;&#1088;&#1080;&#1083;&#1086;&#1078;&#1077;&#1085;&#1080;&#1103;%208,10(2011&#1075;-201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8 (2011г)"/>
      <sheetName val="10 прил(2011г)чистовик"/>
    </sheetNames>
    <sheetDataSet>
      <sheetData sheetId="1">
        <row r="651">
          <cell r="J651">
            <v>1080.095</v>
          </cell>
          <cell r="K651">
            <v>0</v>
          </cell>
        </row>
        <row r="652">
          <cell r="J652">
            <v>1677.149</v>
          </cell>
          <cell r="K652">
            <v>0</v>
          </cell>
        </row>
        <row r="653">
          <cell r="J653">
            <v>17629.555999999997</v>
          </cell>
          <cell r="K653">
            <v>1264</v>
          </cell>
        </row>
        <row r="654">
          <cell r="J654">
            <v>0</v>
          </cell>
          <cell r="K654">
            <v>0</v>
          </cell>
        </row>
        <row r="655">
          <cell r="J655">
            <v>3205.056</v>
          </cell>
          <cell r="K655">
            <v>0</v>
          </cell>
        </row>
        <row r="656">
          <cell r="J656">
            <v>134.28893</v>
          </cell>
          <cell r="K656">
            <v>0</v>
          </cell>
        </row>
        <row r="659">
          <cell r="J659">
            <v>0</v>
          </cell>
          <cell r="K659">
            <v>0</v>
          </cell>
        </row>
        <row r="660">
          <cell r="J660">
            <v>1596.53</v>
          </cell>
          <cell r="K660">
            <v>450</v>
          </cell>
        </row>
        <row r="661">
          <cell r="J661">
            <v>0</v>
          </cell>
          <cell r="K661">
            <v>0</v>
          </cell>
        </row>
        <row r="665">
          <cell r="J665">
            <v>500</v>
          </cell>
          <cell r="K665">
            <v>200</v>
          </cell>
        </row>
        <row r="666">
          <cell r="J666">
            <v>75</v>
          </cell>
          <cell r="K666">
            <v>0</v>
          </cell>
        </row>
        <row r="668">
          <cell r="J668">
            <v>160</v>
          </cell>
          <cell r="K668">
            <v>70</v>
          </cell>
        </row>
        <row r="669">
          <cell r="J669">
            <v>0</v>
          </cell>
          <cell r="K669">
            <v>0</v>
          </cell>
        </row>
        <row r="670">
          <cell r="J670">
            <v>0</v>
          </cell>
          <cell r="K670">
            <v>0</v>
          </cell>
        </row>
        <row r="671">
          <cell r="J671">
            <v>2534.703</v>
          </cell>
          <cell r="K671">
            <v>0</v>
          </cell>
        </row>
        <row r="673">
          <cell r="J673">
            <v>1400</v>
          </cell>
          <cell r="K673">
            <v>80</v>
          </cell>
        </row>
        <row r="674">
          <cell r="J674">
            <v>14356.14</v>
          </cell>
          <cell r="K674">
            <v>710.6</v>
          </cell>
        </row>
        <row r="675">
          <cell r="J675">
            <v>300</v>
          </cell>
          <cell r="K675">
            <v>200</v>
          </cell>
        </row>
        <row r="676">
          <cell r="J676">
            <v>0</v>
          </cell>
          <cell r="K676">
            <v>0</v>
          </cell>
        </row>
        <row r="678">
          <cell r="J678">
            <v>565</v>
          </cell>
          <cell r="K678">
            <v>263</v>
          </cell>
        </row>
        <row r="679">
          <cell r="J679">
            <v>191668.53093</v>
          </cell>
          <cell r="K679">
            <v>4208.95606</v>
          </cell>
        </row>
        <row r="680">
          <cell r="J680">
            <v>740.91</v>
          </cell>
          <cell r="K680">
            <v>0</v>
          </cell>
        </row>
        <row r="681">
          <cell r="J681">
            <v>2380.06</v>
          </cell>
          <cell r="K681">
            <v>0</v>
          </cell>
        </row>
        <row r="682">
          <cell r="J682">
            <v>7032.566</v>
          </cell>
          <cell r="K682">
            <v>1.25498</v>
          </cell>
        </row>
        <row r="684">
          <cell r="J684">
            <v>4058.852</v>
          </cell>
          <cell r="K684">
            <v>648.88</v>
          </cell>
        </row>
        <row r="685">
          <cell r="J685">
            <v>0</v>
          </cell>
          <cell r="K685">
            <v>0</v>
          </cell>
        </row>
        <row r="687">
          <cell r="J687">
            <v>0</v>
          </cell>
          <cell r="K687">
            <v>0</v>
          </cell>
        </row>
        <row r="689">
          <cell r="J689">
            <v>38155.259999999995</v>
          </cell>
          <cell r="K689">
            <v>100</v>
          </cell>
        </row>
        <row r="690">
          <cell r="J690">
            <v>4948.8</v>
          </cell>
          <cell r="K690">
            <v>0</v>
          </cell>
        </row>
        <row r="691">
          <cell r="J691">
            <v>749.9</v>
          </cell>
          <cell r="K691">
            <v>0</v>
          </cell>
        </row>
        <row r="692">
          <cell r="J692">
            <v>0</v>
          </cell>
          <cell r="K692">
            <v>0</v>
          </cell>
        </row>
        <row r="694">
          <cell r="J694">
            <v>0</v>
          </cell>
          <cell r="K694">
            <v>0</v>
          </cell>
        </row>
        <row r="696">
          <cell r="J696">
            <v>1593.18</v>
          </cell>
          <cell r="K696">
            <v>0</v>
          </cell>
        </row>
        <row r="697">
          <cell r="J697">
            <v>6711.6474</v>
          </cell>
          <cell r="K697">
            <v>212.857</v>
          </cell>
        </row>
        <row r="698">
          <cell r="J698">
            <v>44962.2</v>
          </cell>
          <cell r="K698">
            <v>725.706</v>
          </cell>
        </row>
        <row r="699">
          <cell r="J699">
            <v>10903.6</v>
          </cell>
          <cell r="K699">
            <v>0</v>
          </cell>
        </row>
        <row r="700">
          <cell r="J700">
            <v>1997.3809999999999</v>
          </cell>
          <cell r="K70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1"/>
  <sheetViews>
    <sheetView tabSelected="1" view="pageBreakPreview" zoomScale="60" zoomScaleNormal="82" zoomScalePageLayoutView="0" workbookViewId="0" topLeftCell="A27">
      <selection activeCell="L49" sqref="L49"/>
    </sheetView>
  </sheetViews>
  <sheetFormatPr defaultColWidth="9.140625" defaultRowHeight="12.75"/>
  <cols>
    <col min="1" max="1" width="9.28125" style="586" customWidth="1"/>
    <col min="2" max="2" width="27.8515625" style="583" customWidth="1"/>
    <col min="3" max="3" width="50.8515625" style="583" customWidth="1"/>
    <col min="4" max="4" width="17.00390625" style="585" customWidth="1"/>
    <col min="5" max="5" width="15.57421875" style="584" customWidth="1"/>
    <col min="6" max="6" width="17.28125" style="583" customWidth="1"/>
    <col min="7" max="7" width="15.421875" style="583" hidden="1" customWidth="1"/>
    <col min="8" max="8" width="13.8515625" style="583" hidden="1" customWidth="1"/>
    <col min="9" max="9" width="0" style="583" hidden="1" customWidth="1"/>
    <col min="10" max="10" width="17.00390625" style="583" bestFit="1" customWidth="1"/>
    <col min="11" max="12" width="16.00390625" style="583" bestFit="1" customWidth="1"/>
    <col min="13" max="16384" width="9.140625" style="583" customWidth="1"/>
  </cols>
  <sheetData>
    <row r="1" spans="1:6" ht="15">
      <c r="A1" s="619"/>
      <c r="B1" s="620"/>
      <c r="C1" s="620"/>
      <c r="D1" s="635"/>
      <c r="E1" s="635"/>
      <c r="F1" s="635"/>
    </row>
    <row r="2" spans="1:6" ht="12.75" customHeight="1">
      <c r="A2" s="619"/>
      <c r="B2" s="620"/>
      <c r="C2" s="620"/>
      <c r="D2" s="634" t="s">
        <v>612</v>
      </c>
      <c r="E2" s="634"/>
      <c r="F2" s="634"/>
    </row>
    <row r="3" spans="1:2" ht="0.75" customHeight="1">
      <c r="A3" s="619"/>
      <c r="B3" s="620"/>
    </row>
    <row r="4" spans="1:6" ht="79.5" customHeight="1">
      <c r="A4" s="619"/>
      <c r="B4" s="620"/>
      <c r="D4" s="632" t="s">
        <v>1100</v>
      </c>
      <c r="E4" s="632"/>
      <c r="F4" s="632"/>
    </row>
    <row r="5" spans="1:3" ht="12.75" customHeight="1" hidden="1">
      <c r="A5" s="580"/>
      <c r="B5" s="620"/>
      <c r="C5" s="620"/>
    </row>
    <row r="6" spans="1:6" ht="12.75" customHeight="1">
      <c r="A6" s="619"/>
      <c r="B6" s="633" t="s">
        <v>613</v>
      </c>
      <c r="C6" s="633"/>
      <c r="D6" s="633"/>
      <c r="E6" s="633"/>
      <c r="F6" s="633"/>
    </row>
    <row r="7" spans="1:5" s="594" customFormat="1" ht="15.75" customHeight="1">
      <c r="A7" s="618"/>
      <c r="B7" s="617"/>
      <c r="C7" s="617"/>
      <c r="D7" s="616"/>
      <c r="E7" s="615"/>
    </row>
    <row r="8" spans="1:6" s="609" customFormat="1" ht="68.25" customHeight="1">
      <c r="A8" s="608" t="s">
        <v>614</v>
      </c>
      <c r="B8" s="607" t="s">
        <v>615</v>
      </c>
      <c r="C8" s="608" t="s">
        <v>616</v>
      </c>
      <c r="D8" s="233" t="s">
        <v>617</v>
      </c>
      <c r="E8" s="233" t="s">
        <v>618</v>
      </c>
      <c r="F8" s="233" t="s">
        <v>619</v>
      </c>
    </row>
    <row r="9" spans="1:6" s="586" customFormat="1" ht="12.75" customHeight="1">
      <c r="A9" s="614">
        <v>1</v>
      </c>
      <c r="B9" s="614">
        <v>2</v>
      </c>
      <c r="C9" s="614">
        <v>3</v>
      </c>
      <c r="D9" s="614">
        <v>4</v>
      </c>
      <c r="E9" s="614">
        <v>5</v>
      </c>
      <c r="F9" s="614">
        <v>6</v>
      </c>
    </row>
    <row r="10" spans="1:6" s="609" customFormat="1" ht="19.5" customHeight="1">
      <c r="A10" s="608" t="s">
        <v>620</v>
      </c>
      <c r="B10" s="607" t="s">
        <v>621</v>
      </c>
      <c r="C10" s="607" t="s">
        <v>622</v>
      </c>
      <c r="D10" s="233">
        <f>D11+D51</f>
        <v>72325.1257</v>
      </c>
      <c r="E10" s="233">
        <f>E11+E51</f>
        <v>86.96873000000471</v>
      </c>
      <c r="F10" s="233">
        <f>F11+F51</f>
        <v>72412.09443</v>
      </c>
    </row>
    <row r="11" spans="1:10" s="609" customFormat="1" ht="15" customHeight="1">
      <c r="A11" s="608"/>
      <c r="B11" s="607"/>
      <c r="C11" s="607" t="s">
        <v>623</v>
      </c>
      <c r="D11" s="233">
        <f>D12+D21+D27+D37+D43</f>
        <v>54937.03232</v>
      </c>
      <c r="E11" s="233">
        <f>E12+E21+E27+E37+E43</f>
        <v>-825.7999999999951</v>
      </c>
      <c r="F11" s="233">
        <f>F12+F21+F27+F37+F43</f>
        <v>54111.23232</v>
      </c>
      <c r="J11" s="590"/>
    </row>
    <row r="12" spans="1:10" s="613" customFormat="1" ht="23.25" customHeight="1">
      <c r="A12" s="608" t="s">
        <v>620</v>
      </c>
      <c r="B12" s="607" t="s">
        <v>624</v>
      </c>
      <c r="C12" s="607" t="s">
        <v>625</v>
      </c>
      <c r="D12" s="233">
        <f>D13</f>
        <v>34024.03232</v>
      </c>
      <c r="E12" s="233">
        <f>E13</f>
        <v>0.16000000000494907</v>
      </c>
      <c r="F12" s="233">
        <f>F13</f>
        <v>34024.19232</v>
      </c>
      <c r="J12" s="590"/>
    </row>
    <row r="13" spans="1:10" s="613" customFormat="1" ht="24" customHeight="1">
      <c r="A13" s="608" t="s">
        <v>626</v>
      </c>
      <c r="B13" s="607" t="s">
        <v>627</v>
      </c>
      <c r="C13" s="607" t="s">
        <v>628</v>
      </c>
      <c r="D13" s="233">
        <f>D14+D15+D19+D18</f>
        <v>34024.03232</v>
      </c>
      <c r="E13" s="233">
        <f>E14+E15+E19+E18</f>
        <v>0.16000000000494907</v>
      </c>
      <c r="F13" s="233">
        <f>F14+F15+F19+F18</f>
        <v>34024.19232</v>
      </c>
      <c r="J13" s="590"/>
    </row>
    <row r="14" spans="1:10" s="609" customFormat="1" ht="61.5" customHeight="1">
      <c r="A14" s="608" t="s">
        <v>626</v>
      </c>
      <c r="B14" s="607" t="s">
        <v>629</v>
      </c>
      <c r="C14" s="607" t="s">
        <v>630</v>
      </c>
      <c r="D14" s="233">
        <v>500</v>
      </c>
      <c r="E14" s="233">
        <f>F14-D14</f>
        <v>-500</v>
      </c>
      <c r="F14" s="233">
        <v>0</v>
      </c>
      <c r="J14" s="590"/>
    </row>
    <row r="15" spans="1:10" s="611" customFormat="1" ht="58.5" customHeight="1">
      <c r="A15" s="608" t="s">
        <v>626</v>
      </c>
      <c r="B15" s="607" t="s">
        <v>631</v>
      </c>
      <c r="C15" s="607" t="s">
        <v>632</v>
      </c>
      <c r="D15" s="233">
        <f>D16+D17</f>
        <v>33491.63232</v>
      </c>
      <c r="E15" s="233">
        <f>E16+E17</f>
        <v>424.56000000000495</v>
      </c>
      <c r="F15" s="233">
        <f>F16+F17</f>
        <v>33916.19232</v>
      </c>
      <c r="J15" s="590"/>
    </row>
    <row r="16" spans="1:10" s="609" customFormat="1" ht="124.5" customHeight="1">
      <c r="A16" s="608" t="s">
        <v>626</v>
      </c>
      <c r="B16" s="607" t="s">
        <v>633</v>
      </c>
      <c r="C16" s="607" t="s">
        <v>634</v>
      </c>
      <c r="D16" s="233">
        <f>29031.6+3300-185.96+170.00057+230-1.26825+0.01+1.25+921</f>
        <v>33466.63232</v>
      </c>
      <c r="E16" s="233">
        <f>F16-D16</f>
        <v>389.56000000000495</v>
      </c>
      <c r="F16" s="233">
        <f>29031.6+3300-185.96+170.00057+230-1.26825+0.01+1.25+921+389.4+0.16</f>
        <v>33856.19232</v>
      </c>
      <c r="J16" s="590"/>
    </row>
    <row r="17" spans="1:10" s="609" customFormat="1" ht="107.25" customHeight="1">
      <c r="A17" s="608" t="s">
        <v>626</v>
      </c>
      <c r="B17" s="607" t="s">
        <v>635</v>
      </c>
      <c r="C17" s="607" t="s">
        <v>636</v>
      </c>
      <c r="D17" s="233">
        <v>25</v>
      </c>
      <c r="E17" s="233">
        <f>F17-D17</f>
        <v>35</v>
      </c>
      <c r="F17" s="233">
        <v>60</v>
      </c>
      <c r="J17" s="590"/>
    </row>
    <row r="18" spans="1:10" s="609" customFormat="1" ht="45" customHeight="1">
      <c r="A18" s="608" t="s">
        <v>626</v>
      </c>
      <c r="B18" s="607" t="s">
        <v>637</v>
      </c>
      <c r="C18" s="607" t="s">
        <v>638</v>
      </c>
      <c r="D18" s="233">
        <v>30</v>
      </c>
      <c r="E18" s="233">
        <f>F18-D18</f>
        <v>50</v>
      </c>
      <c r="F18" s="233">
        <v>80</v>
      </c>
      <c r="J18" s="590"/>
    </row>
    <row r="19" spans="1:10" s="609" customFormat="1" ht="102.75" customHeight="1">
      <c r="A19" s="608" t="s">
        <v>626</v>
      </c>
      <c r="B19" s="607" t="s">
        <v>639</v>
      </c>
      <c r="C19" s="607" t="s">
        <v>640</v>
      </c>
      <c r="D19" s="233">
        <v>2.4</v>
      </c>
      <c r="E19" s="233">
        <f>F19-D19</f>
        <v>25.6</v>
      </c>
      <c r="F19" s="233">
        <v>28</v>
      </c>
      <c r="J19" s="590"/>
    </row>
    <row r="20" spans="1:10" s="609" customFormat="1" ht="45" customHeight="1" hidden="1">
      <c r="A20" s="608"/>
      <c r="B20" s="607" t="s">
        <v>641</v>
      </c>
      <c r="C20" s="607" t="s">
        <v>642</v>
      </c>
      <c r="D20" s="233"/>
      <c r="E20" s="233">
        <f>F20-D20</f>
        <v>0</v>
      </c>
      <c r="F20" s="233"/>
      <c r="J20" s="590"/>
    </row>
    <row r="21" spans="1:10" s="609" customFormat="1" ht="15">
      <c r="A21" s="608" t="s">
        <v>620</v>
      </c>
      <c r="B21" s="607" t="s">
        <v>643</v>
      </c>
      <c r="C21" s="607" t="s">
        <v>644</v>
      </c>
      <c r="D21" s="233">
        <f>D22+D25+D26</f>
        <v>13140</v>
      </c>
      <c r="E21" s="233">
        <f>E22+E25+E26</f>
        <v>-412</v>
      </c>
      <c r="F21" s="233">
        <f>F22+F25+F26</f>
        <v>12728</v>
      </c>
      <c r="J21" s="590"/>
    </row>
    <row r="22" spans="1:10" s="609" customFormat="1" ht="34.5" customHeight="1">
      <c r="A22" s="608" t="s">
        <v>626</v>
      </c>
      <c r="B22" s="607" t="s">
        <v>645</v>
      </c>
      <c r="C22" s="607" t="s">
        <v>646</v>
      </c>
      <c r="D22" s="233">
        <f>D23+D24</f>
        <v>5055</v>
      </c>
      <c r="E22" s="233">
        <f>E23+E24</f>
        <v>0</v>
      </c>
      <c r="F22" s="233">
        <f>F23+F24</f>
        <v>5055</v>
      </c>
      <c r="J22" s="590"/>
    </row>
    <row r="23" spans="1:10" s="609" customFormat="1" ht="33.75" customHeight="1">
      <c r="A23" s="608" t="s">
        <v>626</v>
      </c>
      <c r="B23" s="607" t="s">
        <v>647</v>
      </c>
      <c r="C23" s="607" t="s">
        <v>648</v>
      </c>
      <c r="D23" s="233">
        <v>3435</v>
      </c>
      <c r="E23" s="233">
        <f>F23-D23</f>
        <v>-200</v>
      </c>
      <c r="F23" s="233">
        <f>3435-200</f>
        <v>3235</v>
      </c>
      <c r="J23" s="590"/>
    </row>
    <row r="24" spans="1:10" s="609" customFormat="1" ht="45" customHeight="1">
      <c r="A24" s="608" t="s">
        <v>626</v>
      </c>
      <c r="B24" s="607" t="s">
        <v>649</v>
      </c>
      <c r="C24" s="607" t="s">
        <v>650</v>
      </c>
      <c r="D24" s="233">
        <f>1620</f>
        <v>1620</v>
      </c>
      <c r="E24" s="233">
        <f>F24-D24</f>
        <v>200</v>
      </c>
      <c r="F24" s="233">
        <v>1820</v>
      </c>
      <c r="J24" s="590"/>
    </row>
    <row r="25" spans="1:10" s="609" customFormat="1" ht="32.25" customHeight="1">
      <c r="A25" s="608" t="s">
        <v>626</v>
      </c>
      <c r="B25" s="607" t="s">
        <v>651</v>
      </c>
      <c r="C25" s="607" t="s">
        <v>652</v>
      </c>
      <c r="D25" s="233">
        <f>7113+500</f>
        <v>7613</v>
      </c>
      <c r="E25" s="233">
        <f>F25-D25</f>
        <v>-440</v>
      </c>
      <c r="F25" s="233">
        <f>7613-300-140</f>
        <v>7173</v>
      </c>
      <c r="J25" s="590"/>
    </row>
    <row r="26" spans="1:10" s="609" customFormat="1" ht="21.75" customHeight="1">
      <c r="A26" s="608" t="s">
        <v>626</v>
      </c>
      <c r="B26" s="607" t="s">
        <v>653</v>
      </c>
      <c r="C26" s="607" t="s">
        <v>654</v>
      </c>
      <c r="D26" s="233">
        <f>472</f>
        <v>472</v>
      </c>
      <c r="E26" s="233">
        <f>F26-D26</f>
        <v>28</v>
      </c>
      <c r="F26" s="233">
        <v>500</v>
      </c>
      <c r="J26" s="590"/>
    </row>
    <row r="27" spans="1:10" s="609" customFormat="1" ht="15">
      <c r="A27" s="608" t="s">
        <v>620</v>
      </c>
      <c r="B27" s="607" t="s">
        <v>655</v>
      </c>
      <c r="C27" s="607" t="s">
        <v>656</v>
      </c>
      <c r="D27" s="233">
        <f>D29</f>
        <v>3343</v>
      </c>
      <c r="E27" s="233">
        <f>E29</f>
        <v>258</v>
      </c>
      <c r="F27" s="233">
        <f>F29</f>
        <v>3601</v>
      </c>
      <c r="J27" s="590"/>
    </row>
    <row r="28" spans="1:10" s="609" customFormat="1" ht="30" customHeight="1" hidden="1">
      <c r="A28" s="608"/>
      <c r="B28" s="607" t="s">
        <v>657</v>
      </c>
      <c r="C28" s="607" t="s">
        <v>658</v>
      </c>
      <c r="D28" s="233"/>
      <c r="E28" s="233"/>
      <c r="F28" s="233"/>
      <c r="J28" s="590"/>
    </row>
    <row r="29" spans="1:10" s="611" customFormat="1" ht="15">
      <c r="A29" s="608" t="s">
        <v>626</v>
      </c>
      <c r="B29" s="607" t="s">
        <v>659</v>
      </c>
      <c r="C29" s="607" t="s">
        <v>660</v>
      </c>
      <c r="D29" s="233">
        <f>SUM(D30:D31)</f>
        <v>3343</v>
      </c>
      <c r="E29" s="233">
        <f>SUM(E30:E31)</f>
        <v>258</v>
      </c>
      <c r="F29" s="233">
        <f>SUM(F30:F31)</f>
        <v>3601</v>
      </c>
      <c r="J29" s="590"/>
    </row>
    <row r="30" spans="1:10" s="609" customFormat="1" ht="34.5" customHeight="1">
      <c r="A30" s="608" t="s">
        <v>626</v>
      </c>
      <c r="B30" s="607" t="s">
        <v>661</v>
      </c>
      <c r="C30" s="607" t="s">
        <v>662</v>
      </c>
      <c r="D30" s="233">
        <f>2242+500+600</f>
        <v>3342</v>
      </c>
      <c r="E30" s="233">
        <f aca="true" t="shared" si="0" ref="E30:E36">F30-D30</f>
        <v>258.75</v>
      </c>
      <c r="F30" s="233">
        <v>3600.75</v>
      </c>
      <c r="J30" s="590"/>
    </row>
    <row r="31" spans="1:10" s="609" customFormat="1" ht="33.75" customHeight="1">
      <c r="A31" s="608" t="s">
        <v>626</v>
      </c>
      <c r="B31" s="607" t="s">
        <v>663</v>
      </c>
      <c r="C31" s="607" t="s">
        <v>664</v>
      </c>
      <c r="D31" s="233">
        <v>1</v>
      </c>
      <c r="E31" s="233">
        <f t="shared" si="0"/>
        <v>-0.75</v>
      </c>
      <c r="F31" s="233">
        <v>0.25</v>
      </c>
      <c r="J31" s="590"/>
    </row>
    <row r="32" spans="1:10" s="611" customFormat="1" ht="15" customHeight="1" hidden="1">
      <c r="A32" s="608" t="s">
        <v>626</v>
      </c>
      <c r="B32" s="607" t="s">
        <v>665</v>
      </c>
      <c r="C32" s="607" t="s">
        <v>666</v>
      </c>
      <c r="D32" s="233">
        <v>0</v>
      </c>
      <c r="E32" s="233">
        <f t="shared" si="0"/>
        <v>0</v>
      </c>
      <c r="F32" s="233">
        <v>0</v>
      </c>
      <c r="J32" s="590"/>
    </row>
    <row r="33" spans="1:10" s="609" customFormat="1" ht="15" customHeight="1" hidden="1">
      <c r="A33" s="608" t="s">
        <v>626</v>
      </c>
      <c r="B33" s="607" t="s">
        <v>667</v>
      </c>
      <c r="C33" s="607" t="s">
        <v>668</v>
      </c>
      <c r="D33" s="233">
        <v>0</v>
      </c>
      <c r="E33" s="233">
        <f t="shared" si="0"/>
        <v>0</v>
      </c>
      <c r="F33" s="233">
        <v>0</v>
      </c>
      <c r="J33" s="590"/>
    </row>
    <row r="34" spans="1:10" s="609" customFormat="1" ht="15" customHeight="1" hidden="1">
      <c r="A34" s="608" t="s">
        <v>626</v>
      </c>
      <c r="B34" s="607" t="s">
        <v>669</v>
      </c>
      <c r="C34" s="607" t="s">
        <v>670</v>
      </c>
      <c r="D34" s="233">
        <v>0</v>
      </c>
      <c r="E34" s="233">
        <f t="shared" si="0"/>
        <v>0</v>
      </c>
      <c r="F34" s="233">
        <v>0</v>
      </c>
      <c r="J34" s="590"/>
    </row>
    <row r="35" spans="1:10" s="609" customFormat="1" ht="30" customHeight="1" hidden="1">
      <c r="A35" s="608"/>
      <c r="B35" s="607" t="s">
        <v>671</v>
      </c>
      <c r="C35" s="607" t="s">
        <v>672</v>
      </c>
      <c r="D35" s="233"/>
      <c r="E35" s="233">
        <f t="shared" si="0"/>
        <v>0</v>
      </c>
      <c r="F35" s="233"/>
      <c r="J35" s="590"/>
    </row>
    <row r="36" spans="1:10" s="609" customFormat="1" ht="30" customHeight="1" hidden="1">
      <c r="A36" s="608"/>
      <c r="B36" s="607" t="s">
        <v>673</v>
      </c>
      <c r="C36" s="607" t="s">
        <v>674</v>
      </c>
      <c r="D36" s="233"/>
      <c r="E36" s="233">
        <f t="shared" si="0"/>
        <v>0</v>
      </c>
      <c r="F36" s="233"/>
      <c r="J36" s="590"/>
    </row>
    <row r="37" spans="1:10" s="609" customFormat="1" ht="36.75" customHeight="1">
      <c r="A37" s="608" t="s">
        <v>620</v>
      </c>
      <c r="B37" s="607" t="s">
        <v>675</v>
      </c>
      <c r="C37" s="607" t="s">
        <v>676</v>
      </c>
      <c r="D37" s="233">
        <f aca="true" t="shared" si="1" ref="D37:F38">SUM(D38)</f>
        <v>150</v>
      </c>
      <c r="E37" s="233">
        <f t="shared" si="1"/>
        <v>-128</v>
      </c>
      <c r="F37" s="233">
        <f t="shared" si="1"/>
        <v>22</v>
      </c>
      <c r="J37" s="590"/>
    </row>
    <row r="38" spans="1:10" s="609" customFormat="1" ht="15">
      <c r="A38" s="608" t="s">
        <v>626</v>
      </c>
      <c r="B38" s="607" t="s">
        <v>677</v>
      </c>
      <c r="C38" s="607" t="s">
        <v>678</v>
      </c>
      <c r="D38" s="233">
        <f t="shared" si="1"/>
        <v>150</v>
      </c>
      <c r="E38" s="233">
        <f t="shared" si="1"/>
        <v>-128</v>
      </c>
      <c r="F38" s="233">
        <f t="shared" si="1"/>
        <v>22</v>
      </c>
      <c r="J38" s="590"/>
    </row>
    <row r="39" spans="1:10" s="609" customFormat="1" ht="35.25" customHeight="1">
      <c r="A39" s="608" t="s">
        <v>626</v>
      </c>
      <c r="B39" s="607" t="s">
        <v>679</v>
      </c>
      <c r="C39" s="607" t="s">
        <v>680</v>
      </c>
      <c r="D39" s="233">
        <v>150</v>
      </c>
      <c r="E39" s="233">
        <f>F39-D39</f>
        <v>-128</v>
      </c>
      <c r="F39" s="233">
        <v>22</v>
      </c>
      <c r="J39" s="590"/>
    </row>
    <row r="40" spans="1:10" s="609" customFormat="1" ht="45" customHeight="1" hidden="1">
      <c r="A40" s="608"/>
      <c r="B40" s="607" t="s">
        <v>681</v>
      </c>
      <c r="C40" s="607" t="s">
        <v>682</v>
      </c>
      <c r="D40" s="233"/>
      <c r="E40" s="233">
        <f>F40-D40</f>
        <v>0</v>
      </c>
      <c r="F40" s="233"/>
      <c r="J40" s="590"/>
    </row>
    <row r="41" spans="1:10" s="609" customFormat="1" ht="30" customHeight="1" hidden="1">
      <c r="A41" s="608"/>
      <c r="B41" s="607" t="s">
        <v>683</v>
      </c>
      <c r="C41" s="607" t="s">
        <v>684</v>
      </c>
      <c r="D41" s="233">
        <v>0</v>
      </c>
      <c r="E41" s="233">
        <f>F41-D41</f>
        <v>0</v>
      </c>
      <c r="F41" s="233">
        <v>0</v>
      </c>
      <c r="J41" s="590"/>
    </row>
    <row r="42" spans="1:10" s="609" customFormat="1" ht="30" customHeight="1" hidden="1">
      <c r="A42" s="608"/>
      <c r="B42" s="607" t="s">
        <v>685</v>
      </c>
      <c r="C42" s="607" t="s">
        <v>686</v>
      </c>
      <c r="D42" s="233"/>
      <c r="E42" s="233">
        <f>F42-D42</f>
        <v>0</v>
      </c>
      <c r="F42" s="233"/>
      <c r="J42" s="590"/>
    </row>
    <row r="43" spans="1:10" s="609" customFormat="1" ht="15">
      <c r="A43" s="608" t="s">
        <v>620</v>
      </c>
      <c r="B43" s="607" t="s">
        <v>687</v>
      </c>
      <c r="C43" s="607" t="s">
        <v>688</v>
      </c>
      <c r="D43" s="233">
        <f>D44+D47</f>
        <v>4280</v>
      </c>
      <c r="E43" s="233">
        <f>E44+E47</f>
        <v>-543.96</v>
      </c>
      <c r="F43" s="233">
        <f>F44+F47</f>
        <v>3736.04</v>
      </c>
      <c r="J43" s="590"/>
    </row>
    <row r="44" spans="1:10" s="609" customFormat="1" ht="39" customHeight="1">
      <c r="A44" s="608" t="s">
        <v>620</v>
      </c>
      <c r="B44" s="607" t="s">
        <v>689</v>
      </c>
      <c r="C44" s="607" t="s">
        <v>690</v>
      </c>
      <c r="D44" s="233">
        <f>SUM(D45)</f>
        <v>900</v>
      </c>
      <c r="E44" s="233">
        <f>SUM(E45)</f>
        <v>-109.96000000000004</v>
      </c>
      <c r="F44" s="233">
        <f>SUM(F45)</f>
        <v>790.04</v>
      </c>
      <c r="J44" s="590"/>
    </row>
    <row r="45" spans="1:10" s="609" customFormat="1" ht="54" customHeight="1">
      <c r="A45" s="608" t="s">
        <v>626</v>
      </c>
      <c r="B45" s="607" t="s">
        <v>691</v>
      </c>
      <c r="C45" s="607" t="s">
        <v>692</v>
      </c>
      <c r="D45" s="233">
        <f>500+300+100</f>
        <v>900</v>
      </c>
      <c r="E45" s="233">
        <f>F45-D45</f>
        <v>-109.96000000000004</v>
      </c>
      <c r="F45" s="233">
        <f>785+5.04</f>
        <v>790.04</v>
      </c>
      <c r="J45" s="590"/>
    </row>
    <row r="46" spans="1:10" s="609" customFormat="1" ht="45" customHeight="1" hidden="1">
      <c r="A46" s="608"/>
      <c r="B46" s="607" t="s">
        <v>693</v>
      </c>
      <c r="C46" s="607" t="s">
        <v>694</v>
      </c>
      <c r="D46" s="233">
        <v>0</v>
      </c>
      <c r="E46" s="233">
        <f>F46-D46</f>
        <v>0</v>
      </c>
      <c r="F46" s="233">
        <v>0</v>
      </c>
      <c r="J46" s="590"/>
    </row>
    <row r="47" spans="1:10" s="613" customFormat="1" ht="51" customHeight="1">
      <c r="A47" s="608" t="s">
        <v>620</v>
      </c>
      <c r="B47" s="607" t="s">
        <v>695</v>
      </c>
      <c r="C47" s="607" t="s">
        <v>696</v>
      </c>
      <c r="D47" s="233">
        <f>SUM(D48:D49)+D50</f>
        <v>3380</v>
      </c>
      <c r="E47" s="233">
        <f>SUM(E48:E49)+E50</f>
        <v>-434</v>
      </c>
      <c r="F47" s="233">
        <f>SUM(F48:F49)+F50</f>
        <v>2946</v>
      </c>
      <c r="J47" s="590"/>
    </row>
    <row r="48" spans="1:10" s="613" customFormat="1" ht="84" customHeight="1">
      <c r="A48" s="612" t="s">
        <v>266</v>
      </c>
      <c r="B48" s="607" t="s">
        <v>697</v>
      </c>
      <c r="C48" s="607" t="s">
        <v>698</v>
      </c>
      <c r="D48" s="233">
        <v>1480</v>
      </c>
      <c r="E48" s="233">
        <f>F48-D48</f>
        <v>260</v>
      </c>
      <c r="F48" s="233">
        <f>1600+140</f>
        <v>1740</v>
      </c>
      <c r="J48" s="590"/>
    </row>
    <row r="49" spans="1:10" s="609" customFormat="1" ht="105.75" customHeight="1">
      <c r="A49" s="608" t="s">
        <v>620</v>
      </c>
      <c r="B49" s="607" t="s">
        <v>699</v>
      </c>
      <c r="C49" s="607" t="s">
        <v>700</v>
      </c>
      <c r="D49" s="233">
        <f>1000+800+100</f>
        <v>1900</v>
      </c>
      <c r="E49" s="233">
        <f>F49-D49</f>
        <v>-700</v>
      </c>
      <c r="F49" s="233">
        <v>1200</v>
      </c>
      <c r="J49" s="590"/>
    </row>
    <row r="50" spans="1:10" s="609" customFormat="1" ht="33" customHeight="1">
      <c r="A50" s="612" t="s">
        <v>266</v>
      </c>
      <c r="B50" s="607" t="s">
        <v>1091</v>
      </c>
      <c r="C50" s="607" t="s">
        <v>1092</v>
      </c>
      <c r="D50" s="233">
        <v>0</v>
      </c>
      <c r="E50" s="233">
        <f>F50-D50</f>
        <v>6</v>
      </c>
      <c r="F50" s="233">
        <v>6</v>
      </c>
      <c r="J50" s="590"/>
    </row>
    <row r="51" spans="1:10" s="609" customFormat="1" ht="15" customHeight="1">
      <c r="A51" s="608"/>
      <c r="B51" s="607"/>
      <c r="C51" s="607" t="s">
        <v>701</v>
      </c>
      <c r="D51" s="233">
        <f>D52+D60+D62+D65+D70+D73+D88</f>
        <v>17388.093380000002</v>
      </c>
      <c r="E51" s="233">
        <f>E52+E60+E62+E65+E70+E73+E88</f>
        <v>912.7687299999998</v>
      </c>
      <c r="F51" s="233">
        <f>F52+F60+F62+F65+F70+F73+F88</f>
        <v>18300.86211</v>
      </c>
      <c r="J51" s="590"/>
    </row>
    <row r="52" spans="1:10" s="609" customFormat="1" ht="52.5" customHeight="1">
      <c r="A52" s="608" t="s">
        <v>620</v>
      </c>
      <c r="B52" s="607" t="s">
        <v>702</v>
      </c>
      <c r="C52" s="607" t="s">
        <v>703</v>
      </c>
      <c r="D52" s="233">
        <f>D53+D55</f>
        <v>1341.76826</v>
      </c>
      <c r="E52" s="233">
        <f>E53+E55</f>
        <v>0</v>
      </c>
      <c r="F52" s="233">
        <f>F53+F55</f>
        <v>1341.76826</v>
      </c>
      <c r="J52" s="590"/>
    </row>
    <row r="53" spans="1:10" s="609" customFormat="1" ht="30">
      <c r="A53" s="608" t="s">
        <v>620</v>
      </c>
      <c r="B53" s="607" t="s">
        <v>704</v>
      </c>
      <c r="C53" s="607" t="s">
        <v>705</v>
      </c>
      <c r="D53" s="233">
        <v>48.95345</v>
      </c>
      <c r="E53" s="233">
        <f aca="true" t="shared" si="2" ref="E53:E59">F53-D53</f>
        <v>0</v>
      </c>
      <c r="F53" s="233">
        <v>48.95345</v>
      </c>
      <c r="J53" s="590"/>
    </row>
    <row r="54" spans="1:10" s="609" customFormat="1" ht="54" customHeight="1">
      <c r="A54" s="608" t="s">
        <v>266</v>
      </c>
      <c r="B54" s="607" t="s">
        <v>706</v>
      </c>
      <c r="C54" s="607" t="s">
        <v>707</v>
      </c>
      <c r="D54" s="233">
        <v>48.95345</v>
      </c>
      <c r="E54" s="233">
        <f t="shared" si="2"/>
        <v>0</v>
      </c>
      <c r="F54" s="233">
        <v>48.95345</v>
      </c>
      <c r="J54" s="590"/>
    </row>
    <row r="55" spans="1:10" s="609" customFormat="1" ht="101.25" customHeight="1">
      <c r="A55" s="608" t="s">
        <v>620</v>
      </c>
      <c r="B55" s="607" t="s">
        <v>708</v>
      </c>
      <c r="C55" s="607" t="s">
        <v>709</v>
      </c>
      <c r="D55" s="233">
        <f>D56+D58</f>
        <v>1292.81481</v>
      </c>
      <c r="E55" s="233">
        <f t="shared" si="2"/>
        <v>0</v>
      </c>
      <c r="F55" s="233">
        <f>F56+F58</f>
        <v>1292.81481</v>
      </c>
      <c r="J55" s="590"/>
    </row>
    <row r="56" spans="1:10" s="609" customFormat="1" ht="75.75" customHeight="1">
      <c r="A56" s="608" t="s">
        <v>620</v>
      </c>
      <c r="B56" s="607" t="s">
        <v>710</v>
      </c>
      <c r="C56" s="607" t="s">
        <v>711</v>
      </c>
      <c r="D56" s="233">
        <f>SUM(D57)</f>
        <v>849.71481</v>
      </c>
      <c r="E56" s="233">
        <f t="shared" si="2"/>
        <v>0</v>
      </c>
      <c r="F56" s="233">
        <f>SUM(F57)</f>
        <v>849.71481</v>
      </c>
      <c r="J56" s="590"/>
    </row>
    <row r="57" spans="1:10" s="609" customFormat="1" ht="98.25" customHeight="1">
      <c r="A57" s="608" t="s">
        <v>266</v>
      </c>
      <c r="B57" s="607" t="s">
        <v>712</v>
      </c>
      <c r="C57" s="607" t="s">
        <v>713</v>
      </c>
      <c r="D57" s="233">
        <v>849.71481</v>
      </c>
      <c r="E57" s="233">
        <f t="shared" si="2"/>
        <v>0</v>
      </c>
      <c r="F57" s="233">
        <v>849.71481</v>
      </c>
      <c r="J57" s="590"/>
    </row>
    <row r="58" spans="1:10" s="609" customFormat="1" ht="104.25" customHeight="1">
      <c r="A58" s="608" t="s">
        <v>620</v>
      </c>
      <c r="B58" s="607" t="s">
        <v>714</v>
      </c>
      <c r="C58" s="607" t="s">
        <v>715</v>
      </c>
      <c r="D58" s="233">
        <f>SUM(D59)</f>
        <v>443.1</v>
      </c>
      <c r="E58" s="233">
        <f t="shared" si="2"/>
        <v>0</v>
      </c>
      <c r="F58" s="233">
        <f>SUM(F59)</f>
        <v>443.1</v>
      </c>
      <c r="J58" s="590"/>
    </row>
    <row r="59" spans="1:10" s="609" customFormat="1" ht="83.25" customHeight="1">
      <c r="A59" s="608" t="s">
        <v>266</v>
      </c>
      <c r="B59" s="607" t="s">
        <v>716</v>
      </c>
      <c r="C59" s="607" t="s">
        <v>717</v>
      </c>
      <c r="D59" s="233">
        <v>443.1</v>
      </c>
      <c r="E59" s="233">
        <f t="shared" si="2"/>
        <v>0</v>
      </c>
      <c r="F59" s="233">
        <v>443.1</v>
      </c>
      <c r="J59" s="590"/>
    </row>
    <row r="60" spans="1:10" s="609" customFormat="1" ht="36.75" customHeight="1">
      <c r="A60" s="608" t="s">
        <v>620</v>
      </c>
      <c r="B60" s="607" t="s">
        <v>718</v>
      </c>
      <c r="C60" s="607" t="s">
        <v>719</v>
      </c>
      <c r="D60" s="233">
        <f>SUM(D61)</f>
        <v>100</v>
      </c>
      <c r="E60" s="233">
        <f>SUM(E61)</f>
        <v>80</v>
      </c>
      <c r="F60" s="233">
        <f>SUM(F61)</f>
        <v>180</v>
      </c>
      <c r="J60" s="590"/>
    </row>
    <row r="61" spans="1:10" s="609" customFormat="1" ht="29.25" customHeight="1">
      <c r="A61" s="608" t="s">
        <v>720</v>
      </c>
      <c r="B61" s="607" t="s">
        <v>721</v>
      </c>
      <c r="C61" s="607" t="s">
        <v>722</v>
      </c>
      <c r="D61" s="233">
        <v>100</v>
      </c>
      <c r="E61" s="233">
        <f>F61-D61</f>
        <v>80</v>
      </c>
      <c r="F61" s="233">
        <v>180</v>
      </c>
      <c r="J61" s="590"/>
    </row>
    <row r="62" spans="1:10" s="609" customFormat="1" ht="43.5" customHeight="1">
      <c r="A62" s="608" t="s">
        <v>620</v>
      </c>
      <c r="B62" s="607" t="s">
        <v>723</v>
      </c>
      <c r="C62" s="607" t="s">
        <v>724</v>
      </c>
      <c r="D62" s="233">
        <f>D63</f>
        <v>10920.77712</v>
      </c>
      <c r="E62" s="233">
        <f>E63</f>
        <v>1262.0187299999998</v>
      </c>
      <c r="F62" s="233">
        <f>F63</f>
        <v>12182.79585</v>
      </c>
      <c r="J62" s="590"/>
    </row>
    <row r="63" spans="1:10" s="609" customFormat="1" ht="30">
      <c r="A63" s="608" t="s">
        <v>620</v>
      </c>
      <c r="B63" s="607" t="s">
        <v>725</v>
      </c>
      <c r="C63" s="607" t="s">
        <v>726</v>
      </c>
      <c r="D63" s="233">
        <f>SUM(D64)</f>
        <v>10920.77712</v>
      </c>
      <c r="E63" s="233">
        <f aca="true" t="shared" si="3" ref="E63:E78">F63-D63</f>
        <v>1262.0187299999998</v>
      </c>
      <c r="F63" s="233">
        <f>SUM(F64)</f>
        <v>12182.79585</v>
      </c>
      <c r="J63" s="590"/>
    </row>
    <row r="64" spans="1:10" s="609" customFormat="1" ht="59.25" customHeight="1">
      <c r="A64" s="608" t="s">
        <v>266</v>
      </c>
      <c r="B64" s="607" t="s">
        <v>727</v>
      </c>
      <c r="C64" s="607" t="s">
        <v>728</v>
      </c>
      <c r="D64" s="445">
        <f>10226.59+694.17712+0.01</f>
        <v>10920.77712</v>
      </c>
      <c r="E64" s="233">
        <f t="shared" si="3"/>
        <v>1262.0187299999998</v>
      </c>
      <c r="F64" s="445">
        <f>3816.78585+3200+38+5128+0.01</f>
        <v>12182.79585</v>
      </c>
      <c r="J64" s="590"/>
    </row>
    <row r="65" spans="1:10" s="609" customFormat="1" ht="41.25" customHeight="1">
      <c r="A65" s="608" t="s">
        <v>620</v>
      </c>
      <c r="B65" s="607" t="s">
        <v>729</v>
      </c>
      <c r="C65" s="607" t="s">
        <v>730</v>
      </c>
      <c r="D65" s="233">
        <f>D66+D68</f>
        <v>1800</v>
      </c>
      <c r="E65" s="233">
        <f t="shared" si="3"/>
        <v>-400</v>
      </c>
      <c r="F65" s="233">
        <f>F66+F68</f>
        <v>1400</v>
      </c>
      <c r="J65" s="590"/>
    </row>
    <row r="66" spans="1:10" s="609" customFormat="1" ht="80.25" customHeight="1">
      <c r="A66" s="608" t="s">
        <v>620</v>
      </c>
      <c r="B66" s="607" t="s">
        <v>731</v>
      </c>
      <c r="C66" s="607" t="s">
        <v>732</v>
      </c>
      <c r="D66" s="233">
        <f>SUM(D67)</f>
        <v>800</v>
      </c>
      <c r="E66" s="233">
        <f t="shared" si="3"/>
        <v>-400</v>
      </c>
      <c r="F66" s="233">
        <f>SUM(F67)</f>
        <v>400</v>
      </c>
      <c r="J66" s="590"/>
    </row>
    <row r="67" spans="1:10" s="609" customFormat="1" ht="95.25" customHeight="1">
      <c r="A67" s="608" t="s">
        <v>620</v>
      </c>
      <c r="B67" s="607" t="s">
        <v>945</v>
      </c>
      <c r="C67" s="607" t="s">
        <v>733</v>
      </c>
      <c r="D67" s="233">
        <f>500+300</f>
        <v>800</v>
      </c>
      <c r="E67" s="233">
        <f t="shared" si="3"/>
        <v>-400</v>
      </c>
      <c r="F67" s="233">
        <v>400</v>
      </c>
      <c r="J67" s="590"/>
    </row>
    <row r="68" spans="1:10" s="609" customFormat="1" ht="72" customHeight="1">
      <c r="A68" s="608" t="s">
        <v>620</v>
      </c>
      <c r="B68" s="607" t="s">
        <v>734</v>
      </c>
      <c r="C68" s="607" t="s">
        <v>735</v>
      </c>
      <c r="D68" s="233">
        <f>SUM(D69)</f>
        <v>1000</v>
      </c>
      <c r="E68" s="233">
        <f t="shared" si="3"/>
        <v>0</v>
      </c>
      <c r="F68" s="233">
        <f>SUM(F69)</f>
        <v>1000</v>
      </c>
      <c r="J68" s="590"/>
    </row>
    <row r="69" spans="1:10" s="609" customFormat="1" ht="66" customHeight="1">
      <c r="A69" s="608" t="s">
        <v>266</v>
      </c>
      <c r="B69" s="607" t="s">
        <v>736</v>
      </c>
      <c r="C69" s="607" t="s">
        <v>737</v>
      </c>
      <c r="D69" s="233">
        <f>1000</f>
        <v>1000</v>
      </c>
      <c r="E69" s="233">
        <f t="shared" si="3"/>
        <v>0</v>
      </c>
      <c r="F69" s="233">
        <f>1000</f>
        <v>1000</v>
      </c>
      <c r="J69" s="590"/>
    </row>
    <row r="70" spans="1:10" s="609" customFormat="1" ht="15">
      <c r="A70" s="608" t="s">
        <v>620</v>
      </c>
      <c r="B70" s="607" t="s">
        <v>738</v>
      </c>
      <c r="C70" s="607" t="s">
        <v>739</v>
      </c>
      <c r="D70" s="233">
        <f>SUM(D71)</f>
        <v>30</v>
      </c>
      <c r="E70" s="233">
        <f t="shared" si="3"/>
        <v>-29.25</v>
      </c>
      <c r="F70" s="233">
        <f>SUM(F71)</f>
        <v>0.75</v>
      </c>
      <c r="J70" s="590"/>
    </row>
    <row r="71" spans="1:10" s="609" customFormat="1" ht="51" customHeight="1">
      <c r="A71" s="608" t="s">
        <v>620</v>
      </c>
      <c r="B71" s="607" t="s">
        <v>740</v>
      </c>
      <c r="C71" s="607" t="s">
        <v>741</v>
      </c>
      <c r="D71" s="233">
        <f>SUM(D72)</f>
        <v>30</v>
      </c>
      <c r="E71" s="233">
        <f t="shared" si="3"/>
        <v>-29.25</v>
      </c>
      <c r="F71" s="233">
        <f>SUM(F72)</f>
        <v>0.75</v>
      </c>
      <c r="J71" s="590"/>
    </row>
    <row r="72" spans="1:10" s="609" customFormat="1" ht="37.5" customHeight="1">
      <c r="A72" s="608" t="s">
        <v>266</v>
      </c>
      <c r="B72" s="607" t="s">
        <v>742</v>
      </c>
      <c r="C72" s="607" t="s">
        <v>743</v>
      </c>
      <c r="D72" s="233">
        <v>30</v>
      </c>
      <c r="E72" s="233">
        <f t="shared" si="3"/>
        <v>-29.25</v>
      </c>
      <c r="F72" s="233">
        <v>0.75</v>
      </c>
      <c r="J72" s="590"/>
    </row>
    <row r="73" spans="1:10" s="609" customFormat="1" ht="33" customHeight="1">
      <c r="A73" s="608" t="s">
        <v>620</v>
      </c>
      <c r="B73" s="607" t="s">
        <v>744</v>
      </c>
      <c r="C73" s="607" t="s">
        <v>745</v>
      </c>
      <c r="D73" s="233">
        <f>SUM(D74:D87)-D74-D79</f>
        <v>2445</v>
      </c>
      <c r="E73" s="233">
        <f t="shared" si="3"/>
        <v>0</v>
      </c>
      <c r="F73" s="233">
        <f>SUM(F74:F87)-F74-F79</f>
        <v>2445</v>
      </c>
      <c r="J73" s="590"/>
    </row>
    <row r="74" spans="1:10" s="609" customFormat="1" ht="37.5" customHeight="1">
      <c r="A74" s="608" t="s">
        <v>620</v>
      </c>
      <c r="B74" s="607" t="s">
        <v>746</v>
      </c>
      <c r="C74" s="607" t="s">
        <v>747</v>
      </c>
      <c r="D74" s="233">
        <f>SUM(D75:D76)</f>
        <v>50</v>
      </c>
      <c r="E74" s="233">
        <f t="shared" si="3"/>
        <v>0</v>
      </c>
      <c r="F74" s="233">
        <f>SUM(F75:F76)</f>
        <v>50</v>
      </c>
      <c r="J74" s="590"/>
    </row>
    <row r="75" spans="1:10" s="609" customFormat="1" ht="81.75" customHeight="1">
      <c r="A75" s="608" t="s">
        <v>626</v>
      </c>
      <c r="B75" s="607" t="s">
        <v>748</v>
      </c>
      <c r="C75" s="607" t="s">
        <v>749</v>
      </c>
      <c r="D75" s="233">
        <v>15</v>
      </c>
      <c r="E75" s="233">
        <f t="shared" si="3"/>
        <v>5</v>
      </c>
      <c r="F75" s="233">
        <v>20</v>
      </c>
      <c r="J75" s="590"/>
    </row>
    <row r="76" spans="1:10" s="609" customFormat="1" ht="69.75" customHeight="1">
      <c r="A76" s="608" t="s">
        <v>626</v>
      </c>
      <c r="B76" s="607" t="s">
        <v>750</v>
      </c>
      <c r="C76" s="607" t="s">
        <v>751</v>
      </c>
      <c r="D76" s="233">
        <v>35</v>
      </c>
      <c r="E76" s="233">
        <f t="shared" si="3"/>
        <v>-5</v>
      </c>
      <c r="F76" s="233">
        <v>30</v>
      </c>
      <c r="J76" s="590"/>
    </row>
    <row r="77" spans="1:10" s="609" customFormat="1" ht="86.25" customHeight="1">
      <c r="A77" s="608" t="s">
        <v>620</v>
      </c>
      <c r="B77" s="607" t="s">
        <v>752</v>
      </c>
      <c r="C77" s="607" t="s">
        <v>753</v>
      </c>
      <c r="D77" s="233">
        <v>75</v>
      </c>
      <c r="E77" s="233">
        <f t="shared" si="3"/>
        <v>35</v>
      </c>
      <c r="F77" s="233">
        <v>110</v>
      </c>
      <c r="J77" s="590"/>
    </row>
    <row r="78" spans="1:10" s="609" customFormat="1" ht="91.5" customHeight="1">
      <c r="A78" s="608" t="s">
        <v>620</v>
      </c>
      <c r="B78" s="607" t="s">
        <v>754</v>
      </c>
      <c r="C78" s="607" t="s">
        <v>755</v>
      </c>
      <c r="D78" s="233">
        <v>45</v>
      </c>
      <c r="E78" s="233">
        <f t="shared" si="3"/>
        <v>-45</v>
      </c>
      <c r="F78" s="233">
        <v>0</v>
      </c>
      <c r="J78" s="590"/>
    </row>
    <row r="79" spans="1:10" s="609" customFormat="1" ht="123" customHeight="1">
      <c r="A79" s="608" t="s">
        <v>620</v>
      </c>
      <c r="B79" s="607" t="s">
        <v>756</v>
      </c>
      <c r="C79" s="607" t="s">
        <v>757</v>
      </c>
      <c r="D79" s="233">
        <f>SUM(D80:D83)</f>
        <v>55</v>
      </c>
      <c r="E79" s="233">
        <f>SUM(E80:E83)</f>
        <v>-34</v>
      </c>
      <c r="F79" s="233">
        <f>SUM(F80:F83)</f>
        <v>21</v>
      </c>
      <c r="J79" s="590"/>
    </row>
    <row r="80" spans="1:10" s="609" customFormat="1" ht="30">
      <c r="A80" s="608" t="s">
        <v>620</v>
      </c>
      <c r="B80" s="607" t="s">
        <v>758</v>
      </c>
      <c r="C80" s="607" t="s">
        <v>759</v>
      </c>
      <c r="D80" s="233">
        <v>35</v>
      </c>
      <c r="E80" s="233">
        <f aca="true" t="shared" si="4" ref="E80:E87">F80-D80</f>
        <v>-35</v>
      </c>
      <c r="F80" s="233">
        <v>0</v>
      </c>
      <c r="J80" s="590"/>
    </row>
    <row r="81" spans="1:10" s="609" customFormat="1" ht="55.5" customHeight="1">
      <c r="A81" s="608" t="s">
        <v>620</v>
      </c>
      <c r="B81" s="607" t="s">
        <v>760</v>
      </c>
      <c r="C81" s="607" t="s">
        <v>761</v>
      </c>
      <c r="D81" s="233">
        <v>10</v>
      </c>
      <c r="E81" s="233">
        <f t="shared" si="4"/>
        <v>-3.5</v>
      </c>
      <c r="F81" s="233">
        <v>6.5</v>
      </c>
      <c r="J81" s="590"/>
    </row>
    <row r="82" spans="1:10" s="609" customFormat="1" ht="30.75" customHeight="1">
      <c r="A82" s="608" t="s">
        <v>620</v>
      </c>
      <c r="B82" s="607" t="s">
        <v>762</v>
      </c>
      <c r="C82" s="607" t="s">
        <v>763</v>
      </c>
      <c r="D82" s="233"/>
      <c r="E82" s="233">
        <f t="shared" si="4"/>
        <v>0</v>
      </c>
      <c r="F82" s="233"/>
      <c r="J82" s="590"/>
    </row>
    <row r="83" spans="1:10" s="609" customFormat="1" ht="37.5" customHeight="1">
      <c r="A83" s="608" t="s">
        <v>620</v>
      </c>
      <c r="B83" s="607" t="s">
        <v>764</v>
      </c>
      <c r="C83" s="607" t="s">
        <v>765</v>
      </c>
      <c r="D83" s="233">
        <v>10</v>
      </c>
      <c r="E83" s="233">
        <f t="shared" si="4"/>
        <v>4.5</v>
      </c>
      <c r="F83" s="233">
        <v>14.5</v>
      </c>
      <c r="J83" s="590"/>
    </row>
    <row r="84" spans="1:10" s="609" customFormat="1" ht="66.75" customHeight="1">
      <c r="A84" s="608" t="s">
        <v>620</v>
      </c>
      <c r="B84" s="607" t="s">
        <v>766</v>
      </c>
      <c r="C84" s="607" t="s">
        <v>767</v>
      </c>
      <c r="D84" s="233">
        <f>415</f>
        <v>415</v>
      </c>
      <c r="E84" s="233">
        <f t="shared" si="4"/>
        <v>-118.56</v>
      </c>
      <c r="F84" s="233">
        <f>300.5-4.06</f>
        <v>296.44</v>
      </c>
      <c r="J84" s="590"/>
    </row>
    <row r="85" spans="1:10" s="609" customFormat="1" ht="34.5" customHeight="1">
      <c r="A85" s="608" t="s">
        <v>620</v>
      </c>
      <c r="B85" s="607" t="s">
        <v>768</v>
      </c>
      <c r="C85" s="607" t="s">
        <v>769</v>
      </c>
      <c r="D85" s="233">
        <f>1000</f>
        <v>1000</v>
      </c>
      <c r="E85" s="233">
        <f t="shared" si="4"/>
        <v>60</v>
      </c>
      <c r="F85" s="233">
        <f>1000+60</f>
        <v>1060</v>
      </c>
      <c r="J85" s="590"/>
    </row>
    <row r="86" spans="1:10" s="609" customFormat="1" ht="67.5" customHeight="1">
      <c r="A86" s="608" t="s">
        <v>620</v>
      </c>
      <c r="B86" s="607" t="s">
        <v>770</v>
      </c>
      <c r="C86" s="607" t="s">
        <v>771</v>
      </c>
      <c r="D86" s="233">
        <v>60</v>
      </c>
      <c r="E86" s="233">
        <f t="shared" si="4"/>
        <v>-60</v>
      </c>
      <c r="F86" s="233">
        <v>0</v>
      </c>
      <c r="J86" s="590"/>
    </row>
    <row r="87" spans="1:10" s="609" customFormat="1" ht="46.5" customHeight="1">
      <c r="A87" s="608" t="s">
        <v>620</v>
      </c>
      <c r="B87" s="607" t="s">
        <v>772</v>
      </c>
      <c r="C87" s="607" t="s">
        <v>773</v>
      </c>
      <c r="D87" s="233">
        <v>745</v>
      </c>
      <c r="E87" s="233">
        <f t="shared" si="4"/>
        <v>162.55999999999995</v>
      </c>
      <c r="F87" s="233">
        <f>915-7.44</f>
        <v>907.56</v>
      </c>
      <c r="J87" s="590"/>
    </row>
    <row r="88" spans="1:10" s="609" customFormat="1" ht="22.5" customHeight="1">
      <c r="A88" s="608" t="s">
        <v>620</v>
      </c>
      <c r="B88" s="607" t="s">
        <v>774</v>
      </c>
      <c r="C88" s="607" t="s">
        <v>775</v>
      </c>
      <c r="D88" s="233">
        <f aca="true" t="shared" si="5" ref="D88:F89">SUM(D89)</f>
        <v>750.548</v>
      </c>
      <c r="E88" s="233">
        <f t="shared" si="5"/>
        <v>0</v>
      </c>
      <c r="F88" s="233">
        <f t="shared" si="5"/>
        <v>750.548</v>
      </c>
      <c r="J88" s="590"/>
    </row>
    <row r="89" spans="1:10" s="609" customFormat="1" ht="15">
      <c r="A89" s="608" t="s">
        <v>620</v>
      </c>
      <c r="B89" s="607" t="s">
        <v>776</v>
      </c>
      <c r="C89" s="607" t="s">
        <v>777</v>
      </c>
      <c r="D89" s="233">
        <f t="shared" si="5"/>
        <v>750.548</v>
      </c>
      <c r="E89" s="233">
        <f t="shared" si="5"/>
        <v>0</v>
      </c>
      <c r="F89" s="233">
        <f t="shared" si="5"/>
        <v>750.548</v>
      </c>
      <c r="J89" s="590"/>
    </row>
    <row r="90" spans="1:10" s="609" customFormat="1" ht="36" customHeight="1">
      <c r="A90" s="608" t="s">
        <v>266</v>
      </c>
      <c r="B90" s="607" t="s">
        <v>778</v>
      </c>
      <c r="C90" s="607" t="s">
        <v>779</v>
      </c>
      <c r="D90" s="233">
        <f>282.91+463.68+3.958</f>
        <v>750.548</v>
      </c>
      <c r="E90" s="233">
        <f>F90-D90</f>
        <v>0</v>
      </c>
      <c r="F90" s="233">
        <f>282.91+463.68+3.958</f>
        <v>750.548</v>
      </c>
      <c r="J90" s="590"/>
    </row>
    <row r="91" spans="1:10" s="609" customFormat="1" ht="15">
      <c r="A91" s="608" t="s">
        <v>620</v>
      </c>
      <c r="B91" s="607" t="s">
        <v>781</v>
      </c>
      <c r="C91" s="607" t="s">
        <v>782</v>
      </c>
      <c r="D91" s="233">
        <f>D92+D154+D155</f>
        <v>539402.18472</v>
      </c>
      <c r="E91" s="233">
        <f>E92+E154+E155</f>
        <v>21251.54269000001</v>
      </c>
      <c r="F91" s="233">
        <f>F92+F154+F155</f>
        <v>560653.72741</v>
      </c>
      <c r="J91" s="590"/>
    </row>
    <row r="92" spans="1:10" s="609" customFormat="1" ht="51" customHeight="1">
      <c r="A92" s="608" t="s">
        <v>620</v>
      </c>
      <c r="B92" s="607" t="s">
        <v>783</v>
      </c>
      <c r="C92" s="607" t="s">
        <v>784</v>
      </c>
      <c r="D92" s="233">
        <f>D93+D98+D119+D150</f>
        <v>540575.8539999999</v>
      </c>
      <c r="E92" s="233">
        <f>E93+E98+E119+E150</f>
        <v>21251.54269000001</v>
      </c>
      <c r="F92" s="233">
        <f>F93+F98+F119+F150</f>
        <v>561827.39669</v>
      </c>
      <c r="J92" s="590"/>
    </row>
    <row r="93" spans="1:10" s="609" customFormat="1" ht="35.25" customHeight="1">
      <c r="A93" s="608" t="s">
        <v>620</v>
      </c>
      <c r="B93" s="607" t="s">
        <v>785</v>
      </c>
      <c r="C93" s="607" t="s">
        <v>95</v>
      </c>
      <c r="D93" s="233">
        <f>D94+D97</f>
        <v>102003.7</v>
      </c>
      <c r="E93" s="233">
        <f>E94+E97</f>
        <v>8024.999999999998</v>
      </c>
      <c r="F93" s="233">
        <f>F94+F97</f>
        <v>110028.7</v>
      </c>
      <c r="J93" s="590"/>
    </row>
    <row r="94" spans="1:10" s="609" customFormat="1" ht="39" customHeight="1">
      <c r="A94" s="608" t="s">
        <v>266</v>
      </c>
      <c r="B94" s="607" t="s">
        <v>786</v>
      </c>
      <c r="C94" s="607" t="s">
        <v>787</v>
      </c>
      <c r="D94" s="233">
        <f>SUM(D95:D96)</f>
        <v>97634.68</v>
      </c>
      <c r="E94" s="233">
        <f>SUM(E95:E96)</f>
        <v>0</v>
      </c>
      <c r="F94" s="233">
        <f>SUM(F95:F96)</f>
        <v>97634.68</v>
      </c>
      <c r="J94" s="590"/>
    </row>
    <row r="95" spans="1:10" s="609" customFormat="1" ht="34.5" customHeight="1">
      <c r="A95" s="608"/>
      <c r="B95" s="607"/>
      <c r="C95" s="607" t="s">
        <v>788</v>
      </c>
      <c r="D95" s="234">
        <f>97634.68-4269.5</f>
        <v>93365.18</v>
      </c>
      <c r="E95" s="233">
        <f>F95-D95</f>
        <v>0</v>
      </c>
      <c r="F95" s="234">
        <f>97634.68-4269.5</f>
        <v>93365.18</v>
      </c>
      <c r="J95" s="590"/>
    </row>
    <row r="96" spans="1:10" s="609" customFormat="1" ht="46.5" customHeight="1">
      <c r="A96" s="608"/>
      <c r="B96" s="607"/>
      <c r="C96" s="607" t="s">
        <v>789</v>
      </c>
      <c r="D96" s="233">
        <v>4269.5</v>
      </c>
      <c r="E96" s="233">
        <f>F96-D96</f>
        <v>0</v>
      </c>
      <c r="F96" s="233">
        <v>4269.5</v>
      </c>
      <c r="J96" s="590"/>
    </row>
    <row r="97" spans="1:10" s="609" customFormat="1" ht="43.5" customHeight="1">
      <c r="A97" s="608" t="s">
        <v>266</v>
      </c>
      <c r="B97" s="607" t="s">
        <v>790</v>
      </c>
      <c r="C97" s="607" t="s">
        <v>791</v>
      </c>
      <c r="D97" s="233">
        <f>2299.02+1500+570</f>
        <v>4369.02</v>
      </c>
      <c r="E97" s="233">
        <f>F97-D97</f>
        <v>8024.999999999998</v>
      </c>
      <c r="F97" s="233">
        <f>10095+1636.3+3525-2862.28</f>
        <v>12394.019999999999</v>
      </c>
      <c r="J97" s="590"/>
    </row>
    <row r="98" spans="1:10" s="609" customFormat="1" ht="33" customHeight="1">
      <c r="A98" s="608" t="s">
        <v>620</v>
      </c>
      <c r="B98" s="607" t="s">
        <v>792</v>
      </c>
      <c r="C98" s="607" t="s">
        <v>793</v>
      </c>
      <c r="D98" s="445">
        <f>SUM(D99:D107)</f>
        <v>170553.751</v>
      </c>
      <c r="E98" s="233">
        <f>SUM(E99:E107)</f>
        <v>13565.55400000001</v>
      </c>
      <c r="F98" s="445">
        <f>SUM(F99:F107)</f>
        <v>184119.30500000002</v>
      </c>
      <c r="J98" s="590"/>
    </row>
    <row r="99" spans="1:10" s="609" customFormat="1" ht="62.25" customHeight="1">
      <c r="A99" s="608" t="s">
        <v>266</v>
      </c>
      <c r="B99" s="607" t="s">
        <v>1030</v>
      </c>
      <c r="C99" s="607" t="s">
        <v>1031</v>
      </c>
      <c r="D99" s="233">
        <v>1202.059</v>
      </c>
      <c r="E99" s="233">
        <f aca="true" t="shared" si="6" ref="E99:E118">F99-D99</f>
        <v>9050</v>
      </c>
      <c r="F99" s="233">
        <f>1202.059+8300+750</f>
        <v>10252.059</v>
      </c>
      <c r="J99" s="590"/>
    </row>
    <row r="100" spans="1:10" s="609" customFormat="1" ht="38.25" customHeight="1">
      <c r="A100" s="608" t="s">
        <v>266</v>
      </c>
      <c r="B100" s="607" t="s">
        <v>1086</v>
      </c>
      <c r="C100" s="607" t="s">
        <v>796</v>
      </c>
      <c r="D100" s="233">
        <v>870.93</v>
      </c>
      <c r="E100" s="233">
        <f t="shared" si="6"/>
        <v>0</v>
      </c>
      <c r="F100" s="233">
        <v>870.93</v>
      </c>
      <c r="J100" s="590"/>
    </row>
    <row r="101" spans="1:10" s="609" customFormat="1" ht="34.5" customHeight="1">
      <c r="A101" s="608" t="s">
        <v>266</v>
      </c>
      <c r="B101" s="607" t="s">
        <v>795</v>
      </c>
      <c r="C101" s="607" t="s">
        <v>796</v>
      </c>
      <c r="D101" s="233">
        <f>104020.2+15000+10000+1965</f>
        <v>130985.2</v>
      </c>
      <c r="E101" s="233">
        <f t="shared" si="6"/>
        <v>200.90000000000873</v>
      </c>
      <c r="F101" s="233">
        <f>130986.1+200</f>
        <v>131186.1</v>
      </c>
      <c r="J101" s="590"/>
    </row>
    <row r="102" spans="1:10" s="609" customFormat="1" ht="51" customHeight="1">
      <c r="A102" s="608" t="s">
        <v>266</v>
      </c>
      <c r="B102" s="607" t="s">
        <v>946</v>
      </c>
      <c r="C102" s="607" t="s">
        <v>947</v>
      </c>
      <c r="D102" s="233">
        <v>1000</v>
      </c>
      <c r="E102" s="233">
        <f t="shared" si="6"/>
        <v>0</v>
      </c>
      <c r="F102" s="233">
        <v>1000</v>
      </c>
      <c r="J102" s="590"/>
    </row>
    <row r="103" spans="1:10" s="609" customFormat="1" ht="59.25" customHeight="1">
      <c r="A103" s="608" t="s">
        <v>266</v>
      </c>
      <c r="B103" s="607" t="s">
        <v>1032</v>
      </c>
      <c r="C103" s="607" t="s">
        <v>1033</v>
      </c>
      <c r="D103" s="233">
        <v>3601.962</v>
      </c>
      <c r="E103" s="233">
        <f t="shared" si="6"/>
        <v>0</v>
      </c>
      <c r="F103" s="233">
        <v>3601.962</v>
      </c>
      <c r="J103" s="590"/>
    </row>
    <row r="104" spans="1:10" s="609" customFormat="1" ht="59.25" customHeight="1">
      <c r="A104" s="608" t="s">
        <v>266</v>
      </c>
      <c r="B104" s="607" t="s">
        <v>1034</v>
      </c>
      <c r="C104" s="607" t="s">
        <v>1035</v>
      </c>
      <c r="D104" s="233">
        <v>6704</v>
      </c>
      <c r="E104" s="233">
        <f t="shared" si="6"/>
        <v>1500</v>
      </c>
      <c r="F104" s="233">
        <v>8204</v>
      </c>
      <c r="J104" s="590"/>
    </row>
    <row r="105" spans="1:10" s="609" customFormat="1" ht="59.25" customHeight="1">
      <c r="A105" s="608" t="s">
        <v>266</v>
      </c>
      <c r="B105" s="607" t="s">
        <v>1085</v>
      </c>
      <c r="C105" s="607" t="s">
        <v>1084</v>
      </c>
      <c r="D105" s="233">
        <v>4840.5</v>
      </c>
      <c r="E105" s="233">
        <f t="shared" si="6"/>
        <v>0</v>
      </c>
      <c r="F105" s="233">
        <v>4840.5</v>
      </c>
      <c r="J105" s="590"/>
    </row>
    <row r="106" spans="1:10" s="609" customFormat="1" ht="59.25" customHeight="1">
      <c r="A106" s="608" t="s">
        <v>266</v>
      </c>
      <c r="B106" s="607" t="s">
        <v>1110</v>
      </c>
      <c r="C106" s="607" t="s">
        <v>1109</v>
      </c>
      <c r="D106" s="233"/>
      <c r="E106" s="233">
        <f t="shared" si="6"/>
        <v>23.6</v>
      </c>
      <c r="F106" s="233">
        <v>23.6</v>
      </c>
      <c r="J106" s="590"/>
    </row>
    <row r="107" spans="1:10" s="611" customFormat="1" ht="15">
      <c r="A107" s="608" t="s">
        <v>266</v>
      </c>
      <c r="B107" s="607" t="s">
        <v>797</v>
      </c>
      <c r="C107" s="607" t="s">
        <v>798</v>
      </c>
      <c r="D107" s="233">
        <f>SUM(D110:D118)</f>
        <v>21349.1</v>
      </c>
      <c r="E107" s="233">
        <f t="shared" si="6"/>
        <v>2791.054</v>
      </c>
      <c r="F107" s="233">
        <f>SUM(F110:F118)</f>
        <v>24140.154</v>
      </c>
      <c r="J107" s="590"/>
    </row>
    <row r="108" spans="1:10" s="609" customFormat="1" ht="90" customHeight="1" hidden="1">
      <c r="A108" s="608" t="s">
        <v>266</v>
      </c>
      <c r="B108" s="607" t="s">
        <v>799</v>
      </c>
      <c r="C108" s="607" t="s">
        <v>800</v>
      </c>
      <c r="D108" s="233"/>
      <c r="E108" s="233">
        <f t="shared" si="6"/>
        <v>0</v>
      </c>
      <c r="F108" s="233"/>
      <c r="J108" s="590"/>
    </row>
    <row r="109" spans="1:10" s="609" customFormat="1" ht="60" customHeight="1" hidden="1">
      <c r="A109" s="608" t="s">
        <v>266</v>
      </c>
      <c r="B109" s="607" t="s">
        <v>799</v>
      </c>
      <c r="C109" s="607" t="s">
        <v>794</v>
      </c>
      <c r="D109" s="233"/>
      <c r="E109" s="233">
        <f t="shared" si="6"/>
        <v>0</v>
      </c>
      <c r="F109" s="233"/>
      <c r="J109" s="590"/>
    </row>
    <row r="110" spans="1:10" s="609" customFormat="1" ht="30" customHeight="1">
      <c r="A110" s="608"/>
      <c r="B110" s="607"/>
      <c r="C110" s="607" t="s">
        <v>801</v>
      </c>
      <c r="D110" s="233">
        <v>806</v>
      </c>
      <c r="E110" s="233">
        <f t="shared" si="6"/>
        <v>0</v>
      </c>
      <c r="F110" s="233">
        <v>806</v>
      </c>
      <c r="J110" s="590"/>
    </row>
    <row r="111" spans="1:10" s="609" customFormat="1" ht="73.5" customHeight="1">
      <c r="A111" s="608"/>
      <c r="B111" s="607"/>
      <c r="C111" s="607" t="s">
        <v>802</v>
      </c>
      <c r="D111" s="233">
        <v>5813.8</v>
      </c>
      <c r="E111" s="233">
        <f t="shared" si="6"/>
        <v>0</v>
      </c>
      <c r="F111" s="233">
        <v>5813.8</v>
      </c>
      <c r="G111" s="590"/>
      <c r="J111" s="590"/>
    </row>
    <row r="112" spans="1:10" s="609" customFormat="1" ht="30">
      <c r="A112" s="608"/>
      <c r="B112" s="607"/>
      <c r="C112" s="607" t="s">
        <v>803</v>
      </c>
      <c r="D112" s="233">
        <v>11195</v>
      </c>
      <c r="E112" s="233">
        <f t="shared" si="6"/>
        <v>0</v>
      </c>
      <c r="F112" s="233">
        <f>2088.2+9106.8</f>
        <v>11195</v>
      </c>
      <c r="J112" s="590"/>
    </row>
    <row r="113" spans="1:10" s="609" customFormat="1" ht="84" customHeight="1">
      <c r="A113" s="608"/>
      <c r="B113" s="607"/>
      <c r="C113" s="607" t="s">
        <v>1036</v>
      </c>
      <c r="D113" s="233">
        <v>3010.1</v>
      </c>
      <c r="E113" s="233">
        <f t="shared" si="6"/>
        <v>0</v>
      </c>
      <c r="F113" s="233">
        <v>3010.1</v>
      </c>
      <c r="J113" s="590"/>
    </row>
    <row r="114" spans="1:10" s="609" customFormat="1" ht="50.25" customHeight="1">
      <c r="A114" s="608"/>
      <c r="B114" s="607"/>
      <c r="C114" s="607" t="s">
        <v>804</v>
      </c>
      <c r="D114" s="233">
        <v>331.7</v>
      </c>
      <c r="E114" s="233">
        <f t="shared" si="6"/>
        <v>0</v>
      </c>
      <c r="F114" s="233">
        <v>331.7</v>
      </c>
      <c r="J114" s="590"/>
    </row>
    <row r="115" spans="1:10" s="609" customFormat="1" ht="78" customHeight="1">
      <c r="A115" s="608"/>
      <c r="B115" s="607"/>
      <c r="C115" s="607" t="s">
        <v>1083</v>
      </c>
      <c r="D115" s="233"/>
      <c r="E115" s="233">
        <f t="shared" si="6"/>
        <v>1194.654</v>
      </c>
      <c r="F115" s="233">
        <v>1194.654</v>
      </c>
      <c r="J115" s="590"/>
    </row>
    <row r="116" spans="1:10" s="609" customFormat="1" ht="114.75" customHeight="1">
      <c r="A116" s="608"/>
      <c r="B116" s="607"/>
      <c r="C116" s="607" t="s">
        <v>1083</v>
      </c>
      <c r="D116" s="233">
        <v>24.8</v>
      </c>
      <c r="E116" s="233">
        <f t="shared" si="6"/>
        <v>1596.4</v>
      </c>
      <c r="F116" s="233">
        <f>1620+1.2</f>
        <v>1621.2</v>
      </c>
      <c r="J116" s="590"/>
    </row>
    <row r="117" spans="1:10" s="609" customFormat="1" ht="75" customHeight="1">
      <c r="A117" s="608"/>
      <c r="B117" s="607"/>
      <c r="C117" s="607" t="s">
        <v>1082</v>
      </c>
      <c r="D117" s="233">
        <v>124.2</v>
      </c>
      <c r="E117" s="233">
        <f t="shared" si="6"/>
        <v>0</v>
      </c>
      <c r="F117" s="233">
        <v>124.2</v>
      </c>
      <c r="J117" s="590"/>
    </row>
    <row r="118" spans="1:10" s="609" customFormat="1" ht="61.5" customHeight="1">
      <c r="A118" s="608"/>
      <c r="B118" s="607"/>
      <c r="C118" s="607" t="s">
        <v>805</v>
      </c>
      <c r="D118" s="233">
        <v>43.5</v>
      </c>
      <c r="E118" s="233">
        <f t="shared" si="6"/>
        <v>0</v>
      </c>
      <c r="F118" s="233">
        <v>43.5</v>
      </c>
      <c r="J118" s="590"/>
    </row>
    <row r="119" spans="1:10" s="609" customFormat="1" ht="39" customHeight="1">
      <c r="A119" s="608" t="s">
        <v>620</v>
      </c>
      <c r="B119" s="607" t="s">
        <v>806</v>
      </c>
      <c r="C119" s="607" t="s">
        <v>807</v>
      </c>
      <c r="D119" s="328">
        <f>SUM(D120:D127)+D143+D144+D145+D146+D147+D149+D148</f>
        <v>204959.20299999998</v>
      </c>
      <c r="E119" s="328">
        <f>SUM(E120:E127)+E143+E144+E145+E146+E147+E149+E148</f>
        <v>-348.9318900000003</v>
      </c>
      <c r="F119" s="328">
        <f>SUM(F120:F127)+F143+F144+F145+F146+F147+F149+F148</f>
        <v>204610.27111</v>
      </c>
      <c r="G119" s="590"/>
      <c r="J119" s="590"/>
    </row>
    <row r="120" spans="1:10" s="609" customFormat="1" ht="33" customHeight="1">
      <c r="A120" s="608" t="s">
        <v>266</v>
      </c>
      <c r="B120" s="607" t="s">
        <v>808</v>
      </c>
      <c r="C120" s="607" t="s">
        <v>809</v>
      </c>
      <c r="D120" s="233">
        <f>10564.1+3910+1300</f>
        <v>15774.1</v>
      </c>
      <c r="E120" s="233">
        <f aca="true" t="shared" si="7" ref="E120:E126">F120-D120</f>
        <v>925.8999999999996</v>
      </c>
      <c r="F120" s="233">
        <v>16700</v>
      </c>
      <c r="G120" s="235"/>
      <c r="J120" s="590"/>
    </row>
    <row r="121" spans="1:10" s="609" customFormat="1" ht="54" customHeight="1">
      <c r="A121" s="608" t="s">
        <v>266</v>
      </c>
      <c r="B121" s="607" t="s">
        <v>810</v>
      </c>
      <c r="C121" s="607" t="s">
        <v>811</v>
      </c>
      <c r="D121" s="233">
        <f>175.8</f>
        <v>175.8</v>
      </c>
      <c r="E121" s="233">
        <f t="shared" si="7"/>
        <v>-3.9579999999999984</v>
      </c>
      <c r="F121" s="233">
        <f>175.8-3.958</f>
        <v>171.842</v>
      </c>
      <c r="J121" s="590"/>
    </row>
    <row r="122" spans="1:10" s="609" customFormat="1" ht="65.25" customHeight="1">
      <c r="A122" s="608" t="s">
        <v>266</v>
      </c>
      <c r="B122" s="607" t="s">
        <v>812</v>
      </c>
      <c r="C122" s="607" t="s">
        <v>813</v>
      </c>
      <c r="D122" s="233">
        <f>115+13.9</f>
        <v>128.9</v>
      </c>
      <c r="E122" s="233">
        <f t="shared" si="7"/>
        <v>10.176109999999994</v>
      </c>
      <c r="F122" s="233">
        <f>115+13.9+10.17611</f>
        <v>139.07611</v>
      </c>
      <c r="J122" s="590"/>
    </row>
    <row r="123" spans="1:10" s="609" customFormat="1" ht="67.5" customHeight="1">
      <c r="A123" s="608" t="s">
        <v>266</v>
      </c>
      <c r="B123" s="607" t="s">
        <v>814</v>
      </c>
      <c r="C123" s="607" t="s">
        <v>815</v>
      </c>
      <c r="D123" s="233">
        <v>230</v>
      </c>
      <c r="E123" s="233">
        <f t="shared" si="7"/>
        <v>0</v>
      </c>
      <c r="F123" s="233">
        <v>230</v>
      </c>
      <c r="J123" s="590"/>
    </row>
    <row r="124" spans="1:10" s="609" customFormat="1" ht="51.75" customHeight="1">
      <c r="A124" s="608" t="s">
        <v>266</v>
      </c>
      <c r="B124" s="607" t="s">
        <v>816</v>
      </c>
      <c r="C124" s="607" t="s">
        <v>817</v>
      </c>
      <c r="D124" s="233">
        <v>541.5</v>
      </c>
      <c r="E124" s="233">
        <f t="shared" si="7"/>
        <v>19.600000000000023</v>
      </c>
      <c r="F124" s="233">
        <f>561.1</f>
        <v>561.1</v>
      </c>
      <c r="J124" s="590"/>
    </row>
    <row r="125" spans="1:10" s="609" customFormat="1" ht="45" customHeight="1">
      <c r="A125" s="608" t="s">
        <v>266</v>
      </c>
      <c r="B125" s="607" t="s">
        <v>818</v>
      </c>
      <c r="C125" s="607" t="s">
        <v>819</v>
      </c>
      <c r="D125" s="233">
        <f>870+1715</f>
        <v>2585</v>
      </c>
      <c r="E125" s="233">
        <f t="shared" si="7"/>
        <v>73</v>
      </c>
      <c r="F125" s="233">
        <f>870+1715+73</f>
        <v>2658</v>
      </c>
      <c r="J125" s="590"/>
    </row>
    <row r="126" spans="1:10" s="609" customFormat="1" ht="47.25" customHeight="1">
      <c r="A126" s="608" t="s">
        <v>266</v>
      </c>
      <c r="B126" s="607" t="s">
        <v>820</v>
      </c>
      <c r="C126" s="607" t="s">
        <v>821</v>
      </c>
      <c r="D126" s="233">
        <v>8129.1</v>
      </c>
      <c r="E126" s="233">
        <f t="shared" si="7"/>
        <v>-1200</v>
      </c>
      <c r="F126" s="233">
        <v>6929.1</v>
      </c>
      <c r="J126" s="590"/>
    </row>
    <row r="127" spans="1:10" s="611" customFormat="1" ht="42.75" customHeight="1">
      <c r="A127" s="608" t="s">
        <v>266</v>
      </c>
      <c r="B127" s="607" t="s">
        <v>822</v>
      </c>
      <c r="C127" s="607" t="s">
        <v>823</v>
      </c>
      <c r="D127" s="445">
        <f>SUM(D128:D142)</f>
        <v>147251.403</v>
      </c>
      <c r="E127" s="233">
        <f>SUM(E128:E142)</f>
        <v>476.3499999999999</v>
      </c>
      <c r="F127" s="445">
        <f>SUM(F128:F142)</f>
        <v>147727.753</v>
      </c>
      <c r="G127" s="235"/>
      <c r="J127" s="590"/>
    </row>
    <row r="128" spans="1:10" s="609" customFormat="1" ht="70.5" customHeight="1">
      <c r="A128" s="608"/>
      <c r="B128" s="607"/>
      <c r="C128" s="607" t="s">
        <v>824</v>
      </c>
      <c r="D128" s="233">
        <v>413</v>
      </c>
      <c r="E128" s="233">
        <f aca="true" t="shared" si="8" ref="E128:E149">F128-D128</f>
        <v>20.649999999999977</v>
      </c>
      <c r="F128" s="233">
        <f>413+20.65</f>
        <v>433.65</v>
      </c>
      <c r="G128" s="235"/>
      <c r="J128" s="590"/>
    </row>
    <row r="129" spans="1:10" s="609" customFormat="1" ht="101.25" customHeight="1">
      <c r="A129" s="608"/>
      <c r="B129" s="607"/>
      <c r="C129" s="607" t="s">
        <v>825</v>
      </c>
      <c r="D129" s="233">
        <v>1055.7</v>
      </c>
      <c r="E129" s="233">
        <f t="shared" si="8"/>
        <v>54</v>
      </c>
      <c r="F129" s="233">
        <f>1055.7+54</f>
        <v>1109.7</v>
      </c>
      <c r="J129" s="590"/>
    </row>
    <row r="130" spans="1:10" s="609" customFormat="1" ht="107.25" customHeight="1">
      <c r="A130" s="608"/>
      <c r="B130" s="607"/>
      <c r="C130" s="607" t="s">
        <v>826</v>
      </c>
      <c r="D130" s="233">
        <v>8327.5</v>
      </c>
      <c r="E130" s="233">
        <f t="shared" si="8"/>
        <v>127</v>
      </c>
      <c r="F130" s="233">
        <v>8454.5</v>
      </c>
      <c r="J130" s="590"/>
    </row>
    <row r="131" spans="1:10" s="609" customFormat="1" ht="42.75" customHeight="1">
      <c r="A131" s="608"/>
      <c r="B131" s="607"/>
      <c r="C131" s="607" t="s">
        <v>827</v>
      </c>
      <c r="D131" s="233">
        <v>0.5</v>
      </c>
      <c r="E131" s="233">
        <f t="shared" si="8"/>
        <v>9.2</v>
      </c>
      <c r="F131" s="581">
        <v>9.7</v>
      </c>
      <c r="J131" s="590"/>
    </row>
    <row r="132" spans="1:10" s="609" customFormat="1" ht="94.5" customHeight="1">
      <c r="A132" s="608"/>
      <c r="B132" s="607"/>
      <c r="C132" s="607" t="s">
        <v>828</v>
      </c>
      <c r="D132" s="233">
        <v>112594.2</v>
      </c>
      <c r="E132" s="233">
        <f t="shared" si="8"/>
        <v>0</v>
      </c>
      <c r="F132" s="233">
        <v>112594.2</v>
      </c>
      <c r="J132" s="590"/>
    </row>
    <row r="133" spans="1:10" s="609" customFormat="1" ht="80.25" customHeight="1">
      <c r="A133" s="608"/>
      <c r="B133" s="607"/>
      <c r="C133" s="607" t="s">
        <v>829</v>
      </c>
      <c r="D133" s="233">
        <v>721</v>
      </c>
      <c r="E133" s="233">
        <f t="shared" si="8"/>
        <v>0</v>
      </c>
      <c r="F133" s="233">
        <v>721</v>
      </c>
      <c r="J133" s="590"/>
    </row>
    <row r="134" spans="1:10" s="609" customFormat="1" ht="39" customHeight="1">
      <c r="A134" s="608"/>
      <c r="B134" s="607"/>
      <c r="C134" s="607" t="s">
        <v>830</v>
      </c>
      <c r="D134" s="233">
        <v>327</v>
      </c>
      <c r="E134" s="233">
        <f t="shared" si="8"/>
        <v>-27.25</v>
      </c>
      <c r="F134" s="233">
        <v>299.75</v>
      </c>
      <c r="J134" s="590"/>
    </row>
    <row r="135" spans="1:10" s="609" customFormat="1" ht="41.25" customHeight="1">
      <c r="A135" s="608"/>
      <c r="B135" s="607"/>
      <c r="C135" s="607" t="s">
        <v>831</v>
      </c>
      <c r="D135" s="233">
        <v>897</v>
      </c>
      <c r="E135" s="233">
        <f t="shared" si="8"/>
        <v>-74.75</v>
      </c>
      <c r="F135" s="233">
        <v>822.25</v>
      </c>
      <c r="J135" s="590"/>
    </row>
    <row r="136" spans="1:10" s="609" customFormat="1" ht="52.5" customHeight="1">
      <c r="A136" s="608"/>
      <c r="B136" s="607"/>
      <c r="C136" s="607" t="s">
        <v>832</v>
      </c>
      <c r="D136" s="233">
        <v>7042</v>
      </c>
      <c r="E136" s="233">
        <f t="shared" si="8"/>
        <v>1002</v>
      </c>
      <c r="F136" s="233">
        <v>8044</v>
      </c>
      <c r="J136" s="590"/>
    </row>
    <row r="137" spans="1:10" s="609" customFormat="1" ht="43.5" customHeight="1">
      <c r="A137" s="608"/>
      <c r="B137" s="607"/>
      <c r="C137" s="607" t="s">
        <v>833</v>
      </c>
      <c r="D137" s="233">
        <v>3840</v>
      </c>
      <c r="E137" s="233">
        <f t="shared" si="8"/>
        <v>-320</v>
      </c>
      <c r="F137" s="233">
        <v>3520</v>
      </c>
      <c r="J137" s="590"/>
    </row>
    <row r="138" spans="1:10" s="609" customFormat="1" ht="37.5" customHeight="1">
      <c r="A138" s="608"/>
      <c r="B138" s="607"/>
      <c r="C138" s="607" t="s">
        <v>834</v>
      </c>
      <c r="D138" s="233">
        <f>7021</f>
        <v>7021</v>
      </c>
      <c r="E138" s="233">
        <f t="shared" si="8"/>
        <v>0</v>
      </c>
      <c r="F138" s="233">
        <f>7021</f>
        <v>7021</v>
      </c>
      <c r="J138" s="590"/>
    </row>
    <row r="139" spans="1:10" s="609" customFormat="1" ht="59.25" customHeight="1">
      <c r="A139" s="608"/>
      <c r="B139" s="607"/>
      <c r="C139" s="607" t="s">
        <v>1037</v>
      </c>
      <c r="D139" s="233">
        <v>856.203</v>
      </c>
      <c r="E139" s="233">
        <f t="shared" si="8"/>
        <v>0</v>
      </c>
      <c r="F139" s="233">
        <v>856.203</v>
      </c>
      <c r="J139" s="590"/>
    </row>
    <row r="140" spans="1:10" s="609" customFormat="1" ht="36.75" customHeight="1">
      <c r="A140" s="608"/>
      <c r="B140" s="607"/>
      <c r="C140" s="607" t="s">
        <v>835</v>
      </c>
      <c r="D140" s="233">
        <v>2592</v>
      </c>
      <c r="E140" s="233">
        <f t="shared" si="8"/>
        <v>-216</v>
      </c>
      <c r="F140" s="233">
        <v>2376</v>
      </c>
      <c r="J140" s="590"/>
    </row>
    <row r="141" spans="1:10" s="609" customFormat="1" ht="57.75" customHeight="1">
      <c r="A141" s="608"/>
      <c r="B141" s="607"/>
      <c r="C141" s="607" t="s">
        <v>836</v>
      </c>
      <c r="D141" s="233">
        <v>54.3</v>
      </c>
      <c r="E141" s="233">
        <f t="shared" si="8"/>
        <v>0</v>
      </c>
      <c r="F141" s="233">
        <v>54.3</v>
      </c>
      <c r="J141" s="590"/>
    </row>
    <row r="142" spans="1:10" s="609" customFormat="1" ht="30">
      <c r="A142" s="608"/>
      <c r="B142" s="607"/>
      <c r="C142" s="607" t="s">
        <v>837</v>
      </c>
      <c r="D142" s="233">
        <v>1510</v>
      </c>
      <c r="E142" s="233">
        <f t="shared" si="8"/>
        <v>-98.5</v>
      </c>
      <c r="F142" s="233">
        <v>1411.5</v>
      </c>
      <c r="J142" s="590"/>
    </row>
    <row r="143" spans="1:10" s="609" customFormat="1" ht="74.25" customHeight="1">
      <c r="A143" s="608" t="s">
        <v>266</v>
      </c>
      <c r="B143" s="607" t="s">
        <v>838</v>
      </c>
      <c r="C143" s="607" t="s">
        <v>839</v>
      </c>
      <c r="D143" s="233">
        <v>9425.5</v>
      </c>
      <c r="E143" s="233">
        <f t="shared" si="8"/>
        <v>0</v>
      </c>
      <c r="F143" s="233">
        <v>9425.5</v>
      </c>
      <c r="J143" s="590"/>
    </row>
    <row r="144" spans="1:10" s="609" customFormat="1" ht="65.25" customHeight="1">
      <c r="A144" s="608" t="s">
        <v>266</v>
      </c>
      <c r="B144" s="607" t="s">
        <v>840</v>
      </c>
      <c r="C144" s="607" t="s">
        <v>841</v>
      </c>
      <c r="D144" s="233">
        <v>11370.3</v>
      </c>
      <c r="E144" s="233">
        <f t="shared" si="8"/>
        <v>0</v>
      </c>
      <c r="F144" s="233">
        <v>11370.3</v>
      </c>
      <c r="J144" s="590"/>
    </row>
    <row r="145" spans="1:10" s="609" customFormat="1" ht="96.75" customHeight="1">
      <c r="A145" s="608" t="s">
        <v>266</v>
      </c>
      <c r="B145" s="607" t="s">
        <v>842</v>
      </c>
      <c r="C145" s="607" t="s">
        <v>843</v>
      </c>
      <c r="D145" s="233">
        <v>1403.9</v>
      </c>
      <c r="E145" s="233">
        <f t="shared" si="8"/>
        <v>-650</v>
      </c>
      <c r="F145" s="233">
        <f>1403.9-650</f>
        <v>753.9000000000001</v>
      </c>
      <c r="J145" s="590"/>
    </row>
    <row r="146" spans="1:10" s="609" customFormat="1" ht="32.25" customHeight="1">
      <c r="A146" s="608" t="s">
        <v>266</v>
      </c>
      <c r="B146" s="607" t="s">
        <v>844</v>
      </c>
      <c r="C146" s="607" t="s">
        <v>845</v>
      </c>
      <c r="D146" s="233">
        <v>2828</v>
      </c>
      <c r="E146" s="233">
        <f t="shared" si="8"/>
        <v>0</v>
      </c>
      <c r="F146" s="233">
        <v>2828</v>
      </c>
      <c r="J146" s="590"/>
    </row>
    <row r="147" spans="1:10" s="609" customFormat="1" ht="166.5" customHeight="1">
      <c r="A147" s="608" t="s">
        <v>266</v>
      </c>
      <c r="B147" s="607" t="s">
        <v>846</v>
      </c>
      <c r="C147" s="607" t="s">
        <v>847</v>
      </c>
      <c r="D147" s="233">
        <v>2883.7</v>
      </c>
      <c r="E147" s="233">
        <f t="shared" si="8"/>
        <v>0</v>
      </c>
      <c r="F147" s="233">
        <f>2883.7</f>
        <v>2883.7</v>
      </c>
      <c r="J147" s="590"/>
    </row>
    <row r="148" spans="1:10" s="609" customFormat="1" ht="108" customHeight="1">
      <c r="A148" s="608" t="s">
        <v>266</v>
      </c>
      <c r="B148" s="607" t="s">
        <v>1038</v>
      </c>
      <c r="C148" s="607" t="s">
        <v>1039</v>
      </c>
      <c r="D148" s="233">
        <v>1116</v>
      </c>
      <c r="E148" s="233">
        <f t="shared" si="8"/>
        <v>0</v>
      </c>
      <c r="F148" s="233">
        <v>1116</v>
      </c>
      <c r="J148" s="590"/>
    </row>
    <row r="149" spans="1:10" s="609" customFormat="1" ht="90.75" customHeight="1">
      <c r="A149" s="608" t="s">
        <v>266</v>
      </c>
      <c r="B149" s="607" t="s">
        <v>848</v>
      </c>
      <c r="C149" s="607" t="s">
        <v>849</v>
      </c>
      <c r="D149" s="233">
        <v>1116</v>
      </c>
      <c r="E149" s="233">
        <f t="shared" si="8"/>
        <v>0</v>
      </c>
      <c r="F149" s="233">
        <v>1116</v>
      </c>
      <c r="J149" s="590"/>
    </row>
    <row r="150" spans="1:10" s="609" customFormat="1" ht="26.25" customHeight="1">
      <c r="A150" s="608" t="s">
        <v>620</v>
      </c>
      <c r="B150" s="607" t="s">
        <v>1081</v>
      </c>
      <c r="C150" s="607" t="s">
        <v>6</v>
      </c>
      <c r="D150" s="233">
        <f>SUM(D151:D153)</f>
        <v>63059.2</v>
      </c>
      <c r="E150" s="233">
        <f>SUM(E151:E153)</f>
        <v>9.920579999999973</v>
      </c>
      <c r="F150" s="610">
        <f>SUM(F151:F153)</f>
        <v>63069.12058</v>
      </c>
      <c r="J150" s="590"/>
    </row>
    <row r="151" spans="1:10" s="609" customFormat="1" ht="80.25" customHeight="1">
      <c r="A151" s="608" t="s">
        <v>266</v>
      </c>
      <c r="B151" s="607" t="s">
        <v>1040</v>
      </c>
      <c r="C151" s="607" t="s">
        <v>1041</v>
      </c>
      <c r="D151" s="233">
        <f>598.6+60.6</f>
        <v>659.2</v>
      </c>
      <c r="E151" s="233">
        <f>F151-D151</f>
        <v>9.920579999999973</v>
      </c>
      <c r="F151" s="233">
        <f>598.6+60.6+9.92058</f>
        <v>669.12058</v>
      </c>
      <c r="J151" s="590"/>
    </row>
    <row r="152" spans="1:10" s="609" customFormat="1" ht="79.5" customHeight="1">
      <c r="A152" s="608" t="s">
        <v>266</v>
      </c>
      <c r="B152" s="607" t="s">
        <v>1042</v>
      </c>
      <c r="C152" s="607" t="s">
        <v>1043</v>
      </c>
      <c r="D152" s="233">
        <v>58400</v>
      </c>
      <c r="E152" s="233">
        <f>F152-D152</f>
        <v>0</v>
      </c>
      <c r="F152" s="233">
        <v>58400</v>
      </c>
      <c r="J152" s="590"/>
    </row>
    <row r="153" spans="1:10" s="609" customFormat="1" ht="37.5" customHeight="1">
      <c r="A153" s="608" t="s">
        <v>266</v>
      </c>
      <c r="B153" s="607" t="s">
        <v>1080</v>
      </c>
      <c r="C153" s="607" t="s">
        <v>1079</v>
      </c>
      <c r="D153" s="233">
        <v>4000</v>
      </c>
      <c r="E153" s="233">
        <f>F153-D153</f>
        <v>0</v>
      </c>
      <c r="F153" s="233">
        <v>4000</v>
      </c>
      <c r="J153" s="590"/>
    </row>
    <row r="154" spans="1:10" s="609" customFormat="1" ht="58.5" customHeight="1">
      <c r="A154" s="608" t="s">
        <v>266</v>
      </c>
      <c r="B154" s="607" t="s">
        <v>850</v>
      </c>
      <c r="C154" s="607" t="s">
        <v>851</v>
      </c>
      <c r="D154" s="233">
        <v>84.3549</v>
      </c>
      <c r="E154" s="233">
        <f>F154-D154</f>
        <v>0</v>
      </c>
      <c r="F154" s="233">
        <v>84.3549</v>
      </c>
      <c r="J154" s="590"/>
    </row>
    <row r="155" spans="1:10" s="609" customFormat="1" ht="66.75" customHeight="1">
      <c r="A155" s="608" t="s">
        <v>266</v>
      </c>
      <c r="B155" s="607" t="s">
        <v>852</v>
      </c>
      <c r="C155" s="607" t="s">
        <v>780</v>
      </c>
      <c r="D155" s="233">
        <v>-1258.02418</v>
      </c>
      <c r="E155" s="233">
        <f>F155-D155</f>
        <v>0</v>
      </c>
      <c r="F155" s="233">
        <v>-1258.02418</v>
      </c>
      <c r="G155" s="590"/>
      <c r="J155" s="590"/>
    </row>
    <row r="156" spans="1:10" s="605" customFormat="1" ht="15">
      <c r="A156" s="608"/>
      <c r="B156" s="607"/>
      <c r="C156" s="607" t="s">
        <v>853</v>
      </c>
      <c r="D156" s="233">
        <f>D10+D91</f>
        <v>611727.31042</v>
      </c>
      <c r="E156" s="233">
        <f>E10+E91</f>
        <v>21338.511420000013</v>
      </c>
      <c r="F156" s="233">
        <f>F10+F91</f>
        <v>633065.8218400001</v>
      </c>
      <c r="G156" s="606">
        <v>407598.06</v>
      </c>
      <c r="H156" s="606">
        <f>G156+F155-F154</f>
        <v>406255.68092</v>
      </c>
      <c r="J156" s="590"/>
    </row>
    <row r="157" spans="1:10" s="605" customFormat="1" ht="20.25" customHeight="1">
      <c r="A157" s="608"/>
      <c r="B157" s="607"/>
      <c r="C157" s="607" t="s">
        <v>854</v>
      </c>
      <c r="D157" s="233">
        <f>D10</f>
        <v>72325.1257</v>
      </c>
      <c r="E157" s="233">
        <f>E10</f>
        <v>86.96873000000471</v>
      </c>
      <c r="F157" s="233">
        <f>F10</f>
        <v>72412.09443</v>
      </c>
      <c r="G157" s="606"/>
      <c r="J157" s="590"/>
    </row>
    <row r="158" spans="1:10" ht="15" hidden="1">
      <c r="A158" s="236"/>
      <c r="B158" s="603"/>
      <c r="C158" s="602" t="s">
        <v>855</v>
      </c>
      <c r="D158" s="233"/>
      <c r="E158" s="233">
        <f>F158-D158</f>
        <v>0</v>
      </c>
      <c r="F158" s="233"/>
      <c r="J158" s="590"/>
    </row>
    <row r="159" spans="1:10" ht="15" hidden="1">
      <c r="A159" s="236"/>
      <c r="B159" s="603"/>
      <c r="C159" s="602" t="s">
        <v>856</v>
      </c>
      <c r="D159" s="237"/>
      <c r="E159" s="233">
        <f>F159-D159</f>
        <v>0</v>
      </c>
      <c r="F159" s="237"/>
      <c r="G159" s="588">
        <f>F159+F155-F154</f>
        <v>-1342.37908</v>
      </c>
      <c r="J159" s="590"/>
    </row>
    <row r="160" spans="1:11" ht="30" hidden="1">
      <c r="A160" s="236"/>
      <c r="B160" s="603"/>
      <c r="C160" s="604" t="s">
        <v>857</v>
      </c>
      <c r="D160" s="233">
        <v>0</v>
      </c>
      <c r="E160" s="233">
        <f>F160-D160</f>
        <v>0</v>
      </c>
      <c r="F160" s="233">
        <v>0</v>
      </c>
      <c r="G160" s="588"/>
      <c r="J160" s="590"/>
      <c r="K160" s="591"/>
    </row>
    <row r="161" spans="1:12" ht="15" hidden="1">
      <c r="A161" s="236"/>
      <c r="B161" s="603"/>
      <c r="C161" s="602" t="s">
        <v>858</v>
      </c>
      <c r="D161" s="601">
        <f>D156+D158-D160</f>
        <v>611727.31042</v>
      </c>
      <c r="E161" s="233">
        <f>F161-D161</f>
        <v>21338.51142000011</v>
      </c>
      <c r="F161" s="601">
        <f>F156+F158-F160</f>
        <v>633065.8218400001</v>
      </c>
      <c r="G161" s="583" t="s">
        <v>1078</v>
      </c>
      <c r="H161" s="588"/>
      <c r="J161" s="590"/>
      <c r="K161" s="591"/>
      <c r="L161" s="591"/>
    </row>
    <row r="162" spans="1:17" ht="15" customHeight="1" hidden="1">
      <c r="A162" s="599"/>
      <c r="B162" s="585"/>
      <c r="C162" s="596"/>
      <c r="D162" s="501"/>
      <c r="E162" s="501"/>
      <c r="F162" s="600"/>
      <c r="G162" s="594"/>
      <c r="H162" s="594"/>
      <c r="I162" s="594"/>
      <c r="J162" s="590"/>
      <c r="K162" s="594"/>
      <c r="L162" s="594"/>
      <c r="M162" s="594"/>
      <c r="N162" s="594"/>
      <c r="O162" s="594"/>
      <c r="P162" s="594"/>
      <c r="Q162" s="594"/>
    </row>
    <row r="163" spans="1:17" ht="15" customHeight="1" hidden="1">
      <c r="A163" s="599"/>
      <c r="B163" s="585"/>
      <c r="C163" s="596"/>
      <c r="D163" s="501"/>
      <c r="E163" s="501">
        <f>E157-463.68</f>
        <v>-376.7112699999953</v>
      </c>
      <c r="F163" s="595" t="e">
        <f>#REF!-F161</f>
        <v>#REF!</v>
      </c>
      <c r="G163" s="594"/>
      <c r="H163" s="594"/>
      <c r="I163" s="594"/>
      <c r="J163" s="590"/>
      <c r="K163" s="594"/>
      <c r="L163" s="594"/>
      <c r="M163" s="594"/>
      <c r="N163" s="594"/>
      <c r="O163" s="594"/>
      <c r="P163" s="594"/>
      <c r="Q163" s="594"/>
    </row>
    <row r="164" spans="1:17" ht="15" customHeight="1" hidden="1">
      <c r="A164" s="597"/>
      <c r="B164" s="585"/>
      <c r="C164" s="596"/>
      <c r="D164" s="596"/>
      <c r="E164" s="598"/>
      <c r="F164" s="595"/>
      <c r="G164" s="594"/>
      <c r="H164" s="594"/>
      <c r="I164" s="594"/>
      <c r="J164" s="590"/>
      <c r="K164" s="594"/>
      <c r="L164" s="594"/>
      <c r="M164" s="594"/>
      <c r="N164" s="594"/>
      <c r="O164" s="594"/>
      <c r="P164" s="594"/>
      <c r="Q164" s="594"/>
    </row>
    <row r="165" spans="1:17" ht="15" customHeight="1" hidden="1">
      <c r="A165" s="597"/>
      <c r="B165" s="585"/>
      <c r="C165" s="596"/>
      <c r="D165" s="596"/>
      <c r="E165" s="596">
        <v>2524.4</v>
      </c>
      <c r="F165" s="595">
        <f>E157-E165</f>
        <v>-2437.4312699999955</v>
      </c>
      <c r="G165" s="594"/>
      <c r="H165" s="594"/>
      <c r="I165" s="594"/>
      <c r="J165" s="590"/>
      <c r="K165" s="594"/>
      <c r="L165" s="594"/>
      <c r="M165" s="594"/>
      <c r="N165" s="594"/>
      <c r="O165" s="594"/>
      <c r="P165" s="594"/>
      <c r="Q165" s="594"/>
    </row>
    <row r="166" spans="2:17" ht="15" customHeight="1" hidden="1">
      <c r="B166" s="585"/>
      <c r="C166" s="596"/>
      <c r="D166" s="596"/>
      <c r="E166" s="596">
        <v>7612.56</v>
      </c>
      <c r="F166" s="595">
        <f>E166-E91</f>
        <v>-13638.982690000008</v>
      </c>
      <c r="G166" s="594"/>
      <c r="H166" s="594"/>
      <c r="I166" s="594"/>
      <c r="J166" s="590"/>
      <c r="K166" s="594"/>
      <c r="L166" s="594"/>
      <c r="M166" s="594"/>
      <c r="N166" s="594"/>
      <c r="O166" s="594"/>
      <c r="P166" s="594"/>
      <c r="Q166" s="594"/>
    </row>
    <row r="167" spans="2:10" ht="15" customHeight="1" hidden="1">
      <c r="B167" s="585"/>
      <c r="C167" s="585"/>
      <c r="E167" s="585"/>
      <c r="J167" s="590"/>
    </row>
    <row r="168" spans="2:10" ht="15" customHeight="1" hidden="1">
      <c r="B168" s="585"/>
      <c r="C168" s="585"/>
      <c r="E168" s="585"/>
      <c r="F168" s="588"/>
      <c r="J168" s="590"/>
    </row>
    <row r="169" spans="2:10" ht="15" customHeight="1" hidden="1">
      <c r="B169" s="585"/>
      <c r="C169" s="585"/>
      <c r="E169" s="585"/>
      <c r="J169" s="590"/>
    </row>
    <row r="170" spans="2:10" ht="15" customHeight="1" hidden="1">
      <c r="B170" s="585"/>
      <c r="C170" s="585"/>
      <c r="E170" s="585"/>
      <c r="J170" s="590"/>
    </row>
    <row r="171" spans="2:10" ht="15" hidden="1">
      <c r="B171" s="585"/>
      <c r="C171" s="585"/>
      <c r="E171" s="585"/>
      <c r="J171" s="590"/>
    </row>
    <row r="172" spans="5:10" ht="15" hidden="1">
      <c r="E172" s="589"/>
      <c r="J172" s="590"/>
    </row>
    <row r="173" ht="15" hidden="1">
      <c r="J173" s="590"/>
    </row>
    <row r="174" spans="5:10" ht="15" hidden="1">
      <c r="E174" s="593"/>
      <c r="J174" s="590"/>
    </row>
    <row r="175" spans="4:10" ht="15" hidden="1">
      <c r="D175" s="592"/>
      <c r="E175" s="593"/>
      <c r="F175" s="591"/>
      <c r="J175" s="590"/>
    </row>
    <row r="176" ht="15" hidden="1">
      <c r="J176" s="590"/>
    </row>
    <row r="177" spans="4:10" s="583" customFormat="1" ht="15" hidden="1">
      <c r="D177" s="592"/>
      <c r="E177" s="584"/>
      <c r="F177" s="591"/>
      <c r="J177" s="590"/>
    </row>
    <row r="178" spans="4:10" s="583" customFormat="1" ht="15" hidden="1">
      <c r="D178" s="585"/>
      <c r="E178" s="584"/>
      <c r="J178" s="590"/>
    </row>
    <row r="179" spans="4:10" s="583" customFormat="1" ht="15" hidden="1">
      <c r="D179" s="585"/>
      <c r="E179" s="584"/>
      <c r="J179" s="590"/>
    </row>
    <row r="180" spans="4:10" s="583" customFormat="1" ht="15" hidden="1">
      <c r="D180" s="585"/>
      <c r="E180" s="584"/>
      <c r="J180" s="590"/>
    </row>
    <row r="181" spans="4:10" s="583" customFormat="1" ht="15" hidden="1">
      <c r="D181" s="585"/>
      <c r="E181" s="584"/>
      <c r="J181" s="590"/>
    </row>
    <row r="182" spans="4:10" s="583" customFormat="1" ht="15" hidden="1">
      <c r="D182" s="585"/>
      <c r="E182" s="584"/>
      <c r="J182" s="590"/>
    </row>
    <row r="183" spans="4:10" s="583" customFormat="1" ht="15" hidden="1">
      <c r="D183" s="585"/>
      <c r="E183" s="584"/>
      <c r="J183" s="590"/>
    </row>
    <row r="184" spans="4:10" s="583" customFormat="1" ht="15" hidden="1">
      <c r="D184" s="585"/>
      <c r="E184" s="584"/>
      <c r="J184" s="590"/>
    </row>
    <row r="185" spans="4:10" s="583" customFormat="1" ht="15" hidden="1">
      <c r="D185" s="585"/>
      <c r="E185" s="584"/>
      <c r="J185" s="590"/>
    </row>
    <row r="186" spans="4:10" s="583" customFormat="1" ht="15" hidden="1">
      <c r="D186" s="585"/>
      <c r="E186" s="584"/>
      <c r="J186" s="590"/>
    </row>
    <row r="187" spans="4:10" s="583" customFormat="1" ht="15" hidden="1">
      <c r="D187" s="585"/>
      <c r="E187" s="584"/>
      <c r="J187" s="590"/>
    </row>
    <row r="188" spans="4:10" s="583" customFormat="1" ht="15" hidden="1">
      <c r="D188" s="585"/>
      <c r="E188" s="584"/>
      <c r="J188" s="590"/>
    </row>
    <row r="189" spans="4:10" s="583" customFormat="1" ht="15" hidden="1">
      <c r="D189" s="585"/>
      <c r="E189" s="584"/>
      <c r="J189" s="590"/>
    </row>
    <row r="190" spans="4:10" s="583" customFormat="1" ht="15" hidden="1">
      <c r="D190" s="585"/>
      <c r="E190" s="584"/>
      <c r="J190" s="590"/>
    </row>
    <row r="191" spans="4:10" s="583" customFormat="1" ht="15" hidden="1">
      <c r="D191" s="585"/>
      <c r="E191" s="584"/>
      <c r="J191" s="590"/>
    </row>
    <row r="192" spans="4:10" s="583" customFormat="1" ht="15" hidden="1">
      <c r="D192" s="585"/>
      <c r="E192" s="584"/>
      <c r="J192" s="590"/>
    </row>
    <row r="193" spans="5:10" s="583" customFormat="1" ht="15" hidden="1">
      <c r="E193" s="584"/>
      <c r="J193" s="590"/>
    </row>
    <row r="194" spans="5:10" s="583" customFormat="1" ht="15" hidden="1">
      <c r="E194" s="584"/>
      <c r="J194" s="590"/>
    </row>
    <row r="196" spans="5:6" s="583" customFormat="1" ht="15">
      <c r="E196" s="589"/>
      <c r="F196" s="588"/>
    </row>
    <row r="197" spans="5:6" s="583" customFormat="1" ht="15">
      <c r="E197" s="587"/>
      <c r="F197" s="588"/>
    </row>
    <row r="198" spans="5:6" s="583" customFormat="1" ht="15">
      <c r="E198" s="587"/>
      <c r="F198" s="588"/>
    </row>
    <row r="199" spans="5:6" s="583" customFormat="1" ht="15">
      <c r="E199" s="587"/>
      <c r="F199" s="588"/>
    </row>
    <row r="200" s="583" customFormat="1" ht="15">
      <c r="E200" s="587"/>
    </row>
    <row r="201" s="583" customFormat="1" ht="15">
      <c r="E201" s="587"/>
    </row>
  </sheetData>
  <sheetProtection/>
  <mergeCells count="4">
    <mergeCell ref="D4:F4"/>
    <mergeCell ref="B6:F6"/>
    <mergeCell ref="D2:F2"/>
    <mergeCell ref="D1:F1"/>
  </mergeCells>
  <printOptions/>
  <pageMargins left="0.7480314960629921" right="0.1968503937007874" top="0.35433070866141736" bottom="0.2362204724409449" header="0.31496062992125984" footer="0.31496062992125984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2:J80"/>
  <sheetViews>
    <sheetView view="pageBreakPreview" zoomScaleSheetLayoutView="100" zoomScalePageLayoutView="0" workbookViewId="0" topLeftCell="A31">
      <selection activeCell="G43" sqref="G43"/>
    </sheetView>
  </sheetViews>
  <sheetFormatPr defaultColWidth="9.140625" defaultRowHeight="12.75"/>
  <cols>
    <col min="1" max="1" width="6.140625" style="2" customWidth="1"/>
    <col min="2" max="2" width="58.7109375" style="2" customWidth="1"/>
    <col min="3" max="3" width="6.421875" style="2" customWidth="1"/>
    <col min="4" max="4" width="6.00390625" style="2" customWidth="1"/>
    <col min="5" max="5" width="12.57421875" style="2" hidden="1" customWidth="1"/>
    <col min="6" max="6" width="11.8515625" style="2" hidden="1" customWidth="1"/>
    <col min="7" max="7" width="13.57421875" style="2" customWidth="1"/>
    <col min="8" max="8" width="11.8515625" style="2" customWidth="1"/>
    <col min="9" max="9" width="13.57421875" style="2" customWidth="1"/>
    <col min="10" max="10" width="9.421875" style="2" bestFit="1" customWidth="1"/>
    <col min="11" max="16384" width="9.140625" style="2" customWidth="1"/>
  </cols>
  <sheetData>
    <row r="2" spans="2:9" ht="12.75" customHeight="1">
      <c r="B2" s="1"/>
      <c r="C2" s="637" t="s">
        <v>1099</v>
      </c>
      <c r="D2" s="638"/>
      <c r="E2" s="638"/>
      <c r="F2" s="638"/>
      <c r="G2" s="638"/>
      <c r="H2" s="638"/>
      <c r="I2" s="638"/>
    </row>
    <row r="3" spans="2:9" ht="49.5" customHeight="1">
      <c r="B3" s="1"/>
      <c r="C3" s="639" t="s">
        <v>1101</v>
      </c>
      <c r="D3" s="639"/>
      <c r="E3" s="639"/>
      <c r="F3" s="639"/>
      <c r="G3" s="639"/>
      <c r="H3" s="640"/>
      <c r="I3" s="640"/>
    </row>
    <row r="4" spans="2:9" ht="9.75" customHeight="1">
      <c r="B4" s="1"/>
      <c r="C4" s="3"/>
      <c r="D4" s="3"/>
      <c r="E4" s="3"/>
      <c r="F4" s="3"/>
      <c r="G4" s="3"/>
      <c r="H4" s="4"/>
      <c r="I4" s="4"/>
    </row>
    <row r="5" spans="2:9" ht="15.75" customHeight="1">
      <c r="B5" s="641" t="s">
        <v>8</v>
      </c>
      <c r="C5" s="642"/>
      <c r="D5" s="642"/>
      <c r="E5" s="642"/>
      <c r="F5" s="643"/>
      <c r="G5" s="643"/>
      <c r="H5" s="644"/>
      <c r="I5" s="644"/>
    </row>
    <row r="6" spans="2:9" ht="33" customHeight="1">
      <c r="B6" s="645" t="s">
        <v>9</v>
      </c>
      <c r="C6" s="646"/>
      <c r="D6" s="646"/>
      <c r="E6" s="646"/>
      <c r="F6" s="646"/>
      <c r="G6" s="646"/>
      <c r="H6" s="646"/>
      <c r="I6" s="646"/>
    </row>
    <row r="7" spans="2:9" ht="15">
      <c r="B7" s="5"/>
      <c r="C7" s="6"/>
      <c r="D7" s="6"/>
      <c r="F7" s="1"/>
      <c r="H7" s="1"/>
      <c r="I7" s="2" t="s">
        <v>10</v>
      </c>
    </row>
    <row r="8" spans="2:9" ht="42" customHeight="1">
      <c r="B8" s="262" t="s">
        <v>11</v>
      </c>
      <c r="C8" s="262" t="s">
        <v>12</v>
      </c>
      <c r="D8" s="262" t="s">
        <v>13</v>
      </c>
      <c r="E8" s="262" t="s">
        <v>14</v>
      </c>
      <c r="F8" s="263" t="s">
        <v>15</v>
      </c>
      <c r="G8" s="262" t="s">
        <v>16</v>
      </c>
      <c r="H8" s="263" t="s">
        <v>15</v>
      </c>
      <c r="I8" s="262" t="s">
        <v>17</v>
      </c>
    </row>
    <row r="9" spans="2:10" ht="15">
      <c r="B9" s="257" t="s">
        <v>18</v>
      </c>
      <c r="C9" s="636" t="s">
        <v>19</v>
      </c>
      <c r="D9" s="636"/>
      <c r="E9" s="261">
        <f>E10+E11+E12+E13+E14+E15+E16+E18+E22</f>
        <v>23726.144929999995</v>
      </c>
      <c r="F9" s="261">
        <f>F10+F11+F12+F13+F14+F15+F16+F18+F22</f>
        <v>1264</v>
      </c>
      <c r="G9" s="261">
        <f>G10+G11+G12+G13+G14+G15+G16+G18+G22+G21+G17</f>
        <v>25068.285999999996</v>
      </c>
      <c r="H9" s="261">
        <f>H10+H11+H12+H13+H14+H15+H16+H18+H22+H21+H17</f>
        <v>81.51856999999998</v>
      </c>
      <c r="I9" s="261">
        <f>I10+I11+I12+I13+I14+I15+I16+I18+I22+I21+I17</f>
        <v>25149.80857</v>
      </c>
      <c r="J9" s="10">
        <f>SUM(G10:G21)</f>
        <v>25068.285999999996</v>
      </c>
    </row>
    <row r="10" spans="2:10" ht="30">
      <c r="B10" s="113" t="s">
        <v>20</v>
      </c>
      <c r="C10" s="8" t="s">
        <v>21</v>
      </c>
      <c r="D10" s="8" t="s">
        <v>22</v>
      </c>
      <c r="E10" s="7">
        <f>'[1]10 прил(2011г)чистовик'!J651</f>
        <v>1080.095</v>
      </c>
      <c r="F10" s="7">
        <f>'[1]10 прил(2011г)чистовик'!K651</f>
        <v>0</v>
      </c>
      <c r="G10" s="9">
        <f>'10 прил(гл.расп,расх) правка'!J737</f>
        <v>1080.095</v>
      </c>
      <c r="H10" s="9">
        <f>'10 прил(гл.расп,расх) правка'!K737</f>
        <v>-75.522</v>
      </c>
      <c r="I10" s="9">
        <f>'10 прил(гл.расп,расх) правка'!L737</f>
        <v>1004.573</v>
      </c>
      <c r="J10" s="10">
        <f>G9-J9</f>
        <v>0</v>
      </c>
    </row>
    <row r="11" spans="2:9" ht="45">
      <c r="B11" s="113" t="s">
        <v>23</v>
      </c>
      <c r="C11" s="8" t="s">
        <v>21</v>
      </c>
      <c r="D11" s="8" t="s">
        <v>24</v>
      </c>
      <c r="E11" s="7">
        <f>'[1]10 прил(2011г)чистовик'!J652</f>
        <v>1677.149</v>
      </c>
      <c r="F11" s="7">
        <f>'[1]10 прил(2011г)чистовик'!K652</f>
        <v>0</v>
      </c>
      <c r="G11" s="9">
        <f>'10 прил(гл.расп,расх) правка'!J738</f>
        <v>1710.671</v>
      </c>
      <c r="H11" s="9">
        <f>'10 прил(гл.расп,расх) правка'!K738</f>
        <v>-32.182</v>
      </c>
      <c r="I11" s="9">
        <f>'10 прил(гл.расп,расх) правка'!L738</f>
        <v>1678.489</v>
      </c>
    </row>
    <row r="12" spans="2:9" ht="60">
      <c r="B12" s="113" t="s">
        <v>25</v>
      </c>
      <c r="C12" s="8" t="s">
        <v>21</v>
      </c>
      <c r="D12" s="8" t="s">
        <v>26</v>
      </c>
      <c r="E12" s="7">
        <f>'[1]10 прил(2011г)чистовик'!J653</f>
        <v>17629.555999999997</v>
      </c>
      <c r="F12" s="7">
        <f>'[1]10 прил(2011г)чистовик'!K653</f>
        <v>1264</v>
      </c>
      <c r="G12" s="9">
        <f>'10 прил(гл.расп,расх) правка'!J739</f>
        <v>16578.905</v>
      </c>
      <c r="H12" s="9">
        <f>'10 прил(гл.расп,расх) правка'!K739</f>
        <v>95.00553000000001</v>
      </c>
      <c r="I12" s="9">
        <f>'10 прил(гл.расп,расх) правка'!L739</f>
        <v>16673.91053</v>
      </c>
    </row>
    <row r="13" spans="2:9" ht="12.75" customHeight="1" hidden="1">
      <c r="B13" s="113" t="s">
        <v>27</v>
      </c>
      <c r="C13" s="8" t="s">
        <v>21</v>
      </c>
      <c r="D13" s="8" t="s">
        <v>28</v>
      </c>
      <c r="E13" s="7">
        <f>'[1]10 прил(2011г)чистовик'!J654</f>
        <v>0</v>
      </c>
      <c r="F13" s="7">
        <f>'[1]10 прил(2011г)чистовик'!K654</f>
        <v>0</v>
      </c>
      <c r="G13" s="9">
        <f>'10 прил(гл.расп,расх) правка'!J740</f>
        <v>0</v>
      </c>
      <c r="H13" s="9">
        <f>'10 прил(гл.расп,расх) правка'!K740</f>
        <v>0</v>
      </c>
      <c r="I13" s="9">
        <f>'10 прил(гл.расп,расх) правка'!L740</f>
        <v>0</v>
      </c>
    </row>
    <row r="14" spans="2:9" ht="45">
      <c r="B14" s="113" t="s">
        <v>29</v>
      </c>
      <c r="C14" s="8" t="s">
        <v>21</v>
      </c>
      <c r="D14" s="8" t="s">
        <v>30</v>
      </c>
      <c r="E14" s="7">
        <f>'[1]10 прил(2011г)чистовик'!J655</f>
        <v>3205.056</v>
      </c>
      <c r="F14" s="7">
        <f>'[1]10 прил(2011г)чистовик'!K655</f>
        <v>0</v>
      </c>
      <c r="G14" s="9">
        <f>'10 прил(гл.расп,расх) правка'!J741</f>
        <v>3322.046</v>
      </c>
      <c r="H14" s="9">
        <f>'10 прил(гл.расп,расх) правка'!K741</f>
        <v>67.82503999999999</v>
      </c>
      <c r="I14" s="9">
        <f>'10 прил(гл.расп,расх) правка'!L741</f>
        <v>3389.8750400000004</v>
      </c>
    </row>
    <row r="15" spans="2:9" ht="15" customHeight="1">
      <c r="B15" s="113" t="s">
        <v>31</v>
      </c>
      <c r="C15" s="8" t="s">
        <v>21</v>
      </c>
      <c r="D15" s="8" t="s">
        <v>32</v>
      </c>
      <c r="E15" s="7">
        <f>'[1]10 прил(2011г)чистовик'!J656</f>
        <v>134.28893</v>
      </c>
      <c r="F15" s="7">
        <f>'[1]10 прил(2011г)чистовик'!K656</f>
        <v>0</v>
      </c>
      <c r="G15" s="9">
        <f>'10 прил(гл.расп,расх) правка'!J742</f>
        <v>134.289</v>
      </c>
      <c r="H15" s="9">
        <f>'10 прил(гл.расп,расх) правка'!K742</f>
        <v>0</v>
      </c>
      <c r="I15" s="9">
        <f>'10 прил(гл.расп,расх) правка'!L742</f>
        <v>134.289</v>
      </c>
    </row>
    <row r="16" spans="2:9" ht="15" hidden="1">
      <c r="B16" s="113"/>
      <c r="C16" s="8"/>
      <c r="D16" s="8"/>
      <c r="E16" s="7"/>
      <c r="F16" s="7"/>
      <c r="G16" s="9">
        <f>'10 прил(гл.расп,расх) правка'!J743</f>
        <v>0</v>
      </c>
      <c r="H16" s="9">
        <f>'10 прил(гл.расп,расх) правка'!K743</f>
        <v>0</v>
      </c>
      <c r="I16" s="9">
        <f>'10 прил(гл.расп,расх) правка'!L743</f>
        <v>0</v>
      </c>
    </row>
    <row r="17" spans="2:9" ht="15" hidden="1">
      <c r="B17" s="256" t="s">
        <v>35</v>
      </c>
      <c r="C17" s="8" t="s">
        <v>21</v>
      </c>
      <c r="D17" s="8" t="s">
        <v>34</v>
      </c>
      <c r="E17" s="7"/>
      <c r="F17" s="7"/>
      <c r="G17" s="9">
        <f>'10 прил(гл.расп,расх) правка'!J744</f>
        <v>0</v>
      </c>
      <c r="H17" s="9">
        <f>'10 прил(гл.расп,расх) правка'!K744</f>
        <v>0</v>
      </c>
      <c r="I17" s="9">
        <f>'10 прил(гл.расп,расх) правка'!L744</f>
        <v>0</v>
      </c>
    </row>
    <row r="18" spans="2:9" ht="15" hidden="1">
      <c r="B18" s="113" t="s">
        <v>35</v>
      </c>
      <c r="C18" s="8" t="s">
        <v>21</v>
      </c>
      <c r="D18" s="8" t="s">
        <v>36</v>
      </c>
      <c r="E18" s="7">
        <f>'[1]10 прил(2011г)чистовик'!J659</f>
        <v>0</v>
      </c>
      <c r="F18" s="7">
        <f>'[1]10 прил(2011г)чистовик'!K659</f>
        <v>0</v>
      </c>
      <c r="G18" s="9">
        <f>'10 прил(гл.расп,расх) правка'!J745</f>
        <v>0</v>
      </c>
      <c r="H18" s="9">
        <f>'10 прил(гл.расп,расх) правка'!K745</f>
        <v>9.7</v>
      </c>
      <c r="I18" s="9">
        <f>'10 прил(гл.расп,расх) правка'!L745</f>
        <v>9.7</v>
      </c>
    </row>
    <row r="19" spans="2:9" ht="14.25" customHeight="1" hidden="1">
      <c r="B19" s="113"/>
      <c r="C19" s="8"/>
      <c r="D19" s="8"/>
      <c r="E19" s="7">
        <f>'[1]10 прил(2011г)чистовик'!J660</f>
        <v>1596.53</v>
      </c>
      <c r="F19" s="7">
        <f>'[1]10 прил(2011г)чистовик'!K660</f>
        <v>450</v>
      </c>
      <c r="G19" s="9"/>
      <c r="H19" s="9"/>
      <c r="I19" s="9"/>
    </row>
    <row r="20" spans="2:9" ht="14.25" customHeight="1" hidden="1">
      <c r="B20" s="113"/>
      <c r="C20" s="8" t="s">
        <v>21</v>
      </c>
      <c r="D20" s="8" t="s">
        <v>37</v>
      </c>
      <c r="E20" s="7">
        <f>'[1]10 прил(2011г)чистовик'!J660</f>
        <v>1596.53</v>
      </c>
      <c r="F20" s="7">
        <f>'[1]10 прил(2011г)чистовик'!K660</f>
        <v>450</v>
      </c>
      <c r="G20" s="9"/>
      <c r="H20" s="9"/>
      <c r="I20" s="9"/>
    </row>
    <row r="21" spans="2:9" ht="14.25" customHeight="1">
      <c r="B21" s="256" t="s">
        <v>38</v>
      </c>
      <c r="C21" s="8" t="s">
        <v>21</v>
      </c>
      <c r="D21" s="8" t="s">
        <v>37</v>
      </c>
      <c r="E21" s="7"/>
      <c r="F21" s="7"/>
      <c r="G21" s="9">
        <f>'10 прил(гл.расп,расх) правка'!J746</f>
        <v>2242.2799999999997</v>
      </c>
      <c r="H21" s="9">
        <f>'10 прил(гл.расп,расх) правка'!K746</f>
        <v>16.692</v>
      </c>
      <c r="I21" s="9">
        <f>'10 прил(гл.расп,расх) правка'!L746</f>
        <v>2258.9719999999998</v>
      </c>
    </row>
    <row r="22" spans="2:9" ht="15">
      <c r="B22" s="113" t="s">
        <v>38</v>
      </c>
      <c r="C22" s="8" t="s">
        <v>21</v>
      </c>
      <c r="D22" s="8" t="s">
        <v>39</v>
      </c>
      <c r="E22" s="7">
        <f>'[1]10 прил(2011г)чистовик'!J661</f>
        <v>0</v>
      </c>
      <c r="F22" s="7">
        <f>'[1]10 прил(2011г)чистовик'!K661</f>
        <v>0</v>
      </c>
      <c r="G22" s="9">
        <f>'10 прил(гл.расп,расх) правка'!J747</f>
        <v>0</v>
      </c>
      <c r="H22" s="9">
        <f>'10 прил(гл.расп,расх) правка'!K747</f>
        <v>0</v>
      </c>
      <c r="I22" s="9">
        <f>'10 прил(гл.расп,расх) правка'!L747</f>
        <v>0</v>
      </c>
    </row>
    <row r="23" spans="2:10" ht="15">
      <c r="B23" s="257" t="s">
        <v>40</v>
      </c>
      <c r="C23" s="636" t="s">
        <v>41</v>
      </c>
      <c r="D23" s="636"/>
      <c r="E23" s="258"/>
      <c r="F23" s="258"/>
      <c r="G23" s="259">
        <f>G24</f>
        <v>541.5</v>
      </c>
      <c r="H23" s="259">
        <f>H24</f>
        <v>19.6</v>
      </c>
      <c r="I23" s="259">
        <f>I24</f>
        <v>561.1</v>
      </c>
      <c r="J23" s="10">
        <f>G24</f>
        <v>541.5</v>
      </c>
    </row>
    <row r="24" spans="2:9" ht="15">
      <c r="B24" s="113" t="s">
        <v>42</v>
      </c>
      <c r="C24" s="8" t="s">
        <v>22</v>
      </c>
      <c r="D24" s="8" t="s">
        <v>24</v>
      </c>
      <c r="E24" s="7"/>
      <c r="F24" s="7"/>
      <c r="G24" s="9">
        <f>'10 прил(гл.расп,расх) правка'!J749</f>
        <v>541.5</v>
      </c>
      <c r="H24" s="9">
        <f>'10 прил(гл.расп,расх) правка'!K749</f>
        <v>19.6</v>
      </c>
      <c r="I24" s="9">
        <f>'10 прил(гл.расп,расх) правка'!L749</f>
        <v>561.1</v>
      </c>
    </row>
    <row r="25" spans="2:10" ht="29.25">
      <c r="B25" s="257" t="s">
        <v>43</v>
      </c>
      <c r="C25" s="636" t="s">
        <v>44</v>
      </c>
      <c r="D25" s="636"/>
      <c r="E25" s="258">
        <f>SUM(E26:E27)</f>
        <v>575</v>
      </c>
      <c r="F25" s="258">
        <f>SUM(F26:F27)</f>
        <v>200</v>
      </c>
      <c r="G25" s="258">
        <f>SUM(G26:G28)</f>
        <v>745</v>
      </c>
      <c r="H25" s="258">
        <f>SUM(H26:H28)</f>
        <v>-10</v>
      </c>
      <c r="I25" s="258">
        <f>SUM(I26:I28)</f>
        <v>735</v>
      </c>
      <c r="J25" s="10">
        <f>SUM(G26:G27)</f>
        <v>730</v>
      </c>
    </row>
    <row r="26" spans="2:9" ht="15">
      <c r="B26" s="113" t="s">
        <v>45</v>
      </c>
      <c r="C26" s="8" t="s">
        <v>24</v>
      </c>
      <c r="D26" s="8" t="s">
        <v>22</v>
      </c>
      <c r="E26" s="7">
        <f>'[1]10 прил(2011г)чистовик'!J665</f>
        <v>500</v>
      </c>
      <c r="F26" s="7">
        <f>'[1]10 прил(2011г)чистовик'!K665</f>
        <v>200</v>
      </c>
      <c r="G26" s="9">
        <f>'10 прил(гл.расп,расх) правка'!J751</f>
        <v>700</v>
      </c>
      <c r="H26" s="9">
        <f>'10 прил(гл.расп,расх) правка'!K751</f>
        <v>0</v>
      </c>
      <c r="I26" s="9">
        <f>'10 прил(гл.расп,расх) правка'!L751</f>
        <v>700</v>
      </c>
    </row>
    <row r="27" spans="2:9" ht="30">
      <c r="B27" s="113" t="s">
        <v>46</v>
      </c>
      <c r="C27" s="8" t="s">
        <v>24</v>
      </c>
      <c r="D27" s="8" t="s">
        <v>47</v>
      </c>
      <c r="E27" s="7">
        <f>'[1]10 прил(2011г)чистовик'!J666</f>
        <v>75</v>
      </c>
      <c r="F27" s="7">
        <f>'[1]10 прил(2011г)чистовик'!K666</f>
        <v>0</v>
      </c>
      <c r="G27" s="9">
        <f>'10 прил(гл.расп,расх) правка'!J752</f>
        <v>30</v>
      </c>
      <c r="H27" s="9">
        <f>'10 прил(гл.расп,расх) правка'!K752</f>
        <v>-10</v>
      </c>
      <c r="I27" s="9">
        <f>'10 прил(гл.расп,расх) правка'!L752</f>
        <v>20</v>
      </c>
    </row>
    <row r="28" spans="2:9" ht="15">
      <c r="B28" s="113"/>
      <c r="C28" s="8" t="s">
        <v>24</v>
      </c>
      <c r="D28" s="8" t="s">
        <v>39</v>
      </c>
      <c r="E28" s="7"/>
      <c r="F28" s="7"/>
      <c r="G28" s="9">
        <f>'10 прил(гл.расп,расх) правка'!J753</f>
        <v>15</v>
      </c>
      <c r="H28" s="9">
        <f>'10 прил(гл.расп,расх) правка'!K753</f>
        <v>0</v>
      </c>
      <c r="I28" s="9">
        <f>'10 прил(гл.расп,расх) правка'!L753</f>
        <v>15</v>
      </c>
    </row>
    <row r="29" spans="2:10" ht="15">
      <c r="B29" s="257" t="s">
        <v>48</v>
      </c>
      <c r="C29" s="636" t="s">
        <v>49</v>
      </c>
      <c r="D29" s="636"/>
      <c r="E29" s="258">
        <f>SUM(E30:E35)</f>
        <v>2694.703</v>
      </c>
      <c r="F29" s="258">
        <f>SUM(F30:F35)</f>
        <v>70</v>
      </c>
      <c r="G29" s="258">
        <f>SUM(G30:G35)</f>
        <v>9319.393</v>
      </c>
      <c r="H29" s="258">
        <f>SUM(H30:H35)</f>
        <v>9249.92058</v>
      </c>
      <c r="I29" s="258">
        <f>SUM(I30:I35)</f>
        <v>18569.313580000002</v>
      </c>
      <c r="J29" s="10">
        <f>SUM(H30:H35)</f>
        <v>9249.92058</v>
      </c>
    </row>
    <row r="30" spans="2:9" ht="15">
      <c r="B30" s="113" t="s">
        <v>50</v>
      </c>
      <c r="C30" s="8" t="s">
        <v>26</v>
      </c>
      <c r="D30" s="8" t="s">
        <v>21</v>
      </c>
      <c r="E30" s="7"/>
      <c r="F30" s="7"/>
      <c r="G30" s="9">
        <f>'10 прил(гл.расп,расх) правка'!J755</f>
        <v>659.2</v>
      </c>
      <c r="H30" s="9">
        <f>'10 прил(гл.расп,расх) правка'!K755</f>
        <v>9.92058</v>
      </c>
      <c r="I30" s="9">
        <f>'10 прил(гл.расп,расх) правка'!L755</f>
        <v>669.12058</v>
      </c>
    </row>
    <row r="31" spans="2:9" ht="14.25" customHeight="1">
      <c r="B31" s="113" t="s">
        <v>51</v>
      </c>
      <c r="C31" s="8" t="s">
        <v>26</v>
      </c>
      <c r="D31" s="8" t="s">
        <v>28</v>
      </c>
      <c r="E31" s="7">
        <f>'[1]10 прил(2011г)чистовик'!J668</f>
        <v>160</v>
      </c>
      <c r="F31" s="7">
        <f>'[1]10 прил(2011г)чистовик'!K668</f>
        <v>70</v>
      </c>
      <c r="G31" s="9">
        <f>'10 прил(гл.расп,расх) правка'!J756</f>
        <v>3348.631</v>
      </c>
      <c r="H31" s="9">
        <f>'10 прил(гл.расп,расх) правка'!K756</f>
        <v>0</v>
      </c>
      <c r="I31" s="9">
        <f>'10 прил(гл.расп,расх) правка'!L756</f>
        <v>3348.631</v>
      </c>
    </row>
    <row r="32" spans="2:9" ht="15" hidden="1">
      <c r="B32" s="113" t="s">
        <v>52</v>
      </c>
      <c r="C32" s="8" t="s">
        <v>26</v>
      </c>
      <c r="D32" s="8" t="s">
        <v>53</v>
      </c>
      <c r="E32" s="7">
        <v>0</v>
      </c>
      <c r="F32" s="7"/>
      <c r="G32" s="9"/>
      <c r="H32" s="9"/>
      <c r="I32" s="9"/>
    </row>
    <row r="33" spans="2:9" ht="15" hidden="1">
      <c r="B33" s="113" t="s">
        <v>54</v>
      </c>
      <c r="C33" s="8" t="s">
        <v>26</v>
      </c>
      <c r="D33" s="8" t="s">
        <v>47</v>
      </c>
      <c r="E33" s="7">
        <f>'[1]10 прил(2011г)чистовик'!J669</f>
        <v>0</v>
      </c>
      <c r="F33" s="7">
        <f>'[1]10 прил(2011г)чистовик'!K669</f>
        <v>0</v>
      </c>
      <c r="G33" s="9"/>
      <c r="H33" s="9"/>
      <c r="I33" s="9"/>
    </row>
    <row r="34" spans="2:9" ht="27" customHeight="1" hidden="1">
      <c r="B34" s="30" t="s">
        <v>55</v>
      </c>
      <c r="C34" s="8" t="s">
        <v>26</v>
      </c>
      <c r="D34" s="8" t="s">
        <v>34</v>
      </c>
      <c r="E34" s="7">
        <f>'[1]10 прил(2011г)чистовик'!J670</f>
        <v>0</v>
      </c>
      <c r="F34" s="7">
        <f>'[1]10 прил(2011г)чистовик'!K670</f>
        <v>0</v>
      </c>
      <c r="G34" s="9"/>
      <c r="H34" s="9"/>
      <c r="I34" s="9"/>
    </row>
    <row r="35" spans="2:9" ht="15">
      <c r="B35" s="113" t="s">
        <v>56</v>
      </c>
      <c r="C35" s="8" t="s">
        <v>26</v>
      </c>
      <c r="D35" s="8" t="s">
        <v>36</v>
      </c>
      <c r="E35" s="7">
        <f>'[1]10 прил(2011г)чистовик'!J671</f>
        <v>2534.703</v>
      </c>
      <c r="F35" s="7">
        <f>'[1]10 прил(2011г)чистовик'!K671</f>
        <v>0</v>
      </c>
      <c r="G35" s="9">
        <f>'10 прил(гл.расп,расх) правка'!J759</f>
        <v>5311.562</v>
      </c>
      <c r="H35" s="9">
        <f>'10 прил(гл.расп,расх) правка'!K759</f>
        <v>9240</v>
      </c>
      <c r="I35" s="9">
        <f>'10 прил(гл.расп,расх) правка'!L759</f>
        <v>14551.562</v>
      </c>
    </row>
    <row r="36" spans="2:10" ht="15">
      <c r="B36" s="257" t="s">
        <v>57</v>
      </c>
      <c r="C36" s="636" t="s">
        <v>58</v>
      </c>
      <c r="D36" s="636"/>
      <c r="E36" s="258">
        <f>SUM(E37:E40)</f>
        <v>16056.14</v>
      </c>
      <c r="F36" s="258">
        <f>SUM(F37:F40)</f>
        <v>990.6</v>
      </c>
      <c r="G36" s="258">
        <f>SUM(G37:G40)</f>
        <v>33945.92999999999</v>
      </c>
      <c r="H36" s="258">
        <f>SUM(H37:H40)</f>
        <v>-334.77194000000003</v>
      </c>
      <c r="I36" s="258">
        <f>SUM(I37:I40)</f>
        <v>33611.15806</v>
      </c>
      <c r="J36" s="10">
        <f>SUM(G37:G40)</f>
        <v>33945.92999999999</v>
      </c>
    </row>
    <row r="37" spans="2:9" ht="15">
      <c r="B37" s="113" t="s">
        <v>59</v>
      </c>
      <c r="C37" s="8" t="s">
        <v>28</v>
      </c>
      <c r="D37" s="8" t="s">
        <v>21</v>
      </c>
      <c r="E37" s="7">
        <f>'[1]10 прил(2011г)чистовик'!J673</f>
        <v>1400</v>
      </c>
      <c r="F37" s="7">
        <f>'[1]10 прил(2011г)чистовик'!K673</f>
        <v>80</v>
      </c>
      <c r="G37" s="9">
        <f>'10 прил(гл.расп,расх) правка'!J761</f>
        <v>1319.7900000000002</v>
      </c>
      <c r="H37" s="9">
        <f>'10 прил(гл.расп,расх) правка'!K761</f>
        <v>0.00047</v>
      </c>
      <c r="I37" s="9">
        <f>'10 прил(гл.расп,расх) правка'!L761</f>
        <v>1319.7904700000001</v>
      </c>
    </row>
    <row r="38" spans="2:9" ht="15">
      <c r="B38" s="113" t="s">
        <v>60</v>
      </c>
      <c r="C38" s="8" t="s">
        <v>28</v>
      </c>
      <c r="D38" s="8" t="s">
        <v>22</v>
      </c>
      <c r="E38" s="7">
        <f>'[1]10 прил(2011г)чистовик'!J674</f>
        <v>14356.14</v>
      </c>
      <c r="F38" s="7">
        <f>'[1]10 прил(2011г)чистовик'!K674</f>
        <v>710.6</v>
      </c>
      <c r="G38" s="9">
        <f>'10 прил(гл.расп,расх) правка'!J762</f>
        <v>30226.139999999996</v>
      </c>
      <c r="H38" s="9">
        <f>'10 прил(гл.расп,расх) правка'!K762</f>
        <v>-273.374</v>
      </c>
      <c r="I38" s="9">
        <f>'10 прил(гл.расп,расх) правка'!L762</f>
        <v>29952.766</v>
      </c>
    </row>
    <row r="39" spans="2:9" ht="15" customHeight="1">
      <c r="B39" s="113" t="s">
        <v>61</v>
      </c>
      <c r="C39" s="8" t="s">
        <v>28</v>
      </c>
      <c r="D39" s="8" t="s">
        <v>24</v>
      </c>
      <c r="E39" s="7">
        <f>'[1]10 прил(2011г)чистовик'!J675</f>
        <v>300</v>
      </c>
      <c r="F39" s="7">
        <f>'[1]10 прил(2011г)чистовик'!K675</f>
        <v>200</v>
      </c>
      <c r="G39" s="9">
        <f>'10 прил(гл.расп,расх) правка'!J763</f>
        <v>2400</v>
      </c>
      <c r="H39" s="9">
        <f>'10 прил(гл.расп,расх) правка'!K763</f>
        <v>-61.39841</v>
      </c>
      <c r="I39" s="9">
        <f>'10 прил(гл.расп,расх) правка'!L763</f>
        <v>2338.60159</v>
      </c>
    </row>
    <row r="40" spans="2:9" ht="12.75" customHeight="1" hidden="1">
      <c r="B40" s="113" t="s">
        <v>62</v>
      </c>
      <c r="C40" s="8" t="s">
        <v>28</v>
      </c>
      <c r="D40" s="8" t="s">
        <v>28</v>
      </c>
      <c r="E40" s="7">
        <f>'[1]10 прил(2011г)чистовик'!J676</f>
        <v>0</v>
      </c>
      <c r="F40" s="7">
        <f>'[1]10 прил(2011г)чистовик'!K676</f>
        <v>0</v>
      </c>
      <c r="G40" s="9">
        <f>'10 прил(гл.расп,расх) правка'!J764</f>
        <v>0</v>
      </c>
      <c r="H40" s="9">
        <f>'10 прил(гл.расп,расх) правка'!K764</f>
        <v>0</v>
      </c>
      <c r="I40" s="9">
        <f>'10 прил(гл.расп,расх) правка'!L764</f>
        <v>0</v>
      </c>
    </row>
    <row r="41" spans="2:10" ht="15">
      <c r="B41" s="257" t="s">
        <v>63</v>
      </c>
      <c r="C41" s="636" t="s">
        <v>64</v>
      </c>
      <c r="D41" s="636"/>
      <c r="E41" s="258">
        <f>SUM(E42:E46)</f>
        <v>202387.06693</v>
      </c>
      <c r="F41" s="258">
        <f>SUM(F42:F46)</f>
        <v>4473.21104</v>
      </c>
      <c r="G41" s="258">
        <f>SUM(G42:G46)</f>
        <v>316884.77195</v>
      </c>
      <c r="H41" s="258">
        <f>SUM(H42:H46)</f>
        <v>5330.8597</v>
      </c>
      <c r="I41" s="258">
        <f>SUM(I42:I46)</f>
        <v>322215.63165</v>
      </c>
      <c r="J41" s="10">
        <f>SUM(G42:G46)</f>
        <v>316884.77195</v>
      </c>
    </row>
    <row r="42" spans="2:9" ht="15" customHeight="1">
      <c r="B42" s="113" t="s">
        <v>65</v>
      </c>
      <c r="C42" s="8" t="s">
        <v>32</v>
      </c>
      <c r="D42" s="8" t="s">
        <v>21</v>
      </c>
      <c r="E42" s="7">
        <f>'[1]10 прил(2011г)чистовик'!J678</f>
        <v>565</v>
      </c>
      <c r="F42" s="7">
        <f>'[1]10 прил(2011г)чистовик'!K678</f>
        <v>263</v>
      </c>
      <c r="G42" s="9">
        <f>'10 прил(гл.расп,расх) правка'!J766</f>
        <v>920.933</v>
      </c>
      <c r="H42" s="9">
        <f>'10 прил(гл.расп,расх) правка'!K766</f>
        <v>-516.553</v>
      </c>
      <c r="I42" s="9">
        <f>'10 прил(гл.расп,расх) правка'!L766</f>
        <v>404.38</v>
      </c>
    </row>
    <row r="43" spans="2:9" ht="15">
      <c r="B43" s="113" t="s">
        <v>66</v>
      </c>
      <c r="C43" s="8" t="s">
        <v>32</v>
      </c>
      <c r="D43" s="8" t="s">
        <v>22</v>
      </c>
      <c r="E43" s="7">
        <f>'[1]10 прил(2011г)чистовик'!J679</f>
        <v>191668.53093</v>
      </c>
      <c r="F43" s="7">
        <f>'[1]10 прил(2011г)чистовик'!K679</f>
        <v>4208.95606</v>
      </c>
      <c r="G43" s="9">
        <f>'10 прил(гл.расп,расх) правка'!J767</f>
        <v>304728.93796999997</v>
      </c>
      <c r="H43" s="9">
        <f>'10 прил(гл.расп,расх) правка'!K767</f>
        <v>5860.55</v>
      </c>
      <c r="I43" s="9">
        <f>'10 прил(гл.расп,расх) правка'!L767</f>
        <v>310589.48796999996</v>
      </c>
    </row>
    <row r="44" spans="2:9" ht="30">
      <c r="B44" s="113" t="s">
        <v>67</v>
      </c>
      <c r="C44" s="8" t="s">
        <v>32</v>
      </c>
      <c r="D44" s="8" t="s">
        <v>28</v>
      </c>
      <c r="E44" s="7">
        <f>'[1]10 прил(2011г)чистовик'!J680</f>
        <v>740.91</v>
      </c>
      <c r="F44" s="7">
        <f>'[1]10 прил(2011г)чистовик'!K680</f>
        <v>0</v>
      </c>
      <c r="G44" s="9">
        <f>'10 прил(гл.расп,расх) правка'!J768</f>
        <v>468.4599999999999</v>
      </c>
      <c r="H44" s="9">
        <f>'10 прил(гл.расп,расх) правка'!K768</f>
        <v>0</v>
      </c>
      <c r="I44" s="9">
        <f>'10 прил(гл.расп,расх) правка'!L768</f>
        <v>468.4599999999999</v>
      </c>
    </row>
    <row r="45" spans="2:9" ht="15">
      <c r="B45" s="113" t="s">
        <v>68</v>
      </c>
      <c r="C45" s="8" t="s">
        <v>32</v>
      </c>
      <c r="D45" s="8" t="s">
        <v>32</v>
      </c>
      <c r="E45" s="7">
        <f>'[1]10 прил(2011г)чистовик'!J681</f>
        <v>2380.06</v>
      </c>
      <c r="F45" s="7">
        <f>'[1]10 прил(2011г)чистовик'!K681</f>
        <v>0</v>
      </c>
      <c r="G45" s="9">
        <f>'10 прил(гл.расп,расх) правка'!J769</f>
        <v>3494.439</v>
      </c>
      <c r="H45" s="9">
        <f>'10 прил(гл.расп,расх) правка'!K769</f>
        <v>-3.1373</v>
      </c>
      <c r="I45" s="9">
        <f>'10 прил(гл.расп,расх) правка'!L769</f>
        <v>3491.3017</v>
      </c>
    </row>
    <row r="46" spans="2:9" ht="15">
      <c r="B46" s="113" t="s">
        <v>69</v>
      </c>
      <c r="C46" s="8" t="s">
        <v>32</v>
      </c>
      <c r="D46" s="8" t="s">
        <v>47</v>
      </c>
      <c r="E46" s="7">
        <f>'[1]10 прил(2011г)чистовик'!J682</f>
        <v>7032.566</v>
      </c>
      <c r="F46" s="7">
        <f>'[1]10 прил(2011г)чистовик'!K682</f>
        <v>1.25498</v>
      </c>
      <c r="G46" s="9">
        <f>'10 прил(гл.расп,расх) правка'!J770</f>
        <v>7272.00198</v>
      </c>
      <c r="H46" s="9">
        <f>'10 прил(гл.расп,расх) правка'!K770</f>
        <v>-10</v>
      </c>
      <c r="I46" s="9">
        <f>'10 прил(гл.расп,расх) правка'!L770</f>
        <v>7262.00198</v>
      </c>
    </row>
    <row r="47" spans="2:10" ht="15">
      <c r="B47" s="257" t="s">
        <v>70</v>
      </c>
      <c r="C47" s="636" t="s">
        <v>71</v>
      </c>
      <c r="D47" s="636"/>
      <c r="E47" s="258">
        <f>SUM(E48:E51)</f>
        <v>4058.852</v>
      </c>
      <c r="F47" s="258">
        <f>SUM(F48:F51)</f>
        <v>648.88</v>
      </c>
      <c r="G47" s="258">
        <f>SUM(G48:G51)</f>
        <v>7431.713900000001</v>
      </c>
      <c r="H47" s="258">
        <f>SUM(H48:H51)</f>
        <v>1190.1372999999999</v>
      </c>
      <c r="I47" s="258">
        <f>SUM(I48:I51)</f>
        <v>8621.851200000001</v>
      </c>
      <c r="J47" s="10">
        <f>SUM(G48:G50)</f>
        <v>7431.713900000001</v>
      </c>
    </row>
    <row r="48" spans="2:9" ht="15">
      <c r="B48" s="113" t="s">
        <v>72</v>
      </c>
      <c r="C48" s="8" t="s">
        <v>53</v>
      </c>
      <c r="D48" s="8" t="s">
        <v>21</v>
      </c>
      <c r="E48" s="7">
        <f>'[1]10 прил(2011г)чистовик'!J684</f>
        <v>4058.852</v>
      </c>
      <c r="F48" s="7">
        <f>'[1]10 прил(2011г)чистовик'!K684</f>
        <v>648.88</v>
      </c>
      <c r="G48" s="9">
        <f>'10 прил(гл.расп,расх) правка'!J772</f>
        <v>5086.4995</v>
      </c>
      <c r="H48" s="9">
        <f>'10 прил(гл.расп,расх) правка'!K772</f>
        <v>1132.45615</v>
      </c>
      <c r="I48" s="9">
        <f>'10 прил(гл.расп,расх) правка'!L772</f>
        <v>6218.95565</v>
      </c>
    </row>
    <row r="49" spans="2:9" ht="15" hidden="1">
      <c r="B49" s="113" t="s">
        <v>73</v>
      </c>
      <c r="C49" s="8" t="s">
        <v>53</v>
      </c>
      <c r="D49" s="8" t="s">
        <v>26</v>
      </c>
      <c r="E49" s="7">
        <f>'[1]10 прил(2011г)чистовик'!J685</f>
        <v>0</v>
      </c>
      <c r="F49" s="7">
        <f>'[1]10 прил(2011г)чистовик'!K685</f>
        <v>0</v>
      </c>
      <c r="G49" s="9">
        <f>'10 прил(гл.расп,расх) правка'!J773</f>
        <v>0</v>
      </c>
      <c r="H49" s="9">
        <f>'10 прил(гл.расп,расх) правка'!K773</f>
        <v>0</v>
      </c>
      <c r="I49" s="9">
        <f>'10 прил(гл.расп,расх) правка'!L773</f>
        <v>0</v>
      </c>
    </row>
    <row r="50" spans="2:9" ht="15">
      <c r="B50" s="113" t="s">
        <v>74</v>
      </c>
      <c r="C50" s="8" t="s">
        <v>53</v>
      </c>
      <c r="D50" s="8" t="s">
        <v>26</v>
      </c>
      <c r="E50" s="7"/>
      <c r="F50" s="7"/>
      <c r="G50" s="9">
        <f>'10 прил(гл.расп,расх) правка'!J774</f>
        <v>2345.2144000000003</v>
      </c>
      <c r="H50" s="9">
        <f>'10 прил(гл.расп,расх) правка'!K774</f>
        <v>57.68115</v>
      </c>
      <c r="I50" s="9">
        <f>'10 прил(гл.расп,расх) правка'!L774</f>
        <v>2402.89555</v>
      </c>
    </row>
    <row r="51" spans="2:9" ht="30" hidden="1">
      <c r="B51" s="113" t="s">
        <v>75</v>
      </c>
      <c r="C51" s="8" t="s">
        <v>53</v>
      </c>
      <c r="D51" s="8" t="s">
        <v>30</v>
      </c>
      <c r="E51" s="7">
        <f>'[1]10 прил(2011г)чистовик'!J687</f>
        <v>0</v>
      </c>
      <c r="F51" s="7">
        <f>'[1]10 прил(2011г)чистовик'!K687</f>
        <v>0</v>
      </c>
      <c r="G51" s="9">
        <f>'10 прил(гл.расп,расх) правка'!J775</f>
        <v>0</v>
      </c>
      <c r="H51" s="9">
        <f>'10 прил(гл.расп,расх) правка'!K775</f>
        <v>0</v>
      </c>
      <c r="I51" s="9">
        <f>'10 прил(гл.расп,расх) правка'!L775</f>
        <v>0</v>
      </c>
    </row>
    <row r="52" spans="2:10" ht="15">
      <c r="B52" s="257" t="s">
        <v>76</v>
      </c>
      <c r="C52" s="636" t="s">
        <v>77</v>
      </c>
      <c r="D52" s="636"/>
      <c r="E52" s="258">
        <f>SUM(E53:E59)</f>
        <v>43853.96</v>
      </c>
      <c r="F52" s="258">
        <f>SUM(F53:F59)</f>
        <v>100</v>
      </c>
      <c r="G52" s="258">
        <f>SUM(G53:G59)</f>
        <v>107482.03468999999</v>
      </c>
      <c r="H52" s="258">
        <f>SUM(H53:H59)</f>
        <v>6162.020160000001</v>
      </c>
      <c r="I52" s="258">
        <f>SUM(I53:I59)</f>
        <v>113644.05485000001</v>
      </c>
      <c r="J52" s="10">
        <f>SUM(G53:G58)</f>
        <v>107482.03468999999</v>
      </c>
    </row>
    <row r="53" spans="2:9" ht="15">
      <c r="B53" s="113" t="s">
        <v>78</v>
      </c>
      <c r="C53" s="8" t="s">
        <v>47</v>
      </c>
      <c r="D53" s="8" t="s">
        <v>21</v>
      </c>
      <c r="E53" s="7">
        <f>'[1]10 прил(2011г)чистовик'!J689</f>
        <v>38155.259999999995</v>
      </c>
      <c r="F53" s="7">
        <f>'[1]10 прил(2011г)чистовик'!K689</f>
        <v>100</v>
      </c>
      <c r="G53" s="9">
        <f>'10 прил(гл.расп,расх) правка'!J777</f>
        <v>100797.87069</v>
      </c>
      <c r="H53" s="9">
        <f>'10 прил(гл.расп,расх) правка'!K777</f>
        <v>6290.58716</v>
      </c>
      <c r="I53" s="9">
        <f>'10 прил(гл.расп,расх) правка'!L777</f>
        <v>107088.45785</v>
      </c>
    </row>
    <row r="54" spans="2:9" ht="15">
      <c r="B54" s="113" t="s">
        <v>79</v>
      </c>
      <c r="C54" s="8" t="s">
        <v>47</v>
      </c>
      <c r="D54" s="8" t="s">
        <v>22</v>
      </c>
      <c r="E54" s="7">
        <f>'[1]10 прил(2011г)чистовик'!J690</f>
        <v>4948.8</v>
      </c>
      <c r="F54" s="7">
        <f>'[1]10 прил(2011г)чистовик'!K690</f>
        <v>0</v>
      </c>
      <c r="G54" s="9">
        <f>'10 прил(гл.расп,расх) правка'!J778</f>
        <v>5134.264</v>
      </c>
      <c r="H54" s="9">
        <f>'10 прил(гл.расп,расх) правка'!K778</f>
        <v>-172.51999999999998</v>
      </c>
      <c r="I54" s="9">
        <f>'10 прил(гл.расп,расх) правка'!L778</f>
        <v>4961.744000000001</v>
      </c>
    </row>
    <row r="55" spans="2:9" ht="15">
      <c r="B55" s="113" t="s">
        <v>80</v>
      </c>
      <c r="C55" s="8" t="s">
        <v>47</v>
      </c>
      <c r="D55" s="8" t="s">
        <v>26</v>
      </c>
      <c r="E55" s="7">
        <f>'[1]10 прил(2011г)чистовик'!J691</f>
        <v>749.9</v>
      </c>
      <c r="F55" s="7">
        <f>'[1]10 прил(2011г)чистовик'!K691</f>
        <v>0</v>
      </c>
      <c r="G55" s="9">
        <f>'10 прил(гл.расп,расх) правка'!J779</f>
        <v>749.9</v>
      </c>
      <c r="H55" s="9">
        <f>'10 прил(гл.расп,расх) правка'!K779</f>
        <v>43.953</v>
      </c>
      <c r="I55" s="9">
        <f>'10 прил(гл.расп,расх) правка'!L779</f>
        <v>793.853</v>
      </c>
    </row>
    <row r="56" spans="2:9" ht="12.75" customHeight="1" hidden="1">
      <c r="B56" s="113" t="s">
        <v>81</v>
      </c>
      <c r="C56" s="8" t="s">
        <v>47</v>
      </c>
      <c r="D56" s="8" t="s">
        <v>53</v>
      </c>
      <c r="E56" s="7"/>
      <c r="F56" s="7"/>
      <c r="G56" s="9">
        <f>'10 прил(гл.расп,расх) правка'!J780</f>
        <v>0</v>
      </c>
      <c r="H56" s="9">
        <f>'10 прил(гл.расп,расх) правка'!K780</f>
        <v>0</v>
      </c>
      <c r="I56" s="9">
        <f>'10 прил(гл.расп,расх) правка'!L780</f>
        <v>0</v>
      </c>
    </row>
    <row r="57" spans="2:9" ht="15" hidden="1">
      <c r="B57" s="113" t="s">
        <v>82</v>
      </c>
      <c r="C57" s="8" t="s">
        <v>47</v>
      </c>
      <c r="D57" s="8" t="s">
        <v>53</v>
      </c>
      <c r="E57" s="7">
        <f>'[1]10 прил(2011г)чистовик'!J692</f>
        <v>0</v>
      </c>
      <c r="F57" s="7">
        <f>'[1]10 прил(2011г)чистовик'!K692</f>
        <v>0</v>
      </c>
      <c r="G57" s="9">
        <f>'10 прил(гл.расп,расх) правка'!J781</f>
        <v>800</v>
      </c>
      <c r="H57" s="9">
        <f>'10 прил(гл.расп,расх) правка'!K781</f>
        <v>0</v>
      </c>
      <c r="I57" s="9">
        <f>'10 прил(гл.расп,расх) правка'!L781</f>
        <v>800</v>
      </c>
    </row>
    <row r="58" spans="2:9" ht="15" hidden="1">
      <c r="B58" s="113" t="s">
        <v>83</v>
      </c>
      <c r="C58" s="8" t="s">
        <v>47</v>
      </c>
      <c r="D58" s="8" t="s">
        <v>47</v>
      </c>
      <c r="E58" s="7"/>
      <c r="F58" s="7"/>
      <c r="G58" s="9">
        <f>'10 прил(гл.расп,расх) правка'!J782</f>
        <v>0</v>
      </c>
      <c r="H58" s="9">
        <f>'10 прил(гл.расп,расх) правка'!K782</f>
        <v>0</v>
      </c>
      <c r="I58" s="9">
        <f>'10 прил(гл.расп,расх) правка'!L782</f>
        <v>0</v>
      </c>
    </row>
    <row r="59" spans="2:9" ht="30" hidden="1">
      <c r="B59" s="113" t="s">
        <v>84</v>
      </c>
      <c r="C59" s="8" t="s">
        <v>47</v>
      </c>
      <c r="D59" s="8" t="s">
        <v>85</v>
      </c>
      <c r="E59" s="7">
        <f>'[1]10 прил(2011г)чистовик'!J694</f>
        <v>0</v>
      </c>
      <c r="F59" s="7">
        <f>'[1]10 прил(2011г)чистовик'!K694</f>
        <v>0</v>
      </c>
      <c r="G59" s="9"/>
      <c r="H59" s="9"/>
      <c r="I59" s="9"/>
    </row>
    <row r="60" spans="2:10" ht="15">
      <c r="B60" s="257" t="s">
        <v>86</v>
      </c>
      <c r="C60" s="636" t="s">
        <v>87</v>
      </c>
      <c r="D60" s="636"/>
      <c r="E60" s="258">
        <f>SUM(E61:E65)</f>
        <v>66168.00839999999</v>
      </c>
      <c r="F60" s="258">
        <f>SUM(F61:F65)</f>
        <v>938.563</v>
      </c>
      <c r="G60" s="258">
        <f>SUM(G61:G65)</f>
        <v>88159.11399999999</v>
      </c>
      <c r="H60" s="258">
        <f>SUM(H61:H65)</f>
        <v>-549.15448</v>
      </c>
      <c r="I60" s="258">
        <f>SUM(I61:I65)</f>
        <v>87609.95951999999</v>
      </c>
      <c r="J60" s="10">
        <f>SUM(G61:G65)</f>
        <v>88159.11399999999</v>
      </c>
    </row>
    <row r="61" spans="2:9" ht="15">
      <c r="B61" s="113" t="s">
        <v>88</v>
      </c>
      <c r="C61" s="8" t="s">
        <v>85</v>
      </c>
      <c r="D61" s="8" t="s">
        <v>21</v>
      </c>
      <c r="E61" s="7">
        <f>'[1]10 прил(2011г)чистовик'!J696</f>
        <v>1593.18</v>
      </c>
      <c r="F61" s="7">
        <f>'[1]10 прил(2011г)чистовик'!K696</f>
        <v>0</v>
      </c>
      <c r="G61" s="9">
        <f>'10 прил(гл.расп,расх) правка'!J784</f>
        <v>1593.18</v>
      </c>
      <c r="H61" s="9">
        <f>'10 прил(гл.расп,расх) правка'!K784</f>
        <v>-98.5</v>
      </c>
      <c r="I61" s="9">
        <f>'10 прил(гл.расп,расх) правка'!L784</f>
        <v>1494.68</v>
      </c>
    </row>
    <row r="62" spans="2:9" ht="15">
      <c r="B62" s="113" t="s">
        <v>89</v>
      </c>
      <c r="C62" s="8" t="s">
        <v>85</v>
      </c>
      <c r="D62" s="8" t="s">
        <v>22</v>
      </c>
      <c r="E62" s="7">
        <f>'[1]10 прил(2011г)чистовик'!J697</f>
        <v>6711.6474</v>
      </c>
      <c r="F62" s="7">
        <f>'[1]10 прил(2011г)чистовик'!K697</f>
        <v>212.857</v>
      </c>
      <c r="G62" s="9">
        <f>'10 прил(гл.расп,расх) правка'!J785</f>
        <v>8655.003</v>
      </c>
      <c r="H62" s="9">
        <f>'10 прил(гл.расп,расх) правка'!K785</f>
        <v>-10.714229999999986</v>
      </c>
      <c r="I62" s="9">
        <f>'10 прил(гл.расп,расх) правка'!L785</f>
        <v>8644.288770000001</v>
      </c>
    </row>
    <row r="63" spans="2:9" ht="15">
      <c r="B63" s="113" t="s">
        <v>90</v>
      </c>
      <c r="C63" s="8" t="s">
        <v>85</v>
      </c>
      <c r="D63" s="8" t="s">
        <v>24</v>
      </c>
      <c r="E63" s="7">
        <f>'[1]10 прил(2011г)чистовик'!J698</f>
        <v>44962.2</v>
      </c>
      <c r="F63" s="7">
        <f>'[1]10 прил(2011г)чистовик'!K698</f>
        <v>725.706</v>
      </c>
      <c r="G63" s="9">
        <f>'10 прил(гл.расп,расх) правка'!J786</f>
        <v>53793.30099999999</v>
      </c>
      <c r="H63" s="9">
        <f>'10 прил(гл.расп,расх) правка'!K786</f>
        <v>164.79610999999997</v>
      </c>
      <c r="I63" s="9">
        <f>'10 прил(гл.расп,расх) правка'!L786</f>
        <v>53958.097109999995</v>
      </c>
    </row>
    <row r="64" spans="2:9" ht="15">
      <c r="B64" s="113" t="s">
        <v>91</v>
      </c>
      <c r="C64" s="8" t="s">
        <v>85</v>
      </c>
      <c r="D64" s="8" t="s">
        <v>26</v>
      </c>
      <c r="E64" s="7">
        <f>'[1]10 прил(2011г)чистовик'!J699</f>
        <v>10903.6</v>
      </c>
      <c r="F64" s="7">
        <f>'[1]10 прил(2011г)чистовик'!K699</f>
        <v>0</v>
      </c>
      <c r="G64" s="9">
        <f>'10 прил(гл.расп,расх) правка'!J787</f>
        <v>22199.699999999997</v>
      </c>
      <c r="H64" s="9">
        <f>'10 прил(гл.расп,расх) правка'!K787</f>
        <v>-650</v>
      </c>
      <c r="I64" s="9">
        <f>'10 прил(гл.расп,расх) правка'!L787</f>
        <v>21549.699999999997</v>
      </c>
    </row>
    <row r="65" spans="2:9" ht="15">
      <c r="B65" s="113" t="s">
        <v>92</v>
      </c>
      <c r="C65" s="8" t="s">
        <v>85</v>
      </c>
      <c r="D65" s="8" t="s">
        <v>30</v>
      </c>
      <c r="E65" s="7">
        <f>'[1]10 прил(2011г)чистовик'!J700</f>
        <v>1997.3809999999999</v>
      </c>
      <c r="F65" s="7">
        <f>'[1]10 прил(2011г)чистовик'!K700</f>
        <v>0</v>
      </c>
      <c r="G65" s="9">
        <f>'10 прил(гл.расп,расх) правка'!J788</f>
        <v>1917.93</v>
      </c>
      <c r="H65" s="9">
        <f>'10 прил(гл.расп,расх) правка'!K788</f>
        <v>45.26364</v>
      </c>
      <c r="I65" s="9">
        <f>'10 прил(гл.расп,расх) правка'!L788</f>
        <v>1963.19364</v>
      </c>
    </row>
    <row r="66" spans="2:9" ht="15" hidden="1">
      <c r="B66" s="257" t="s">
        <v>93</v>
      </c>
      <c r="C66" s="636" t="s">
        <v>94</v>
      </c>
      <c r="D66" s="647"/>
      <c r="E66" s="258" t="e">
        <f>E67+#REF!+#REF!+#REF!</f>
        <v>#REF!</v>
      </c>
      <c r="F66" s="258" t="e">
        <f>F67+#REF!+#REF!+#REF!</f>
        <v>#REF!</v>
      </c>
      <c r="G66" s="258">
        <f>G67</f>
        <v>0</v>
      </c>
      <c r="H66" s="258">
        <f>H67</f>
        <v>0</v>
      </c>
      <c r="I66" s="258">
        <f>I67</f>
        <v>0</v>
      </c>
    </row>
    <row r="67" spans="2:9" ht="29.25" customHeight="1" hidden="1">
      <c r="B67" s="113" t="s">
        <v>95</v>
      </c>
      <c r="C67" s="8" t="s">
        <v>34</v>
      </c>
      <c r="D67" s="8" t="s">
        <v>21</v>
      </c>
      <c r="E67" s="7" t="e">
        <f>'[1]10 прил(2011г)чистовик'!J702</f>
        <v>#REF!</v>
      </c>
      <c r="F67" s="7" t="e">
        <f>'[1]10 прил(2011г)чистовик'!K702</f>
        <v>#REF!</v>
      </c>
      <c r="G67" s="9"/>
      <c r="H67" s="9"/>
      <c r="I67" s="9"/>
    </row>
    <row r="68" spans="2:10" ht="17.25" customHeight="1">
      <c r="B68" s="257" t="s">
        <v>82</v>
      </c>
      <c r="C68" s="636" t="s">
        <v>94</v>
      </c>
      <c r="D68" s="636"/>
      <c r="E68" s="258"/>
      <c r="F68" s="258"/>
      <c r="G68" s="259">
        <f>G69</f>
        <v>1358.183</v>
      </c>
      <c r="H68" s="259">
        <f>H69</f>
        <v>0</v>
      </c>
      <c r="I68" s="259">
        <f>I69</f>
        <v>1358.183</v>
      </c>
      <c r="J68" s="10">
        <f>SUM(G69)</f>
        <v>1358.183</v>
      </c>
    </row>
    <row r="69" spans="2:9" ht="17.25" customHeight="1">
      <c r="B69" s="113" t="s">
        <v>96</v>
      </c>
      <c r="C69" s="8" t="s">
        <v>34</v>
      </c>
      <c r="D69" s="8" t="s">
        <v>21</v>
      </c>
      <c r="E69" s="7"/>
      <c r="F69" s="7"/>
      <c r="G69" s="9">
        <f>'10 прил(гл.расп,расх) правка'!J795</f>
        <v>1358.183</v>
      </c>
      <c r="H69" s="9">
        <f>'10 прил(гл.расп,расх) правка'!K795</f>
        <v>0</v>
      </c>
      <c r="I69" s="9">
        <f>'10 прил(гл.расп,расх) правка'!L795</f>
        <v>1358.183</v>
      </c>
    </row>
    <row r="70" spans="2:10" ht="17.25" customHeight="1">
      <c r="B70" s="257" t="s">
        <v>97</v>
      </c>
      <c r="C70" s="636" t="s">
        <v>98</v>
      </c>
      <c r="D70" s="636"/>
      <c r="E70" s="258"/>
      <c r="F70" s="258"/>
      <c r="G70" s="259">
        <f>G71</f>
        <v>966.721</v>
      </c>
      <c r="H70" s="259">
        <f>H71</f>
        <v>0</v>
      </c>
      <c r="I70" s="259">
        <f>I71</f>
        <v>966.721</v>
      </c>
      <c r="J70" s="10">
        <f>G71</f>
        <v>966.721</v>
      </c>
    </row>
    <row r="71" spans="2:9" ht="17.25" customHeight="1">
      <c r="B71" s="113" t="s">
        <v>73</v>
      </c>
      <c r="C71" s="8" t="s">
        <v>36</v>
      </c>
      <c r="D71" s="8" t="s">
        <v>22</v>
      </c>
      <c r="E71" s="7"/>
      <c r="F71" s="7"/>
      <c r="G71" s="9">
        <f>'10 прил(гл.расп,расх) правка'!J798</f>
        <v>966.721</v>
      </c>
      <c r="H71" s="9">
        <f>'10 прил(гл.расп,расх) правка'!K798</f>
        <v>0</v>
      </c>
      <c r="I71" s="9">
        <f>'10 прил(гл.расп,расх) правка'!L798</f>
        <v>966.721</v>
      </c>
    </row>
    <row r="72" spans="2:10" ht="17.25" customHeight="1">
      <c r="B72" s="257" t="s">
        <v>33</v>
      </c>
      <c r="C72" s="636" t="s">
        <v>99</v>
      </c>
      <c r="D72" s="636"/>
      <c r="E72" s="7"/>
      <c r="F72" s="7"/>
      <c r="G72" s="259">
        <f>G73</f>
        <v>162.07</v>
      </c>
      <c r="H72" s="259">
        <f>H73</f>
        <v>-1.62704</v>
      </c>
      <c r="I72" s="259">
        <f>I73</f>
        <v>160.44296</v>
      </c>
      <c r="J72" s="10">
        <f>G73</f>
        <v>162.07</v>
      </c>
    </row>
    <row r="73" spans="2:9" ht="28.5" customHeight="1">
      <c r="B73" s="113" t="s">
        <v>100</v>
      </c>
      <c r="C73" s="8" t="s">
        <v>37</v>
      </c>
      <c r="D73" s="8" t="s">
        <v>21</v>
      </c>
      <c r="E73" s="7"/>
      <c r="F73" s="7"/>
      <c r="G73" s="9">
        <f>'10 прил(гл.расп,расх) правка'!J802</f>
        <v>162.07</v>
      </c>
      <c r="H73" s="9">
        <f>'10 прил(гл.расп,расх) правка'!K802</f>
        <v>-1.62704</v>
      </c>
      <c r="I73" s="9">
        <f>'10 прил(гл.расп,расх) правка'!L802</f>
        <v>160.44296</v>
      </c>
    </row>
    <row r="74" spans="2:10" ht="27.75" customHeight="1">
      <c r="B74" s="257" t="s">
        <v>101</v>
      </c>
      <c r="C74" s="636" t="s">
        <v>102</v>
      </c>
      <c r="D74" s="636"/>
      <c r="E74" s="258"/>
      <c r="F74" s="258"/>
      <c r="G74" s="259">
        <f>G75+G76+G77</f>
        <v>34700.998</v>
      </c>
      <c r="H74" s="259">
        <f>H75+H76+H77</f>
        <v>200</v>
      </c>
      <c r="I74" s="259">
        <f>I75+I76+I77</f>
        <v>34900.998</v>
      </c>
      <c r="J74" s="10">
        <f>SUM(G75:G77)</f>
        <v>34700.998</v>
      </c>
    </row>
    <row r="75" spans="2:9" ht="28.5" customHeight="1">
      <c r="B75" s="113" t="s">
        <v>103</v>
      </c>
      <c r="C75" s="8" t="s">
        <v>39</v>
      </c>
      <c r="D75" s="8" t="s">
        <v>21</v>
      </c>
      <c r="E75" s="7"/>
      <c r="F75" s="7"/>
      <c r="G75" s="9">
        <f>'10 прил(гл.расп,расх) правка'!J805</f>
        <v>25131.672</v>
      </c>
      <c r="H75" s="9">
        <f>'10 прил(гл.расп,расх) правка'!K805</f>
        <v>0</v>
      </c>
      <c r="I75" s="9">
        <f>'10 прил(гл.расп,расх) правка'!L805</f>
        <v>25131.672</v>
      </c>
    </row>
    <row r="76" spans="2:9" ht="17.25" customHeight="1" hidden="1">
      <c r="B76" s="113" t="s">
        <v>104</v>
      </c>
      <c r="C76" s="8" t="s">
        <v>39</v>
      </c>
      <c r="D76" s="8" t="s">
        <v>22</v>
      </c>
      <c r="E76" s="7"/>
      <c r="F76" s="7"/>
      <c r="G76" s="9">
        <f>'10 прил(гл.расп,расх) правка'!J806</f>
        <v>0</v>
      </c>
      <c r="H76" s="9">
        <f>'10 прил(гл.расп,расх) правка'!K806</f>
        <v>0</v>
      </c>
      <c r="I76" s="9">
        <f>'10 прил(гл.расп,расх) правка'!L806</f>
        <v>0</v>
      </c>
    </row>
    <row r="77" spans="2:9" ht="30.75" customHeight="1">
      <c r="B77" s="113" t="s">
        <v>105</v>
      </c>
      <c r="C77" s="8" t="s">
        <v>39</v>
      </c>
      <c r="D77" s="8" t="s">
        <v>24</v>
      </c>
      <c r="E77" s="7"/>
      <c r="F77" s="7"/>
      <c r="G77" s="9">
        <f>'10 прил(гл.расп,расх) правка'!J807</f>
        <v>9569.326000000001</v>
      </c>
      <c r="H77" s="9">
        <f>'10 прил(гл.расп,расх) правка'!K807</f>
        <v>200</v>
      </c>
      <c r="I77" s="9">
        <f>'10 прил(гл.расп,расх) правка'!L807</f>
        <v>9769.326000000001</v>
      </c>
    </row>
    <row r="78" spans="2:9" ht="15">
      <c r="B78" s="257" t="s">
        <v>106</v>
      </c>
      <c r="C78" s="260"/>
      <c r="D78" s="260"/>
      <c r="E78" s="258" t="e">
        <f>E9+E25+E29+E36+E41+E47+E52+E60+E66</f>
        <v>#REF!</v>
      </c>
      <c r="F78" s="258" t="e">
        <f>F9+F25+F29+F36+F41+F47+F52+F60+F66</f>
        <v>#REF!</v>
      </c>
      <c r="G78" s="258">
        <f>G9+G23+G25+G29+G36+G41+G47+G52+G60+G68+G70+G72+G74</f>
        <v>626765.7155399999</v>
      </c>
      <c r="H78" s="258">
        <f>H9+H23+H25+H29+H36+H41+H47+H52+H60+H68+H70+H72+H74</f>
        <v>21338.50285</v>
      </c>
      <c r="I78" s="258">
        <f>I9+I23+I25+I29+I36+I41+I47+I52+I60+I68+I70+I72+I74</f>
        <v>648104.22239</v>
      </c>
    </row>
    <row r="79" spans="6:9" ht="15">
      <c r="F79" s="10"/>
      <c r="G79" s="144">
        <v>619179.86754</v>
      </c>
      <c r="H79" s="10"/>
      <c r="I79" s="144">
        <v>565846.98299</v>
      </c>
    </row>
    <row r="80" spans="5:9" ht="15">
      <c r="E80" s="10"/>
      <c r="F80" s="10"/>
      <c r="G80" s="10">
        <f>G78-G79</f>
        <v>7585.847999999882</v>
      </c>
      <c r="H80" s="10">
        <f>H78-H79</f>
        <v>21338.50285</v>
      </c>
      <c r="I80" s="10">
        <f>I78-I79</f>
        <v>82257.23939999996</v>
      </c>
    </row>
  </sheetData>
  <sheetProtection/>
  <mergeCells count="18">
    <mergeCell ref="C36:D36"/>
    <mergeCell ref="C74:D74"/>
    <mergeCell ref="C52:D52"/>
    <mergeCell ref="C60:D60"/>
    <mergeCell ref="C66:D66"/>
    <mergeCell ref="C68:D68"/>
    <mergeCell ref="C70:D70"/>
    <mergeCell ref="C72:D72"/>
    <mergeCell ref="C41:D41"/>
    <mergeCell ref="C47:D47"/>
    <mergeCell ref="C25:D25"/>
    <mergeCell ref="C29:D29"/>
    <mergeCell ref="C2:I2"/>
    <mergeCell ref="C3:I3"/>
    <mergeCell ref="B5:I5"/>
    <mergeCell ref="B6:I6"/>
    <mergeCell ref="C9:D9"/>
    <mergeCell ref="C23:D23"/>
  </mergeCells>
  <printOptions/>
  <pageMargins left="0.984251968503937" right="0.3937007874015748" top="0" bottom="0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T1017"/>
  <sheetViews>
    <sheetView view="pageBreakPreview" zoomScaleSheetLayoutView="100" zoomScalePageLayoutView="0" workbookViewId="0" topLeftCell="A716">
      <selection activeCell="O736" sqref="O736"/>
    </sheetView>
  </sheetViews>
  <sheetFormatPr defaultColWidth="9.140625" defaultRowHeight="12.75"/>
  <cols>
    <col min="1" max="1" width="35.8515625" style="11" customWidth="1"/>
    <col min="2" max="2" width="7.00390625" style="11" customWidth="1"/>
    <col min="3" max="3" width="6.7109375" style="11" customWidth="1"/>
    <col min="4" max="4" width="5.140625" style="11" customWidth="1"/>
    <col min="5" max="5" width="9.7109375" style="11" customWidth="1"/>
    <col min="6" max="6" width="5.57421875" style="11" customWidth="1"/>
    <col min="7" max="7" width="0.13671875" style="11" customWidth="1"/>
    <col min="8" max="8" width="13.8515625" style="11" hidden="1" customWidth="1"/>
    <col min="9" max="9" width="12.57421875" style="11" hidden="1" customWidth="1"/>
    <col min="10" max="10" width="14.421875" style="144" customWidth="1"/>
    <col min="11" max="11" width="14.7109375" style="554" customWidth="1"/>
    <col min="12" max="12" width="17.00390625" style="554" customWidth="1"/>
    <col min="13" max="13" width="13.28125" style="12" hidden="1" customWidth="1"/>
    <col min="14" max="14" width="13.8515625" style="12" hidden="1" customWidth="1"/>
    <col min="15" max="15" width="19.28125" style="11" customWidth="1"/>
    <col min="16" max="16" width="12.8515625" style="11" bestFit="1" customWidth="1"/>
    <col min="17" max="17" width="14.140625" style="11" hidden="1" customWidth="1"/>
    <col min="18" max="18" width="14.00390625" style="11" bestFit="1" customWidth="1"/>
    <col min="19" max="19" width="13.28125" style="11" customWidth="1"/>
    <col min="20" max="20" width="11.00390625" style="11" bestFit="1" customWidth="1"/>
    <col min="21" max="16384" width="9.140625" style="11" customWidth="1"/>
  </cols>
  <sheetData>
    <row r="2" spans="5:10" ht="15">
      <c r="E2" s="655" t="s">
        <v>1098</v>
      </c>
      <c r="F2" s="656"/>
      <c r="G2" s="656"/>
      <c r="H2" s="656"/>
      <c r="I2" s="656"/>
      <c r="J2" s="656"/>
    </row>
    <row r="3" spans="5:14" ht="45.75" customHeight="1">
      <c r="E3" s="657" t="s">
        <v>1102</v>
      </c>
      <c r="F3" s="657"/>
      <c r="G3" s="657"/>
      <c r="H3" s="657"/>
      <c r="I3" s="657"/>
      <c r="J3" s="657"/>
      <c r="K3" s="657"/>
      <c r="L3" s="657"/>
      <c r="M3" s="658"/>
      <c r="N3" s="658"/>
    </row>
    <row r="4" spans="5:16" ht="15">
      <c r="E4" s="13"/>
      <c r="F4" s="13"/>
      <c r="G4" s="13"/>
      <c r="H4" s="13"/>
      <c r="I4" s="13"/>
      <c r="J4" s="555"/>
      <c r="K4" s="555"/>
      <c r="L4" s="555"/>
      <c r="M4" s="4"/>
      <c r="N4" s="4"/>
      <c r="O4" s="14">
        <f>L165+L210+L218+L414+L432+L436+L438+L447+L681</f>
        <v>22893.922340000005</v>
      </c>
      <c r="P4" s="15">
        <f>L145+L470</f>
        <v>1814.75</v>
      </c>
    </row>
    <row r="5" spans="1:14" ht="15">
      <c r="A5" s="659" t="s">
        <v>107</v>
      </c>
      <c r="B5" s="660"/>
      <c r="C5" s="660"/>
      <c r="D5" s="660"/>
      <c r="E5" s="660"/>
      <c r="F5" s="660"/>
      <c r="G5" s="660"/>
      <c r="H5" s="660"/>
      <c r="I5" s="660"/>
      <c r="J5" s="660"/>
      <c r="K5" s="660"/>
      <c r="L5" s="660"/>
      <c r="M5" s="4"/>
      <c r="N5" s="4"/>
    </row>
    <row r="6" spans="1:14" ht="51" customHeight="1">
      <c r="A6" s="645" t="s">
        <v>108</v>
      </c>
      <c r="B6" s="661"/>
      <c r="C6" s="661"/>
      <c r="D6" s="661"/>
      <c r="E6" s="661"/>
      <c r="F6" s="661"/>
      <c r="G6" s="661"/>
      <c r="H6" s="661"/>
      <c r="I6" s="661"/>
      <c r="J6" s="661"/>
      <c r="K6" s="661"/>
      <c r="L6" s="661"/>
      <c r="M6" s="11"/>
      <c r="N6" s="11"/>
    </row>
    <row r="7" ht="15.75" thickBot="1"/>
    <row r="8" spans="1:14" ht="12.75" customHeight="1">
      <c r="A8" s="654" t="s">
        <v>109</v>
      </c>
      <c r="B8" s="654" t="s">
        <v>110</v>
      </c>
      <c r="C8" s="654"/>
      <c r="D8" s="654"/>
      <c r="E8" s="654"/>
      <c r="F8" s="654"/>
      <c r="G8" s="662" t="s">
        <v>111</v>
      </c>
      <c r="H8" s="663" t="s">
        <v>112</v>
      </c>
      <c r="I8" s="654" t="s">
        <v>111</v>
      </c>
      <c r="J8" s="666" t="s">
        <v>113</v>
      </c>
      <c r="K8" s="668" t="s">
        <v>111</v>
      </c>
      <c r="L8" s="670" t="s">
        <v>114</v>
      </c>
      <c r="M8" s="648" t="s">
        <v>111</v>
      </c>
      <c r="N8" s="651" t="s">
        <v>115</v>
      </c>
    </row>
    <row r="9" spans="1:14" ht="15">
      <c r="A9" s="654"/>
      <c r="B9" s="654" t="s">
        <v>116</v>
      </c>
      <c r="C9" s="654"/>
      <c r="D9" s="654"/>
      <c r="E9" s="654"/>
      <c r="F9" s="654"/>
      <c r="G9" s="662"/>
      <c r="H9" s="664"/>
      <c r="I9" s="665"/>
      <c r="J9" s="667"/>
      <c r="K9" s="669"/>
      <c r="L9" s="671"/>
      <c r="M9" s="649"/>
      <c r="N9" s="652"/>
    </row>
    <row r="10" spans="1:14" ht="129" customHeight="1" thickBot="1">
      <c r="A10" s="654"/>
      <c r="B10" s="513" t="s">
        <v>117</v>
      </c>
      <c r="C10" s="502" t="s">
        <v>118</v>
      </c>
      <c r="D10" s="502" t="s">
        <v>119</v>
      </c>
      <c r="E10" s="502" t="s">
        <v>120</v>
      </c>
      <c r="F10" s="502" t="s">
        <v>121</v>
      </c>
      <c r="G10" s="662"/>
      <c r="H10" s="664"/>
      <c r="I10" s="665"/>
      <c r="J10" s="667"/>
      <c r="K10" s="669"/>
      <c r="L10" s="671"/>
      <c r="M10" s="650"/>
      <c r="N10" s="653"/>
    </row>
    <row r="11" spans="1:14" ht="15.75" thickBot="1">
      <c r="A11" s="514" t="s">
        <v>0</v>
      </c>
      <c r="B11" s="514">
        <v>1</v>
      </c>
      <c r="C11" s="514">
        <v>2</v>
      </c>
      <c r="D11" s="514">
        <v>3</v>
      </c>
      <c r="E11" s="514">
        <v>4</v>
      </c>
      <c r="F11" s="514">
        <v>5</v>
      </c>
      <c r="G11" s="514"/>
      <c r="H11" s="515"/>
      <c r="I11" s="516"/>
      <c r="J11" s="575">
        <v>6</v>
      </c>
      <c r="K11" s="576">
        <v>7</v>
      </c>
      <c r="L11" s="577">
        <v>8</v>
      </c>
      <c r="M11" s="16">
        <v>7</v>
      </c>
      <c r="N11" s="17">
        <v>8</v>
      </c>
    </row>
    <row r="12" spans="1:18" ht="15.75" thickBot="1">
      <c r="A12" s="517" t="s">
        <v>122</v>
      </c>
      <c r="B12" s="518" t="s">
        <v>123</v>
      </c>
      <c r="C12" s="25"/>
      <c r="D12" s="25"/>
      <c r="E12" s="25"/>
      <c r="F12" s="25"/>
      <c r="G12" s="519">
        <f aca="true" t="shared" si="0" ref="G12:M12">G13+G20</f>
        <v>749.74424</v>
      </c>
      <c r="H12" s="519">
        <f t="shared" si="0"/>
        <v>38033.2</v>
      </c>
      <c r="I12" s="519">
        <f t="shared" si="0"/>
        <v>0</v>
      </c>
      <c r="J12" s="196">
        <f t="shared" si="0"/>
        <v>22126.71569</v>
      </c>
      <c r="K12" s="621">
        <f t="shared" si="0"/>
        <v>5440.20316</v>
      </c>
      <c r="L12" s="621">
        <f>L13+L20</f>
        <v>27566.91885</v>
      </c>
      <c r="M12" s="18">
        <f t="shared" si="0"/>
        <v>-317.84000000000003</v>
      </c>
      <c r="N12" s="19">
        <f>N13+N20</f>
        <v>20286.292999999998</v>
      </c>
      <c r="O12" s="15">
        <f>J12+K12-L12</f>
        <v>0</v>
      </c>
      <c r="P12" s="11">
        <v>8935.25</v>
      </c>
      <c r="R12" s="15">
        <f>O12-P12</f>
        <v>-8935.25</v>
      </c>
    </row>
    <row r="13" spans="1:15" ht="15" hidden="1">
      <c r="A13" s="520" t="s">
        <v>124</v>
      </c>
      <c r="B13" s="521" t="s">
        <v>123</v>
      </c>
      <c r="C13" s="521" t="s">
        <v>32</v>
      </c>
      <c r="D13" s="25"/>
      <c r="E13" s="25"/>
      <c r="F13" s="25"/>
      <c r="G13" s="522">
        <f aca="true" t="shared" si="1" ref="G13:N16">G14</f>
        <v>0</v>
      </c>
      <c r="H13" s="522">
        <f t="shared" si="1"/>
        <v>131</v>
      </c>
      <c r="I13" s="522">
        <f t="shared" si="1"/>
        <v>0</v>
      </c>
      <c r="J13" s="523">
        <f t="shared" si="1"/>
        <v>0</v>
      </c>
      <c r="K13" s="622">
        <f t="shared" si="1"/>
        <v>0</v>
      </c>
      <c r="L13" s="622">
        <f>L14</f>
        <v>0</v>
      </c>
      <c r="M13" s="21">
        <f>M14</f>
        <v>0</v>
      </c>
      <c r="N13" s="22">
        <f>N14</f>
        <v>0</v>
      </c>
      <c r="O13" s="15">
        <f aca="true" t="shared" si="2" ref="O13:O76">J13+K13-L13</f>
        <v>0</v>
      </c>
    </row>
    <row r="14" spans="1:15" ht="43.5" hidden="1">
      <c r="A14" s="23" t="s">
        <v>125</v>
      </c>
      <c r="B14" s="24" t="s">
        <v>123</v>
      </c>
      <c r="C14" s="24" t="s">
        <v>32</v>
      </c>
      <c r="D14" s="24" t="s">
        <v>28</v>
      </c>
      <c r="E14" s="25"/>
      <c r="F14" s="25"/>
      <c r="G14" s="524">
        <f aca="true" t="shared" si="3" ref="G14:M14">G15+G18</f>
        <v>0</v>
      </c>
      <c r="H14" s="524">
        <f t="shared" si="3"/>
        <v>131</v>
      </c>
      <c r="I14" s="524">
        <f t="shared" si="3"/>
        <v>0</v>
      </c>
      <c r="J14" s="26">
        <f t="shared" si="3"/>
        <v>0</v>
      </c>
      <c r="K14" s="26">
        <f t="shared" si="3"/>
        <v>0</v>
      </c>
      <c r="L14" s="26">
        <f t="shared" si="3"/>
        <v>0</v>
      </c>
      <c r="M14" s="28">
        <f t="shared" si="3"/>
        <v>0</v>
      </c>
      <c r="N14" s="29">
        <f>N15+N18</f>
        <v>0</v>
      </c>
      <c r="O14" s="15">
        <f t="shared" si="2"/>
        <v>0</v>
      </c>
    </row>
    <row r="15" spans="1:15" ht="30" hidden="1">
      <c r="A15" s="30" t="s">
        <v>126</v>
      </c>
      <c r="B15" s="25" t="s">
        <v>123</v>
      </c>
      <c r="C15" s="25" t="s">
        <v>32</v>
      </c>
      <c r="D15" s="25" t="s">
        <v>28</v>
      </c>
      <c r="E15" s="25" t="s">
        <v>127</v>
      </c>
      <c r="F15" s="25"/>
      <c r="G15" s="524">
        <f t="shared" si="1"/>
        <v>-125</v>
      </c>
      <c r="H15" s="524">
        <f t="shared" si="1"/>
        <v>131</v>
      </c>
      <c r="I15" s="524">
        <f t="shared" si="1"/>
        <v>0</v>
      </c>
      <c r="J15" s="26">
        <f t="shared" si="1"/>
        <v>0</v>
      </c>
      <c r="K15" s="26">
        <f t="shared" si="1"/>
        <v>0</v>
      </c>
      <c r="L15" s="26">
        <f t="shared" si="1"/>
        <v>0</v>
      </c>
      <c r="M15" s="28">
        <f t="shared" si="1"/>
        <v>0</v>
      </c>
      <c r="N15" s="29">
        <f t="shared" si="1"/>
        <v>0</v>
      </c>
      <c r="O15" s="15">
        <f t="shared" si="2"/>
        <v>0</v>
      </c>
    </row>
    <row r="16" spans="1:15" ht="30" hidden="1">
      <c r="A16" s="30" t="s">
        <v>128</v>
      </c>
      <c r="B16" s="25" t="s">
        <v>123</v>
      </c>
      <c r="C16" s="25" t="s">
        <v>32</v>
      </c>
      <c r="D16" s="25" t="s">
        <v>28</v>
      </c>
      <c r="E16" s="25" t="s">
        <v>129</v>
      </c>
      <c r="F16" s="25"/>
      <c r="G16" s="524">
        <f t="shared" si="1"/>
        <v>-125</v>
      </c>
      <c r="H16" s="524">
        <f>H17</f>
        <v>131</v>
      </c>
      <c r="I16" s="524">
        <f t="shared" si="1"/>
        <v>0</v>
      </c>
      <c r="J16" s="26">
        <f t="shared" si="1"/>
        <v>0</v>
      </c>
      <c r="K16" s="26">
        <f t="shared" si="1"/>
        <v>0</v>
      </c>
      <c r="L16" s="26">
        <f t="shared" si="1"/>
        <v>0</v>
      </c>
      <c r="M16" s="28">
        <f t="shared" si="1"/>
        <v>0</v>
      </c>
      <c r="N16" s="29">
        <f t="shared" si="1"/>
        <v>0</v>
      </c>
      <c r="O16" s="15">
        <f t="shared" si="2"/>
        <v>0</v>
      </c>
    </row>
    <row r="17" spans="1:15" ht="30" hidden="1">
      <c r="A17" s="30" t="s">
        <v>130</v>
      </c>
      <c r="B17" s="25" t="s">
        <v>123</v>
      </c>
      <c r="C17" s="25" t="s">
        <v>32</v>
      </c>
      <c r="D17" s="25" t="s">
        <v>28</v>
      </c>
      <c r="E17" s="25" t="s">
        <v>129</v>
      </c>
      <c r="F17" s="25" t="s">
        <v>131</v>
      </c>
      <c r="G17" s="524">
        <v>-125</v>
      </c>
      <c r="H17" s="524">
        <v>131</v>
      </c>
      <c r="I17" s="524"/>
      <c r="J17" s="26">
        <v>0</v>
      </c>
      <c r="K17" s="26"/>
      <c r="L17" s="26">
        <f>J17+K17</f>
        <v>0</v>
      </c>
      <c r="M17" s="28"/>
      <c r="N17" s="29">
        <f>L17+M17</f>
        <v>0</v>
      </c>
      <c r="O17" s="15">
        <f t="shared" si="2"/>
        <v>0</v>
      </c>
    </row>
    <row r="18" spans="1:15" ht="30" hidden="1">
      <c r="A18" s="30" t="s">
        <v>128</v>
      </c>
      <c r="B18" s="25" t="s">
        <v>123</v>
      </c>
      <c r="C18" s="25" t="s">
        <v>32</v>
      </c>
      <c r="D18" s="25" t="s">
        <v>28</v>
      </c>
      <c r="E18" s="25" t="s">
        <v>132</v>
      </c>
      <c r="F18" s="25"/>
      <c r="G18" s="524">
        <f aca="true" t="shared" si="4" ref="G18:N18">G19</f>
        <v>125</v>
      </c>
      <c r="H18" s="524">
        <f t="shared" si="4"/>
        <v>0</v>
      </c>
      <c r="I18" s="524">
        <f t="shared" si="4"/>
        <v>0</v>
      </c>
      <c r="J18" s="26">
        <f t="shared" si="4"/>
        <v>0</v>
      </c>
      <c r="K18" s="26">
        <f t="shared" si="4"/>
        <v>0</v>
      </c>
      <c r="L18" s="26">
        <f t="shared" si="4"/>
        <v>0</v>
      </c>
      <c r="M18" s="28">
        <f t="shared" si="4"/>
        <v>0</v>
      </c>
      <c r="N18" s="29">
        <f t="shared" si="4"/>
        <v>0</v>
      </c>
      <c r="O18" s="15">
        <f t="shared" si="2"/>
        <v>0</v>
      </c>
    </row>
    <row r="19" spans="1:15" ht="30" hidden="1">
      <c r="A19" s="30" t="s">
        <v>133</v>
      </c>
      <c r="B19" s="25" t="s">
        <v>123</v>
      </c>
      <c r="C19" s="25" t="s">
        <v>32</v>
      </c>
      <c r="D19" s="25" t="s">
        <v>28</v>
      </c>
      <c r="E19" s="25" t="s">
        <v>132</v>
      </c>
      <c r="F19" s="25" t="s">
        <v>131</v>
      </c>
      <c r="G19" s="524">
        <v>125</v>
      </c>
      <c r="H19" s="524"/>
      <c r="I19" s="524"/>
      <c r="J19" s="26"/>
      <c r="K19" s="26"/>
      <c r="L19" s="26">
        <f>J19+K19</f>
        <v>0</v>
      </c>
      <c r="M19" s="28"/>
      <c r="N19" s="29">
        <f>L19+M19</f>
        <v>0</v>
      </c>
      <c r="O19" s="15">
        <f t="shared" si="2"/>
        <v>0</v>
      </c>
    </row>
    <row r="20" spans="1:15" ht="15">
      <c r="A20" s="31" t="s">
        <v>134</v>
      </c>
      <c r="B20" s="32" t="s">
        <v>123</v>
      </c>
      <c r="C20" s="32" t="s">
        <v>47</v>
      </c>
      <c r="D20" s="25"/>
      <c r="E20" s="25"/>
      <c r="F20" s="25"/>
      <c r="G20" s="524">
        <f aca="true" t="shared" si="5" ref="G20:M20">G21+G40+G83+G60</f>
        <v>749.74424</v>
      </c>
      <c r="H20" s="524">
        <f t="shared" si="5"/>
        <v>37902.2</v>
      </c>
      <c r="I20" s="524">
        <f t="shared" si="5"/>
        <v>0</v>
      </c>
      <c r="J20" s="26">
        <f>J21+J40+J83+J60+J65</f>
        <v>22126.71569</v>
      </c>
      <c r="K20" s="26">
        <f>K21+K40+K83+K60+K65</f>
        <v>5440.20316</v>
      </c>
      <c r="L20" s="26">
        <f>L21+L40+L83+L60+L65</f>
        <v>27566.91885</v>
      </c>
      <c r="M20" s="28">
        <f t="shared" si="5"/>
        <v>-317.84000000000003</v>
      </c>
      <c r="N20" s="29">
        <f>N21+N40+N83+N60</f>
        <v>20286.292999999998</v>
      </c>
      <c r="O20" s="15">
        <f t="shared" si="2"/>
        <v>0</v>
      </c>
    </row>
    <row r="21" spans="1:15" ht="29.25" customHeight="1">
      <c r="A21" s="23" t="s">
        <v>78</v>
      </c>
      <c r="B21" s="24" t="s">
        <v>123</v>
      </c>
      <c r="C21" s="24" t="s">
        <v>47</v>
      </c>
      <c r="D21" s="24" t="s">
        <v>21</v>
      </c>
      <c r="E21" s="25"/>
      <c r="F21" s="25"/>
      <c r="G21" s="522">
        <f>G27+G31+G22</f>
        <v>-5232</v>
      </c>
      <c r="H21" s="522">
        <f>H27+H31+H22</f>
        <v>30796.129999999997</v>
      </c>
      <c r="I21" s="522">
        <f>I27+I31+I22</f>
        <v>0</v>
      </c>
      <c r="J21" s="622">
        <f>J27+J31+J22+J38+J25</f>
        <v>15442.55169</v>
      </c>
      <c r="K21" s="622">
        <f>K27+K31+K22+K38+K25</f>
        <v>5568.77016</v>
      </c>
      <c r="L21" s="622">
        <f>L27+L31+L22+L38+L25</f>
        <v>21011.32185</v>
      </c>
      <c r="M21" s="35">
        <f>M27+M31+M22+M38</f>
        <v>-1006.6600000000001</v>
      </c>
      <c r="N21" s="36">
        <f>N27+N31+N22+N38</f>
        <v>15440.876</v>
      </c>
      <c r="O21" s="15">
        <f t="shared" si="2"/>
        <v>0</v>
      </c>
    </row>
    <row r="22" spans="1:15" ht="29.25" customHeight="1" hidden="1">
      <c r="A22" s="37" t="s">
        <v>135</v>
      </c>
      <c r="B22" s="25" t="s">
        <v>123</v>
      </c>
      <c r="C22" s="25" t="s">
        <v>47</v>
      </c>
      <c r="D22" s="25" t="s">
        <v>21</v>
      </c>
      <c r="E22" s="25" t="s">
        <v>136</v>
      </c>
      <c r="F22" s="25"/>
      <c r="G22" s="520">
        <f aca="true" t="shared" si="6" ref="G22:N23">G23</f>
        <v>320</v>
      </c>
      <c r="H22" s="520">
        <f t="shared" si="6"/>
        <v>0</v>
      </c>
      <c r="I22" s="520">
        <f t="shared" si="6"/>
        <v>0</v>
      </c>
      <c r="J22" s="622">
        <f t="shared" si="6"/>
        <v>0</v>
      </c>
      <c r="K22" s="622">
        <f t="shared" si="6"/>
        <v>0</v>
      </c>
      <c r="L22" s="622">
        <f t="shared" si="6"/>
        <v>0</v>
      </c>
      <c r="M22" s="38">
        <f t="shared" si="6"/>
        <v>0</v>
      </c>
      <c r="N22" s="39">
        <f t="shared" si="6"/>
        <v>0</v>
      </c>
      <c r="O22" s="15">
        <f t="shared" si="2"/>
        <v>0</v>
      </c>
    </row>
    <row r="23" spans="1:15" ht="21.75" customHeight="1" hidden="1">
      <c r="A23" s="37" t="s">
        <v>137</v>
      </c>
      <c r="B23" s="25" t="s">
        <v>123</v>
      </c>
      <c r="C23" s="25" t="s">
        <v>47</v>
      </c>
      <c r="D23" s="25" t="s">
        <v>21</v>
      </c>
      <c r="E23" s="25" t="s">
        <v>138</v>
      </c>
      <c r="F23" s="25"/>
      <c r="G23" s="520">
        <f t="shared" si="6"/>
        <v>320</v>
      </c>
      <c r="H23" s="520">
        <f t="shared" si="6"/>
        <v>0</v>
      </c>
      <c r="I23" s="520">
        <f t="shared" si="6"/>
        <v>0</v>
      </c>
      <c r="J23" s="622">
        <f t="shared" si="6"/>
        <v>0</v>
      </c>
      <c r="K23" s="622">
        <f t="shared" si="6"/>
        <v>0</v>
      </c>
      <c r="L23" s="622">
        <f t="shared" si="6"/>
        <v>0</v>
      </c>
      <c r="M23" s="38">
        <f t="shared" si="6"/>
        <v>0</v>
      </c>
      <c r="N23" s="39">
        <f t="shared" si="6"/>
        <v>0</v>
      </c>
      <c r="O23" s="15">
        <f t="shared" si="2"/>
        <v>0</v>
      </c>
    </row>
    <row r="24" spans="1:15" ht="23.25" customHeight="1" hidden="1">
      <c r="A24" s="30" t="s">
        <v>139</v>
      </c>
      <c r="B24" s="25" t="s">
        <v>123</v>
      </c>
      <c r="C24" s="25" t="s">
        <v>47</v>
      </c>
      <c r="D24" s="25" t="s">
        <v>21</v>
      </c>
      <c r="E24" s="25" t="s">
        <v>138</v>
      </c>
      <c r="F24" s="25" t="s">
        <v>140</v>
      </c>
      <c r="G24" s="520">
        <v>320</v>
      </c>
      <c r="H24" s="524"/>
      <c r="I24" s="520"/>
      <c r="J24" s="26">
        <f>H24+I24</f>
        <v>0</v>
      </c>
      <c r="K24" s="622"/>
      <c r="L24" s="26">
        <f>J24+K24</f>
        <v>0</v>
      </c>
      <c r="M24" s="38"/>
      <c r="N24" s="29">
        <f>L24+M24</f>
        <v>0</v>
      </c>
      <c r="O24" s="15">
        <f t="shared" si="2"/>
        <v>0</v>
      </c>
    </row>
    <row r="25" spans="1:15" ht="90">
      <c r="A25" s="30" t="s">
        <v>942</v>
      </c>
      <c r="B25" s="25" t="s">
        <v>123</v>
      </c>
      <c r="C25" s="25" t="s">
        <v>47</v>
      </c>
      <c r="D25" s="25" t="s">
        <v>21</v>
      </c>
      <c r="E25" s="25" t="s">
        <v>941</v>
      </c>
      <c r="F25" s="25"/>
      <c r="G25" s="520"/>
      <c r="H25" s="524"/>
      <c r="I25" s="520"/>
      <c r="J25" s="26">
        <f>J26</f>
        <v>2420.76569</v>
      </c>
      <c r="K25" s="26">
        <f>K26</f>
        <v>1396.02016</v>
      </c>
      <c r="L25" s="26">
        <f>L26</f>
        <v>3816.78585</v>
      </c>
      <c r="M25" s="38"/>
      <c r="N25" s="29"/>
      <c r="O25" s="15">
        <f t="shared" si="2"/>
        <v>0</v>
      </c>
    </row>
    <row r="26" spans="1:15" ht="30">
      <c r="A26" s="30" t="s">
        <v>139</v>
      </c>
      <c r="B26" s="25" t="s">
        <v>123</v>
      </c>
      <c r="C26" s="25" t="s">
        <v>47</v>
      </c>
      <c r="D26" s="25" t="s">
        <v>21</v>
      </c>
      <c r="E26" s="25" t="s">
        <v>941</v>
      </c>
      <c r="F26" s="25" t="s">
        <v>140</v>
      </c>
      <c r="G26" s="520"/>
      <c r="H26" s="524"/>
      <c r="I26" s="520"/>
      <c r="J26" s="26">
        <v>2420.76569</v>
      </c>
      <c r="K26" s="26">
        <v>1396.02016</v>
      </c>
      <c r="L26" s="26">
        <f>J26+K26</f>
        <v>3816.78585</v>
      </c>
      <c r="M26" s="38"/>
      <c r="N26" s="29"/>
      <c r="O26" s="15">
        <f t="shared" si="2"/>
        <v>0</v>
      </c>
    </row>
    <row r="27" spans="1:15" ht="30">
      <c r="A27" s="30" t="s">
        <v>141</v>
      </c>
      <c r="B27" s="25" t="s">
        <v>123</v>
      </c>
      <c r="C27" s="25" t="s">
        <v>47</v>
      </c>
      <c r="D27" s="25" t="s">
        <v>21</v>
      </c>
      <c r="E27" s="25" t="s">
        <v>142</v>
      </c>
      <c r="F27" s="25"/>
      <c r="G27" s="135">
        <f aca="true" t="shared" si="7" ref="G27:N27">G28</f>
        <v>-1834</v>
      </c>
      <c r="H27" s="135">
        <f t="shared" si="7"/>
        <v>26303.19</v>
      </c>
      <c r="I27" s="135">
        <f t="shared" si="7"/>
        <v>0</v>
      </c>
      <c r="J27" s="26">
        <f>J28</f>
        <v>13021.786</v>
      </c>
      <c r="K27" s="26">
        <f t="shared" si="7"/>
        <v>4172.75</v>
      </c>
      <c r="L27" s="26">
        <f t="shared" si="7"/>
        <v>17194.536</v>
      </c>
      <c r="M27" s="40">
        <f t="shared" si="7"/>
        <v>-1747.96</v>
      </c>
      <c r="N27" s="41">
        <f t="shared" si="7"/>
        <v>14699.576000000001</v>
      </c>
      <c r="O27" s="15">
        <f t="shared" si="2"/>
        <v>0</v>
      </c>
    </row>
    <row r="28" spans="1:15" ht="30">
      <c r="A28" s="30" t="s">
        <v>143</v>
      </c>
      <c r="B28" s="25" t="s">
        <v>123</v>
      </c>
      <c r="C28" s="25" t="s">
        <v>47</v>
      </c>
      <c r="D28" s="25" t="s">
        <v>21</v>
      </c>
      <c r="E28" s="25" t="s">
        <v>144</v>
      </c>
      <c r="F28" s="25"/>
      <c r="G28" s="135">
        <f aca="true" t="shared" si="8" ref="G28:M28">G29+G30</f>
        <v>-1834</v>
      </c>
      <c r="H28" s="135">
        <f t="shared" si="8"/>
        <v>26303.19</v>
      </c>
      <c r="I28" s="135">
        <f t="shared" si="8"/>
        <v>0</v>
      </c>
      <c r="J28" s="26">
        <f>J29+J30+J34+J36</f>
        <v>13021.786</v>
      </c>
      <c r="K28" s="26">
        <f>K29+K30+K34+K36</f>
        <v>4172.75</v>
      </c>
      <c r="L28" s="26">
        <f>L29+L30+L34+L36</f>
        <v>17194.536</v>
      </c>
      <c r="M28" s="40">
        <f t="shared" si="8"/>
        <v>-1747.96</v>
      </c>
      <c r="N28" s="41">
        <f>N29+N30</f>
        <v>14699.576000000001</v>
      </c>
      <c r="O28" s="15">
        <f t="shared" si="2"/>
        <v>0</v>
      </c>
    </row>
    <row r="29" spans="1:16" ht="30">
      <c r="A29" s="30" t="s">
        <v>139</v>
      </c>
      <c r="B29" s="25" t="s">
        <v>123</v>
      </c>
      <c r="C29" s="25" t="s">
        <v>47</v>
      </c>
      <c r="D29" s="25" t="s">
        <v>21</v>
      </c>
      <c r="E29" s="25" t="s">
        <v>144</v>
      </c>
      <c r="F29" s="25" t="s">
        <v>140</v>
      </c>
      <c r="G29" s="135">
        <f>-2164-3718+200-200+220+3718</f>
        <v>-1944</v>
      </c>
      <c r="H29" s="524">
        <v>25958.19</v>
      </c>
      <c r="I29" s="135"/>
      <c r="J29" s="26">
        <v>7612.786</v>
      </c>
      <c r="K29" s="26">
        <f>5000-700-630.195+36.945</f>
        <v>3706.75</v>
      </c>
      <c r="L29" s="26">
        <f>J29+K29</f>
        <v>11319.536</v>
      </c>
      <c r="M29" s="40">
        <f>-155.84+35.88-1595-33</f>
        <v>-1747.96</v>
      </c>
      <c r="N29" s="29">
        <f>L29+M29</f>
        <v>9571.576000000001</v>
      </c>
      <c r="O29" s="15">
        <f t="shared" si="2"/>
        <v>0</v>
      </c>
      <c r="P29" s="42">
        <f>L29-O29</f>
        <v>11319.536</v>
      </c>
    </row>
    <row r="30" spans="1:19" ht="60">
      <c r="A30" s="30" t="s">
        <v>145</v>
      </c>
      <c r="B30" s="25" t="s">
        <v>123</v>
      </c>
      <c r="C30" s="25" t="s">
        <v>47</v>
      </c>
      <c r="D30" s="25" t="s">
        <v>21</v>
      </c>
      <c r="E30" s="25" t="s">
        <v>146</v>
      </c>
      <c r="F30" s="25" t="s">
        <v>140</v>
      </c>
      <c r="G30" s="524">
        <v>110</v>
      </c>
      <c r="H30" s="524">
        <v>345</v>
      </c>
      <c r="I30" s="524"/>
      <c r="J30" s="26">
        <v>4662</v>
      </c>
      <c r="K30" s="26">
        <f>466</f>
        <v>466</v>
      </c>
      <c r="L30" s="26">
        <f>J30+K30</f>
        <v>5128</v>
      </c>
      <c r="M30" s="28"/>
      <c r="N30" s="29">
        <f>L30+M30</f>
        <v>5128</v>
      </c>
      <c r="O30" s="15">
        <f t="shared" si="2"/>
        <v>0</v>
      </c>
      <c r="P30" s="15">
        <f>L30-O30</f>
        <v>5128</v>
      </c>
      <c r="S30" s="15">
        <f>L30+L117+L710+L158</f>
        <v>9874.8</v>
      </c>
    </row>
    <row r="31" spans="1:15" ht="24.75" customHeight="1">
      <c r="A31" s="30" t="s">
        <v>147</v>
      </c>
      <c r="B31" s="25" t="s">
        <v>123</v>
      </c>
      <c r="C31" s="25" t="s">
        <v>47</v>
      </c>
      <c r="D31" s="25" t="s">
        <v>21</v>
      </c>
      <c r="E31" s="25" t="s">
        <v>148</v>
      </c>
      <c r="F31" s="25"/>
      <c r="G31" s="524">
        <f aca="true" t="shared" si="9" ref="G31:N32">G32</f>
        <v>-3718</v>
      </c>
      <c r="H31" s="524">
        <f t="shared" si="9"/>
        <v>4492.94</v>
      </c>
      <c r="I31" s="524">
        <f t="shared" si="9"/>
        <v>0</v>
      </c>
      <c r="J31" s="26">
        <f t="shared" si="9"/>
        <v>0</v>
      </c>
      <c r="K31" s="26">
        <f t="shared" si="9"/>
        <v>0</v>
      </c>
      <c r="L31" s="26">
        <f t="shared" si="9"/>
        <v>0</v>
      </c>
      <c r="M31" s="28">
        <f t="shared" si="9"/>
        <v>0</v>
      </c>
      <c r="N31" s="29">
        <f t="shared" si="9"/>
        <v>0</v>
      </c>
      <c r="O31" s="15">
        <f t="shared" si="2"/>
        <v>0</v>
      </c>
    </row>
    <row r="32" spans="1:15" ht="21" customHeight="1">
      <c r="A32" s="30" t="s">
        <v>143</v>
      </c>
      <c r="B32" s="25" t="s">
        <v>123</v>
      </c>
      <c r="C32" s="25" t="s">
        <v>47</v>
      </c>
      <c r="D32" s="25" t="s">
        <v>21</v>
      </c>
      <c r="E32" s="25" t="s">
        <v>149</v>
      </c>
      <c r="F32" s="25"/>
      <c r="G32" s="524">
        <f t="shared" si="9"/>
        <v>-3718</v>
      </c>
      <c r="H32" s="524">
        <f t="shared" si="9"/>
        <v>4492.94</v>
      </c>
      <c r="I32" s="524">
        <f t="shared" si="9"/>
        <v>0</v>
      </c>
      <c r="J32" s="26">
        <f t="shared" si="9"/>
        <v>0</v>
      </c>
      <c r="K32" s="26">
        <f t="shared" si="9"/>
        <v>0</v>
      </c>
      <c r="L32" s="26">
        <f t="shared" si="9"/>
        <v>0</v>
      </c>
      <c r="M32" s="28">
        <f t="shared" si="9"/>
        <v>0</v>
      </c>
      <c r="N32" s="29">
        <f t="shared" si="9"/>
        <v>0</v>
      </c>
      <c r="O32" s="15">
        <f t="shared" si="2"/>
        <v>0</v>
      </c>
    </row>
    <row r="33" spans="1:15" ht="29.25" customHeight="1">
      <c r="A33" s="30" t="s">
        <v>150</v>
      </c>
      <c r="B33" s="25" t="s">
        <v>123</v>
      </c>
      <c r="C33" s="25" t="s">
        <v>47</v>
      </c>
      <c r="D33" s="25" t="s">
        <v>21</v>
      </c>
      <c r="E33" s="25" t="s">
        <v>149</v>
      </c>
      <c r="F33" s="25" t="s">
        <v>140</v>
      </c>
      <c r="G33" s="524">
        <v>-3718</v>
      </c>
      <c r="H33" s="524">
        <v>4492.94</v>
      </c>
      <c r="I33" s="524"/>
      <c r="J33" s="26"/>
      <c r="K33" s="26"/>
      <c r="L33" s="26">
        <f>J33+K33</f>
        <v>0</v>
      </c>
      <c r="M33" s="28"/>
      <c r="N33" s="29">
        <f>L33+M33</f>
        <v>0</v>
      </c>
      <c r="O33" s="15">
        <f t="shared" si="2"/>
        <v>0</v>
      </c>
    </row>
    <row r="34" spans="1:19" ht="41.25" customHeight="1">
      <c r="A34" s="30" t="s">
        <v>151</v>
      </c>
      <c r="B34" s="25" t="s">
        <v>123</v>
      </c>
      <c r="C34" s="25" t="s">
        <v>47</v>
      </c>
      <c r="D34" s="25" t="s">
        <v>21</v>
      </c>
      <c r="E34" s="25" t="s">
        <v>152</v>
      </c>
      <c r="F34" s="25"/>
      <c r="G34" s="503"/>
      <c r="H34" s="524"/>
      <c r="I34" s="503"/>
      <c r="J34" s="26">
        <f>J35</f>
        <v>747</v>
      </c>
      <c r="K34" s="26">
        <f>K35</f>
        <v>0</v>
      </c>
      <c r="L34" s="26">
        <f>L35</f>
        <v>747</v>
      </c>
      <c r="M34" s="28"/>
      <c r="N34" s="29"/>
      <c r="O34" s="15">
        <f t="shared" si="2"/>
        <v>0</v>
      </c>
      <c r="S34" s="15">
        <f>K35+K52+K120</f>
        <v>0</v>
      </c>
    </row>
    <row r="35" spans="1:19" ht="29.25" customHeight="1">
      <c r="A35" s="30" t="s">
        <v>150</v>
      </c>
      <c r="B35" s="25" t="s">
        <v>123</v>
      </c>
      <c r="C35" s="25" t="s">
        <v>47</v>
      </c>
      <c r="D35" s="25" t="s">
        <v>21</v>
      </c>
      <c r="E35" s="25" t="s">
        <v>152</v>
      </c>
      <c r="F35" s="25" t="s">
        <v>140</v>
      </c>
      <c r="G35" s="503"/>
      <c r="H35" s="524"/>
      <c r="I35" s="503"/>
      <c r="J35" s="26">
        <v>747</v>
      </c>
      <c r="K35" s="26"/>
      <c r="L35" s="26">
        <f>J35+K35</f>
        <v>747</v>
      </c>
      <c r="M35" s="28"/>
      <c r="N35" s="29"/>
      <c r="O35" s="15">
        <f t="shared" si="2"/>
        <v>0</v>
      </c>
      <c r="S35" s="15">
        <f>L122</f>
        <v>451.367</v>
      </c>
    </row>
    <row r="36" spans="1:15" ht="18.75" customHeight="1" hidden="1">
      <c r="A36" s="30" t="s">
        <v>153</v>
      </c>
      <c r="B36" s="25" t="s">
        <v>123</v>
      </c>
      <c r="C36" s="25" t="s">
        <v>47</v>
      </c>
      <c r="D36" s="25" t="s">
        <v>21</v>
      </c>
      <c r="E36" s="25" t="s">
        <v>154</v>
      </c>
      <c r="F36" s="25"/>
      <c r="G36" s="503"/>
      <c r="H36" s="524"/>
      <c r="I36" s="503"/>
      <c r="J36" s="26">
        <f>J37</f>
        <v>0</v>
      </c>
      <c r="K36" s="26">
        <f>K37</f>
        <v>0</v>
      </c>
      <c r="L36" s="26">
        <f>L37</f>
        <v>0</v>
      </c>
      <c r="M36" s="28"/>
      <c r="N36" s="29"/>
      <c r="O36" s="15">
        <f t="shared" si="2"/>
        <v>0</v>
      </c>
    </row>
    <row r="37" spans="1:15" ht="15" customHeight="1" hidden="1">
      <c r="A37" s="30" t="s">
        <v>150</v>
      </c>
      <c r="B37" s="25" t="s">
        <v>123</v>
      </c>
      <c r="C37" s="25" t="s">
        <v>47</v>
      </c>
      <c r="D37" s="25" t="s">
        <v>21</v>
      </c>
      <c r="E37" s="25" t="s">
        <v>154</v>
      </c>
      <c r="F37" s="25" t="s">
        <v>140</v>
      </c>
      <c r="G37" s="503"/>
      <c r="H37" s="524"/>
      <c r="I37" s="503"/>
      <c r="J37" s="26"/>
      <c r="K37" s="26"/>
      <c r="L37" s="623">
        <f>J37+K37</f>
        <v>0</v>
      </c>
      <c r="M37" s="28"/>
      <c r="N37" s="29"/>
      <c r="O37" s="15">
        <f t="shared" si="2"/>
        <v>0</v>
      </c>
    </row>
    <row r="38" spans="1:15" ht="60.75" customHeight="1" hidden="1">
      <c r="A38" s="43" t="s">
        <v>155</v>
      </c>
      <c r="B38" s="44" t="s">
        <v>123</v>
      </c>
      <c r="C38" s="44" t="s">
        <v>47</v>
      </c>
      <c r="D38" s="44" t="s">
        <v>21</v>
      </c>
      <c r="E38" s="44" t="s">
        <v>156</v>
      </c>
      <c r="F38" s="44"/>
      <c r="G38" s="525"/>
      <c r="H38" s="526"/>
      <c r="I38" s="525"/>
      <c r="J38" s="623">
        <f>J39</f>
        <v>0</v>
      </c>
      <c r="K38" s="623">
        <f>K39</f>
        <v>0</v>
      </c>
      <c r="L38" s="623">
        <f>L39</f>
        <v>0</v>
      </c>
      <c r="M38" s="28">
        <f>M39</f>
        <v>741.3</v>
      </c>
      <c r="N38" s="29">
        <f>N39</f>
        <v>741.3</v>
      </c>
      <c r="O38" s="15">
        <f t="shared" si="2"/>
        <v>0</v>
      </c>
    </row>
    <row r="39" spans="1:15" ht="15.75" customHeight="1" hidden="1">
      <c r="A39" s="43" t="s">
        <v>157</v>
      </c>
      <c r="B39" s="44" t="s">
        <v>123</v>
      </c>
      <c r="C39" s="44" t="s">
        <v>47</v>
      </c>
      <c r="D39" s="44" t="s">
        <v>21</v>
      </c>
      <c r="E39" s="44" t="s">
        <v>156</v>
      </c>
      <c r="F39" s="44" t="s">
        <v>158</v>
      </c>
      <c r="G39" s="525"/>
      <c r="H39" s="526"/>
      <c r="I39" s="525"/>
      <c r="J39" s="623"/>
      <c r="K39" s="623"/>
      <c r="L39" s="623">
        <f>J39+K39</f>
        <v>0</v>
      </c>
      <c r="M39" s="45">
        <v>741.3</v>
      </c>
      <c r="N39" s="46">
        <f>L39+M39</f>
        <v>741.3</v>
      </c>
      <c r="O39" s="15">
        <f t="shared" si="2"/>
        <v>0</v>
      </c>
    </row>
    <row r="40" spans="1:15" ht="15">
      <c r="A40" s="23" t="s">
        <v>79</v>
      </c>
      <c r="B40" s="24" t="s">
        <v>123</v>
      </c>
      <c r="C40" s="24" t="s">
        <v>47</v>
      </c>
      <c r="D40" s="24" t="s">
        <v>22</v>
      </c>
      <c r="E40" s="25"/>
      <c r="F40" s="25"/>
      <c r="G40" s="191">
        <f>G48+G57+G42</f>
        <v>3129.74424</v>
      </c>
      <c r="H40" s="191">
        <f>H48+H57+H42</f>
        <v>6056.41</v>
      </c>
      <c r="I40" s="191">
        <f>I48+I57+I42</f>
        <v>0</v>
      </c>
      <c r="J40" s="504">
        <f>J48+J57+J42+J55</f>
        <v>5134.264</v>
      </c>
      <c r="K40" s="504">
        <f>K48+K57+K42+K55</f>
        <v>-172.51999999999998</v>
      </c>
      <c r="L40" s="504">
        <f>L48+L57+L42+L55</f>
        <v>4961.744000000001</v>
      </c>
      <c r="M40" s="49">
        <f>M48+M57+M42+M55</f>
        <v>657.7</v>
      </c>
      <c r="N40" s="50">
        <f>N48+N57+N42+N55</f>
        <v>4020.4440000000004</v>
      </c>
      <c r="O40" s="15">
        <f t="shared" si="2"/>
        <v>0</v>
      </c>
    </row>
    <row r="41" spans="1:15" ht="30">
      <c r="A41" s="30" t="s">
        <v>147</v>
      </c>
      <c r="B41" s="25" t="s">
        <v>123</v>
      </c>
      <c r="C41" s="25" t="s">
        <v>47</v>
      </c>
      <c r="D41" s="25" t="s">
        <v>22</v>
      </c>
      <c r="E41" s="25" t="s">
        <v>148</v>
      </c>
      <c r="F41" s="25"/>
      <c r="G41" s="191">
        <f aca="true" t="shared" si="10" ref="G41:N42">G42</f>
        <v>3718</v>
      </c>
      <c r="H41" s="191">
        <f t="shared" si="10"/>
        <v>0</v>
      </c>
      <c r="I41" s="191">
        <f t="shared" si="10"/>
        <v>0</v>
      </c>
      <c r="J41" s="26">
        <f t="shared" si="10"/>
        <v>390</v>
      </c>
      <c r="K41" s="26">
        <f t="shared" si="10"/>
        <v>-36.945</v>
      </c>
      <c r="L41" s="26">
        <f t="shared" si="10"/>
        <v>353.055</v>
      </c>
      <c r="M41" s="27">
        <f t="shared" si="10"/>
        <v>163</v>
      </c>
      <c r="N41" s="52">
        <f t="shared" si="10"/>
        <v>516.0550000000001</v>
      </c>
      <c r="O41" s="15">
        <f t="shared" si="2"/>
        <v>0</v>
      </c>
    </row>
    <row r="42" spans="1:15" ht="30">
      <c r="A42" s="30" t="s">
        <v>143</v>
      </c>
      <c r="B42" s="25" t="s">
        <v>123</v>
      </c>
      <c r="C42" s="25" t="s">
        <v>47</v>
      </c>
      <c r="D42" s="25" t="s">
        <v>22</v>
      </c>
      <c r="E42" s="25" t="s">
        <v>149</v>
      </c>
      <c r="F42" s="25"/>
      <c r="G42" s="503">
        <f t="shared" si="10"/>
        <v>3718</v>
      </c>
      <c r="H42" s="192">
        <f t="shared" si="10"/>
        <v>0</v>
      </c>
      <c r="I42" s="503">
        <f t="shared" si="10"/>
        <v>0</v>
      </c>
      <c r="J42" s="26">
        <f>J43+J44+J46</f>
        <v>390</v>
      </c>
      <c r="K42" s="26">
        <f>K43+K44+K46</f>
        <v>-36.945</v>
      </c>
      <c r="L42" s="26">
        <f>L43+L44+L46</f>
        <v>353.055</v>
      </c>
      <c r="M42" s="40">
        <f t="shared" si="10"/>
        <v>163</v>
      </c>
      <c r="N42" s="29">
        <f t="shared" si="10"/>
        <v>516.0550000000001</v>
      </c>
      <c r="O42" s="15">
        <f t="shared" si="2"/>
        <v>0</v>
      </c>
    </row>
    <row r="43" spans="1:16" ht="30">
      <c r="A43" s="30" t="s">
        <v>150</v>
      </c>
      <c r="B43" s="25" t="s">
        <v>123</v>
      </c>
      <c r="C43" s="25" t="s">
        <v>47</v>
      </c>
      <c r="D43" s="25" t="s">
        <v>22</v>
      </c>
      <c r="E43" s="25" t="s">
        <v>149</v>
      </c>
      <c r="F43" s="25" t="s">
        <v>140</v>
      </c>
      <c r="G43" s="503">
        <v>3718</v>
      </c>
      <c r="H43" s="524"/>
      <c r="I43" s="503"/>
      <c r="J43" s="26">
        <v>390</v>
      </c>
      <c r="K43" s="26">
        <v>-36.945</v>
      </c>
      <c r="L43" s="26">
        <f>J43+K43</f>
        <v>353.055</v>
      </c>
      <c r="M43" s="40">
        <f>16+147</f>
        <v>163</v>
      </c>
      <c r="N43" s="29">
        <f>L43+M43</f>
        <v>516.0550000000001</v>
      </c>
      <c r="O43" s="15">
        <f t="shared" si="2"/>
        <v>0</v>
      </c>
      <c r="P43" s="42">
        <f>L43-O43</f>
        <v>353.055</v>
      </c>
    </row>
    <row r="44" spans="1:15" ht="45" hidden="1">
      <c r="A44" s="30" t="s">
        <v>151</v>
      </c>
      <c r="B44" s="25" t="s">
        <v>123</v>
      </c>
      <c r="C44" s="25" t="s">
        <v>47</v>
      </c>
      <c r="D44" s="25" t="s">
        <v>22</v>
      </c>
      <c r="E44" s="25" t="s">
        <v>159</v>
      </c>
      <c r="F44" s="25"/>
      <c r="G44" s="503"/>
      <c r="H44" s="524"/>
      <c r="I44" s="503"/>
      <c r="J44" s="26">
        <f>J45</f>
        <v>0</v>
      </c>
      <c r="K44" s="26">
        <f>K45</f>
        <v>0</v>
      </c>
      <c r="L44" s="26">
        <f>L45</f>
        <v>0</v>
      </c>
      <c r="M44" s="40"/>
      <c r="N44" s="29"/>
      <c r="O44" s="15">
        <f t="shared" si="2"/>
        <v>0</v>
      </c>
    </row>
    <row r="45" spans="1:15" ht="30" hidden="1">
      <c r="A45" s="30" t="s">
        <v>150</v>
      </c>
      <c r="B45" s="25" t="s">
        <v>123</v>
      </c>
      <c r="C45" s="25" t="s">
        <v>47</v>
      </c>
      <c r="D45" s="25" t="s">
        <v>22</v>
      </c>
      <c r="E45" s="25" t="s">
        <v>159</v>
      </c>
      <c r="F45" s="25" t="s">
        <v>140</v>
      </c>
      <c r="G45" s="503"/>
      <c r="H45" s="524"/>
      <c r="I45" s="503"/>
      <c r="J45" s="26"/>
      <c r="K45" s="26"/>
      <c r="L45" s="26">
        <f>J45+K45</f>
        <v>0</v>
      </c>
      <c r="M45" s="40"/>
      <c r="N45" s="29"/>
      <c r="O45" s="15">
        <f t="shared" si="2"/>
        <v>0</v>
      </c>
    </row>
    <row r="46" spans="1:15" ht="45" hidden="1">
      <c r="A46" s="30" t="s">
        <v>153</v>
      </c>
      <c r="B46" s="25" t="s">
        <v>123</v>
      </c>
      <c r="C46" s="25" t="s">
        <v>47</v>
      </c>
      <c r="D46" s="25" t="s">
        <v>22</v>
      </c>
      <c r="E46" s="25" t="s">
        <v>160</v>
      </c>
      <c r="F46" s="25"/>
      <c r="G46" s="503"/>
      <c r="H46" s="524"/>
      <c r="I46" s="503"/>
      <c r="J46" s="26">
        <f>J47</f>
        <v>0</v>
      </c>
      <c r="K46" s="26">
        <f>K47</f>
        <v>0</v>
      </c>
      <c r="L46" s="26">
        <f>L47</f>
        <v>0</v>
      </c>
      <c r="M46" s="40"/>
      <c r="N46" s="29"/>
      <c r="O46" s="15">
        <f t="shared" si="2"/>
        <v>0</v>
      </c>
    </row>
    <row r="47" spans="1:15" ht="32.25" customHeight="1">
      <c r="A47" s="30" t="s">
        <v>150</v>
      </c>
      <c r="B47" s="25" t="s">
        <v>123</v>
      </c>
      <c r="C47" s="25" t="s">
        <v>47</v>
      </c>
      <c r="D47" s="25" t="s">
        <v>22</v>
      </c>
      <c r="E47" s="25" t="s">
        <v>160</v>
      </c>
      <c r="F47" s="25" t="s">
        <v>140</v>
      </c>
      <c r="G47" s="503"/>
      <c r="H47" s="524"/>
      <c r="I47" s="503"/>
      <c r="J47" s="26"/>
      <c r="K47" s="26"/>
      <c r="L47" s="26">
        <f>J47+K47</f>
        <v>0</v>
      </c>
      <c r="M47" s="40"/>
      <c r="N47" s="29"/>
      <c r="O47" s="15">
        <f t="shared" si="2"/>
        <v>0</v>
      </c>
    </row>
    <row r="48" spans="1:15" ht="15">
      <c r="A48" s="30" t="s">
        <v>161</v>
      </c>
      <c r="B48" s="25" t="s">
        <v>123</v>
      </c>
      <c r="C48" s="25" t="s">
        <v>47</v>
      </c>
      <c r="D48" s="25" t="s">
        <v>22</v>
      </c>
      <c r="E48" s="25" t="s">
        <v>162</v>
      </c>
      <c r="F48" s="25"/>
      <c r="G48" s="527">
        <f aca="true" t="shared" si="11" ref="G48:N49">G49</f>
        <v>0</v>
      </c>
      <c r="H48" s="527">
        <f t="shared" si="11"/>
        <v>4784.91</v>
      </c>
      <c r="I48" s="527">
        <f t="shared" si="11"/>
        <v>0</v>
      </c>
      <c r="J48" s="26">
        <f>J49+J51+J53</f>
        <v>2540.464</v>
      </c>
      <c r="K48" s="26">
        <f>K49+K51+K53</f>
        <v>-80.575</v>
      </c>
      <c r="L48" s="26">
        <f>L49+L51+L53</f>
        <v>2459.889</v>
      </c>
      <c r="M48" s="27">
        <f t="shared" si="11"/>
        <v>1270</v>
      </c>
      <c r="N48" s="52">
        <f t="shared" si="11"/>
        <v>2130.889</v>
      </c>
      <c r="O48" s="15">
        <f t="shared" si="2"/>
        <v>0</v>
      </c>
    </row>
    <row r="49" spans="1:15" ht="30">
      <c r="A49" s="30" t="s">
        <v>143</v>
      </c>
      <c r="B49" s="25" t="s">
        <v>123</v>
      </c>
      <c r="C49" s="25" t="s">
        <v>47</v>
      </c>
      <c r="D49" s="25" t="s">
        <v>22</v>
      </c>
      <c r="E49" s="25" t="s">
        <v>163</v>
      </c>
      <c r="F49" s="25"/>
      <c r="G49" s="135">
        <f t="shared" si="11"/>
        <v>0</v>
      </c>
      <c r="H49" s="135">
        <f t="shared" si="11"/>
        <v>4784.91</v>
      </c>
      <c r="I49" s="135">
        <f t="shared" si="11"/>
        <v>0</v>
      </c>
      <c r="J49" s="26">
        <f t="shared" si="11"/>
        <v>941.464</v>
      </c>
      <c r="K49" s="26">
        <f t="shared" si="11"/>
        <v>-80.575</v>
      </c>
      <c r="L49" s="26">
        <f t="shared" si="11"/>
        <v>860.889</v>
      </c>
      <c r="M49" s="40">
        <f t="shared" si="11"/>
        <v>1270</v>
      </c>
      <c r="N49" s="41">
        <f t="shared" si="11"/>
        <v>2130.889</v>
      </c>
      <c r="O49" s="15">
        <f t="shared" si="2"/>
        <v>0</v>
      </c>
    </row>
    <row r="50" spans="1:16" ht="30">
      <c r="A50" s="30" t="s">
        <v>150</v>
      </c>
      <c r="B50" s="25" t="s">
        <v>123</v>
      </c>
      <c r="C50" s="25" t="s">
        <v>47</v>
      </c>
      <c r="D50" s="25" t="s">
        <v>22</v>
      </c>
      <c r="E50" s="25" t="s">
        <v>163</v>
      </c>
      <c r="F50" s="25" t="s">
        <v>140</v>
      </c>
      <c r="G50" s="135"/>
      <c r="H50" s="524">
        <v>4784.91</v>
      </c>
      <c r="I50" s="135"/>
      <c r="J50" s="26">
        <v>941.464</v>
      </c>
      <c r="K50" s="26">
        <v>-80.575</v>
      </c>
      <c r="L50" s="26">
        <f>J50+K50</f>
        <v>860.889</v>
      </c>
      <c r="M50" s="40">
        <f>127+1143</f>
        <v>1270</v>
      </c>
      <c r="N50" s="29">
        <f>L50+M50</f>
        <v>2130.889</v>
      </c>
      <c r="O50" s="15">
        <f t="shared" si="2"/>
        <v>0</v>
      </c>
      <c r="P50" s="42">
        <f>L50-O50</f>
        <v>860.889</v>
      </c>
    </row>
    <row r="51" spans="1:15" ht="45">
      <c r="A51" s="30" t="s">
        <v>151</v>
      </c>
      <c r="B51" s="25" t="s">
        <v>123</v>
      </c>
      <c r="C51" s="25" t="s">
        <v>47</v>
      </c>
      <c r="D51" s="25" t="s">
        <v>22</v>
      </c>
      <c r="E51" s="25" t="s">
        <v>164</v>
      </c>
      <c r="F51" s="25"/>
      <c r="G51" s="135"/>
      <c r="H51" s="524"/>
      <c r="I51" s="135"/>
      <c r="J51" s="26">
        <f>J52</f>
        <v>1599</v>
      </c>
      <c r="K51" s="26">
        <f>K52</f>
        <v>0</v>
      </c>
      <c r="L51" s="26">
        <f>L52</f>
        <v>1599</v>
      </c>
      <c r="M51" s="40"/>
      <c r="N51" s="29"/>
      <c r="O51" s="15">
        <f t="shared" si="2"/>
        <v>0</v>
      </c>
    </row>
    <row r="52" spans="1:15" ht="30">
      <c r="A52" s="30" t="s">
        <v>150</v>
      </c>
      <c r="B52" s="25" t="s">
        <v>123</v>
      </c>
      <c r="C52" s="25" t="s">
        <v>47</v>
      </c>
      <c r="D52" s="25" t="s">
        <v>22</v>
      </c>
      <c r="E52" s="25" t="s">
        <v>164</v>
      </c>
      <c r="F52" s="25" t="s">
        <v>140</v>
      </c>
      <c r="G52" s="135"/>
      <c r="H52" s="524"/>
      <c r="I52" s="135"/>
      <c r="J52" s="26">
        <v>1599</v>
      </c>
      <c r="K52" s="26"/>
      <c r="L52" s="26">
        <f>J52+K52</f>
        <v>1599</v>
      </c>
      <c r="M52" s="40"/>
      <c r="N52" s="29"/>
      <c r="O52" s="15">
        <f t="shared" si="2"/>
        <v>0</v>
      </c>
    </row>
    <row r="53" spans="1:15" ht="45" hidden="1">
      <c r="A53" s="30" t="s">
        <v>153</v>
      </c>
      <c r="B53" s="25" t="s">
        <v>123</v>
      </c>
      <c r="C53" s="25" t="s">
        <v>47</v>
      </c>
      <c r="D53" s="25" t="s">
        <v>22</v>
      </c>
      <c r="E53" s="25" t="s">
        <v>165</v>
      </c>
      <c r="F53" s="25"/>
      <c r="G53" s="135"/>
      <c r="H53" s="524"/>
      <c r="I53" s="135"/>
      <c r="J53" s="26">
        <f>J54</f>
        <v>0</v>
      </c>
      <c r="K53" s="26">
        <f>K54</f>
        <v>0</v>
      </c>
      <c r="L53" s="26">
        <f>L54</f>
        <v>0</v>
      </c>
      <c r="M53" s="40"/>
      <c r="N53" s="29"/>
      <c r="O53" s="15">
        <f t="shared" si="2"/>
        <v>0</v>
      </c>
    </row>
    <row r="54" spans="1:15" ht="30" hidden="1">
      <c r="A54" s="30" t="s">
        <v>150</v>
      </c>
      <c r="B54" s="25" t="s">
        <v>123</v>
      </c>
      <c r="C54" s="25" t="s">
        <v>47</v>
      </c>
      <c r="D54" s="25" t="s">
        <v>22</v>
      </c>
      <c r="E54" s="25" t="s">
        <v>165</v>
      </c>
      <c r="F54" s="25" t="s">
        <v>140</v>
      </c>
      <c r="G54" s="135"/>
      <c r="H54" s="524"/>
      <c r="I54" s="135"/>
      <c r="J54" s="26"/>
      <c r="K54" s="26"/>
      <c r="L54" s="26">
        <f>J54+K54</f>
        <v>0</v>
      </c>
      <c r="M54" s="40"/>
      <c r="N54" s="29"/>
      <c r="O54" s="15">
        <f t="shared" si="2"/>
        <v>0</v>
      </c>
    </row>
    <row r="55" spans="1:15" ht="12.75" customHeight="1" hidden="1">
      <c r="A55" s="30" t="s">
        <v>166</v>
      </c>
      <c r="B55" s="25" t="s">
        <v>123</v>
      </c>
      <c r="C55" s="25" t="s">
        <v>47</v>
      </c>
      <c r="D55" s="25" t="s">
        <v>22</v>
      </c>
      <c r="E55" s="25" t="s">
        <v>167</v>
      </c>
      <c r="F55" s="25"/>
      <c r="G55" s="135"/>
      <c r="H55" s="524"/>
      <c r="I55" s="135"/>
      <c r="J55" s="26">
        <f>J56</f>
        <v>0</v>
      </c>
      <c r="K55" s="26">
        <f>K56</f>
        <v>0</v>
      </c>
      <c r="L55" s="26">
        <f>L56</f>
        <v>0</v>
      </c>
      <c r="M55" s="28">
        <f>M56</f>
        <v>-741.3</v>
      </c>
      <c r="N55" s="29">
        <f>N56</f>
        <v>-741.3</v>
      </c>
      <c r="O55" s="15">
        <f t="shared" si="2"/>
        <v>0</v>
      </c>
    </row>
    <row r="56" spans="1:15" ht="12.75" customHeight="1" hidden="1">
      <c r="A56" s="30" t="s">
        <v>150</v>
      </c>
      <c r="B56" s="25" t="s">
        <v>123</v>
      </c>
      <c r="C56" s="25" t="s">
        <v>47</v>
      </c>
      <c r="D56" s="25" t="s">
        <v>22</v>
      </c>
      <c r="E56" s="25" t="s">
        <v>167</v>
      </c>
      <c r="F56" s="25" t="s">
        <v>140</v>
      </c>
      <c r="G56" s="135"/>
      <c r="H56" s="524"/>
      <c r="I56" s="135"/>
      <c r="J56" s="26"/>
      <c r="K56" s="26"/>
      <c r="L56" s="26">
        <f>J56+K56</f>
        <v>0</v>
      </c>
      <c r="M56" s="40">
        <v>-741.3</v>
      </c>
      <c r="N56" s="29">
        <f>L56+M56</f>
        <v>-741.3</v>
      </c>
      <c r="O56" s="15">
        <f t="shared" si="2"/>
        <v>0</v>
      </c>
    </row>
    <row r="57" spans="1:15" ht="30">
      <c r="A57" s="30" t="s">
        <v>168</v>
      </c>
      <c r="B57" s="25" t="s">
        <v>123</v>
      </c>
      <c r="C57" s="25" t="s">
        <v>47</v>
      </c>
      <c r="D57" s="25" t="s">
        <v>22</v>
      </c>
      <c r="E57" s="25" t="s">
        <v>169</v>
      </c>
      <c r="F57" s="25"/>
      <c r="G57" s="527">
        <f aca="true" t="shared" si="12" ref="G57:N58">G58</f>
        <v>-588.25576</v>
      </c>
      <c r="H57" s="527">
        <f t="shared" si="12"/>
        <v>1271.5</v>
      </c>
      <c r="I57" s="527">
        <f t="shared" si="12"/>
        <v>0</v>
      </c>
      <c r="J57" s="26">
        <f t="shared" si="12"/>
        <v>2203.8</v>
      </c>
      <c r="K57" s="26">
        <f t="shared" si="12"/>
        <v>-55</v>
      </c>
      <c r="L57" s="26">
        <f t="shared" si="12"/>
        <v>2148.8</v>
      </c>
      <c r="M57" s="27">
        <f t="shared" si="12"/>
        <v>-34</v>
      </c>
      <c r="N57" s="52">
        <f t="shared" si="12"/>
        <v>2114.8</v>
      </c>
      <c r="O57" s="15">
        <f t="shared" si="2"/>
        <v>0</v>
      </c>
    </row>
    <row r="58" spans="1:15" ht="75">
      <c r="A58" s="30" t="s">
        <v>170</v>
      </c>
      <c r="B58" s="25" t="s">
        <v>123</v>
      </c>
      <c r="C58" s="25" t="s">
        <v>47</v>
      </c>
      <c r="D58" s="25" t="s">
        <v>22</v>
      </c>
      <c r="E58" s="25" t="s">
        <v>171</v>
      </c>
      <c r="F58" s="25"/>
      <c r="G58" s="527">
        <f t="shared" si="12"/>
        <v>-588.25576</v>
      </c>
      <c r="H58" s="527">
        <f t="shared" si="12"/>
        <v>1271.5</v>
      </c>
      <c r="I58" s="527">
        <f t="shared" si="12"/>
        <v>0</v>
      </c>
      <c r="J58" s="26">
        <f t="shared" si="12"/>
        <v>2203.8</v>
      </c>
      <c r="K58" s="26">
        <f t="shared" si="12"/>
        <v>-55</v>
      </c>
      <c r="L58" s="26">
        <f t="shared" si="12"/>
        <v>2148.8</v>
      </c>
      <c r="M58" s="27">
        <f t="shared" si="12"/>
        <v>-34</v>
      </c>
      <c r="N58" s="52">
        <f t="shared" si="12"/>
        <v>2114.8</v>
      </c>
      <c r="O58" s="15">
        <f t="shared" si="2"/>
        <v>0</v>
      </c>
    </row>
    <row r="59" spans="1:16" ht="30">
      <c r="A59" s="30" t="s">
        <v>150</v>
      </c>
      <c r="B59" s="25" t="s">
        <v>123</v>
      </c>
      <c r="C59" s="25" t="s">
        <v>47</v>
      </c>
      <c r="D59" s="25" t="s">
        <v>22</v>
      </c>
      <c r="E59" s="25" t="s">
        <v>171</v>
      </c>
      <c r="F59" s="25" t="s">
        <v>140</v>
      </c>
      <c r="G59" s="527">
        <f>99.74424-688</f>
        <v>-588.25576</v>
      </c>
      <c r="H59" s="524">
        <v>1271.5</v>
      </c>
      <c r="I59" s="527"/>
      <c r="J59" s="26">
        <v>2203.8</v>
      </c>
      <c r="K59" s="26">
        <f>-55</f>
        <v>-55</v>
      </c>
      <c r="L59" s="26">
        <f>J59+K59</f>
        <v>2148.8</v>
      </c>
      <c r="M59" s="27">
        <v>-34</v>
      </c>
      <c r="N59" s="54">
        <f>L59+M59</f>
        <v>2114.8</v>
      </c>
      <c r="O59" s="15">
        <f t="shared" si="2"/>
        <v>0</v>
      </c>
      <c r="P59" s="15">
        <f>K59</f>
        <v>-55</v>
      </c>
    </row>
    <row r="60" spans="1:15" ht="15">
      <c r="A60" s="23" t="s">
        <v>80</v>
      </c>
      <c r="B60" s="24" t="s">
        <v>123</v>
      </c>
      <c r="C60" s="24" t="s">
        <v>47</v>
      </c>
      <c r="D60" s="24" t="s">
        <v>26</v>
      </c>
      <c r="E60" s="24"/>
      <c r="F60" s="24"/>
      <c r="G60" s="503">
        <f aca="true" t="shared" si="13" ref="G60:M60">G61+G63</f>
        <v>2852</v>
      </c>
      <c r="H60" s="503">
        <f t="shared" si="13"/>
        <v>0</v>
      </c>
      <c r="I60" s="503">
        <f t="shared" si="13"/>
        <v>0</v>
      </c>
      <c r="J60" s="504">
        <f t="shared" si="13"/>
        <v>749.9</v>
      </c>
      <c r="K60" s="504">
        <f t="shared" si="13"/>
        <v>43.953</v>
      </c>
      <c r="L60" s="504">
        <f t="shared" si="13"/>
        <v>793.853</v>
      </c>
      <c r="M60" s="40">
        <f t="shared" si="13"/>
        <v>-1.8800000000000026</v>
      </c>
      <c r="N60" s="41">
        <f>N61+N63</f>
        <v>791.973</v>
      </c>
      <c r="O60" s="15">
        <f t="shared" si="2"/>
        <v>0</v>
      </c>
    </row>
    <row r="61" spans="1:15" ht="30">
      <c r="A61" s="30" t="s">
        <v>143</v>
      </c>
      <c r="B61" s="25" t="s">
        <v>123</v>
      </c>
      <c r="C61" s="25" t="s">
        <v>47</v>
      </c>
      <c r="D61" s="25" t="s">
        <v>26</v>
      </c>
      <c r="E61" s="25" t="s">
        <v>144</v>
      </c>
      <c r="F61" s="25"/>
      <c r="G61" s="135">
        <f aca="true" t="shared" si="14" ref="G61:N61">G62</f>
        <v>2164</v>
      </c>
      <c r="H61" s="135">
        <f t="shared" si="14"/>
        <v>0</v>
      </c>
      <c r="I61" s="135">
        <f t="shared" si="14"/>
        <v>0</v>
      </c>
      <c r="J61" s="26">
        <f t="shared" si="14"/>
        <v>70</v>
      </c>
      <c r="K61" s="26">
        <f t="shared" si="14"/>
        <v>-11.047</v>
      </c>
      <c r="L61" s="26">
        <f t="shared" si="14"/>
        <v>58.953</v>
      </c>
      <c r="M61" s="40">
        <f t="shared" si="14"/>
        <v>-35.88</v>
      </c>
      <c r="N61" s="29">
        <f t="shared" si="14"/>
        <v>23.073</v>
      </c>
      <c r="O61" s="15">
        <f t="shared" si="2"/>
        <v>0</v>
      </c>
    </row>
    <row r="62" spans="1:16" ht="30">
      <c r="A62" s="30" t="s">
        <v>139</v>
      </c>
      <c r="B62" s="25" t="s">
        <v>123</v>
      </c>
      <c r="C62" s="25" t="s">
        <v>47</v>
      </c>
      <c r="D62" s="25" t="s">
        <v>26</v>
      </c>
      <c r="E62" s="25" t="s">
        <v>144</v>
      </c>
      <c r="F62" s="25" t="s">
        <v>140</v>
      </c>
      <c r="G62" s="135">
        <v>2164</v>
      </c>
      <c r="H62" s="524"/>
      <c r="I62" s="135"/>
      <c r="J62" s="26">
        <v>70</v>
      </c>
      <c r="K62" s="26">
        <v>-11.047</v>
      </c>
      <c r="L62" s="26">
        <f>J62+K62</f>
        <v>58.953</v>
      </c>
      <c r="M62" s="40">
        <v>-35.88</v>
      </c>
      <c r="N62" s="29">
        <f>L62+M62</f>
        <v>23.073</v>
      </c>
      <c r="O62" s="15">
        <f t="shared" si="2"/>
        <v>0</v>
      </c>
      <c r="P62" s="42">
        <f>L62-O62</f>
        <v>58.953</v>
      </c>
    </row>
    <row r="63" spans="1:15" ht="75">
      <c r="A63" s="30" t="s">
        <v>170</v>
      </c>
      <c r="B63" s="25" t="s">
        <v>123</v>
      </c>
      <c r="C63" s="25" t="s">
        <v>47</v>
      </c>
      <c r="D63" s="25" t="s">
        <v>26</v>
      </c>
      <c r="E63" s="25" t="s">
        <v>171</v>
      </c>
      <c r="F63" s="25"/>
      <c r="G63" s="135">
        <f aca="true" t="shared" si="15" ref="G63:N63">G64</f>
        <v>688</v>
      </c>
      <c r="H63" s="524">
        <f t="shared" si="15"/>
        <v>0</v>
      </c>
      <c r="I63" s="135">
        <f t="shared" si="15"/>
        <v>0</v>
      </c>
      <c r="J63" s="26">
        <f t="shared" si="15"/>
        <v>679.9</v>
      </c>
      <c r="K63" s="26">
        <f t="shared" si="15"/>
        <v>55</v>
      </c>
      <c r="L63" s="26">
        <f t="shared" si="15"/>
        <v>734.9</v>
      </c>
      <c r="M63" s="40">
        <f t="shared" si="15"/>
        <v>34</v>
      </c>
      <c r="N63" s="29">
        <f t="shared" si="15"/>
        <v>768.9</v>
      </c>
      <c r="O63" s="15">
        <f t="shared" si="2"/>
        <v>0</v>
      </c>
    </row>
    <row r="64" spans="1:19" ht="30">
      <c r="A64" s="30" t="s">
        <v>150</v>
      </c>
      <c r="B64" s="25" t="s">
        <v>123</v>
      </c>
      <c r="C64" s="25" t="s">
        <v>47</v>
      </c>
      <c r="D64" s="25" t="s">
        <v>26</v>
      </c>
      <c r="E64" s="25" t="s">
        <v>171</v>
      </c>
      <c r="F64" s="25" t="s">
        <v>140</v>
      </c>
      <c r="G64" s="135">
        <v>688</v>
      </c>
      <c r="H64" s="524"/>
      <c r="I64" s="135"/>
      <c r="J64" s="26">
        <v>679.9</v>
      </c>
      <c r="K64" s="26">
        <v>55</v>
      </c>
      <c r="L64" s="26">
        <f>J64+K64</f>
        <v>734.9</v>
      </c>
      <c r="M64" s="40">
        <v>34</v>
      </c>
      <c r="N64" s="29">
        <f>L64+M64</f>
        <v>768.9</v>
      </c>
      <c r="O64" s="15">
        <f t="shared" si="2"/>
        <v>0</v>
      </c>
      <c r="P64" s="15">
        <f>K64</f>
        <v>55</v>
      </c>
      <c r="R64" s="11">
        <f>O64+O59</f>
        <v>0</v>
      </c>
      <c r="S64" s="15">
        <f>L64+L59</f>
        <v>2883.7000000000003</v>
      </c>
    </row>
    <row r="65" spans="1:15" ht="29.25">
      <c r="A65" s="23" t="s">
        <v>83</v>
      </c>
      <c r="B65" s="24" t="s">
        <v>123</v>
      </c>
      <c r="C65" s="24" t="s">
        <v>47</v>
      </c>
      <c r="D65" s="24" t="s">
        <v>47</v>
      </c>
      <c r="E65" s="24"/>
      <c r="F65" s="24"/>
      <c r="G65" s="503">
        <f aca="true" t="shared" si="16" ref="G65:L67">G66</f>
        <v>0</v>
      </c>
      <c r="H65" s="503">
        <f t="shared" si="16"/>
        <v>1049.66</v>
      </c>
      <c r="I65" s="503">
        <f t="shared" si="16"/>
        <v>0</v>
      </c>
      <c r="J65" s="504">
        <f>J66+J71+J75+J77+J73+J79+J81</f>
        <v>800</v>
      </c>
      <c r="K65" s="504">
        <f>K66+K71+K75+K77+K73</f>
        <v>0</v>
      </c>
      <c r="L65" s="504">
        <f>L66+L71+L75+L77+L73+L79+L81</f>
        <v>800</v>
      </c>
      <c r="M65" s="40"/>
      <c r="N65" s="56"/>
      <c r="O65" s="15">
        <f t="shared" si="2"/>
        <v>0</v>
      </c>
    </row>
    <row r="66" spans="1:15" ht="45" hidden="1">
      <c r="A66" s="30" t="s">
        <v>172</v>
      </c>
      <c r="B66" s="25" t="s">
        <v>123</v>
      </c>
      <c r="C66" s="25" t="s">
        <v>47</v>
      </c>
      <c r="D66" s="25" t="s">
        <v>47</v>
      </c>
      <c r="E66" s="25" t="s">
        <v>173</v>
      </c>
      <c r="F66" s="25"/>
      <c r="G66" s="135">
        <f t="shared" si="16"/>
        <v>0</v>
      </c>
      <c r="H66" s="135">
        <f t="shared" si="16"/>
        <v>1049.66</v>
      </c>
      <c r="I66" s="135">
        <f t="shared" si="16"/>
        <v>0</v>
      </c>
      <c r="J66" s="26">
        <f t="shared" si="16"/>
        <v>0</v>
      </c>
      <c r="K66" s="26">
        <f t="shared" si="16"/>
        <v>0</v>
      </c>
      <c r="L66" s="26">
        <f t="shared" si="16"/>
        <v>0</v>
      </c>
      <c r="M66" s="40"/>
      <c r="N66" s="56"/>
      <c r="O66" s="15">
        <f t="shared" si="2"/>
        <v>0</v>
      </c>
    </row>
    <row r="67" spans="1:15" ht="30" hidden="1">
      <c r="A67" s="30" t="s">
        <v>143</v>
      </c>
      <c r="B67" s="25" t="s">
        <v>123</v>
      </c>
      <c r="C67" s="25" t="s">
        <v>47</v>
      </c>
      <c r="D67" s="25" t="s">
        <v>47</v>
      </c>
      <c r="E67" s="25" t="s">
        <v>174</v>
      </c>
      <c r="F67" s="25"/>
      <c r="G67" s="135">
        <f t="shared" si="16"/>
        <v>0</v>
      </c>
      <c r="H67" s="135">
        <f t="shared" si="16"/>
        <v>1049.66</v>
      </c>
      <c r="I67" s="135">
        <f t="shared" si="16"/>
        <v>0</v>
      </c>
      <c r="J67" s="26">
        <f t="shared" si="16"/>
        <v>0</v>
      </c>
      <c r="K67" s="26">
        <f t="shared" si="16"/>
        <v>0</v>
      </c>
      <c r="L67" s="26">
        <f t="shared" si="16"/>
        <v>0</v>
      </c>
      <c r="M67" s="40"/>
      <c r="N67" s="56"/>
      <c r="O67" s="15">
        <f t="shared" si="2"/>
        <v>0</v>
      </c>
    </row>
    <row r="68" spans="1:15" ht="30" hidden="1">
      <c r="A68" s="30" t="s">
        <v>150</v>
      </c>
      <c r="B68" s="25" t="s">
        <v>123</v>
      </c>
      <c r="C68" s="25" t="s">
        <v>47</v>
      </c>
      <c r="D68" s="25" t="s">
        <v>47</v>
      </c>
      <c r="E68" s="25" t="s">
        <v>174</v>
      </c>
      <c r="F68" s="25" t="s">
        <v>140</v>
      </c>
      <c r="G68" s="62"/>
      <c r="H68" s="61">
        <v>1049.66</v>
      </c>
      <c r="I68" s="62"/>
      <c r="J68" s="26"/>
      <c r="K68" s="26"/>
      <c r="L68" s="26">
        <f>J68+K68</f>
        <v>0</v>
      </c>
      <c r="M68" s="40"/>
      <c r="N68" s="56"/>
      <c r="O68" s="15">
        <f t="shared" si="2"/>
        <v>0</v>
      </c>
    </row>
    <row r="69" spans="1:15" ht="60" hidden="1">
      <c r="A69" s="57" t="s">
        <v>175</v>
      </c>
      <c r="B69" s="58" t="s">
        <v>123</v>
      </c>
      <c r="C69" s="59" t="s">
        <v>47</v>
      </c>
      <c r="D69" s="59" t="s">
        <v>47</v>
      </c>
      <c r="E69" s="60">
        <v>7952014</v>
      </c>
      <c r="F69" s="59"/>
      <c r="G69" s="59"/>
      <c r="H69" s="61"/>
      <c r="I69" s="62"/>
      <c r="J69" s="26">
        <f>J70</f>
        <v>0</v>
      </c>
      <c r="K69" s="26">
        <f>K70</f>
        <v>0</v>
      </c>
      <c r="L69" s="26">
        <f>L70</f>
        <v>0</v>
      </c>
      <c r="M69" s="40"/>
      <c r="N69" s="56"/>
      <c r="O69" s="15">
        <f t="shared" si="2"/>
        <v>0</v>
      </c>
    </row>
    <row r="70" spans="1:15" ht="30" hidden="1">
      <c r="A70" s="30" t="s">
        <v>133</v>
      </c>
      <c r="B70" s="59" t="s">
        <v>123</v>
      </c>
      <c r="C70" s="59" t="s">
        <v>47</v>
      </c>
      <c r="D70" s="59" t="s">
        <v>47</v>
      </c>
      <c r="E70" s="60">
        <v>7952014</v>
      </c>
      <c r="F70" s="59" t="s">
        <v>131</v>
      </c>
      <c r="G70" s="62"/>
      <c r="H70" s="61"/>
      <c r="I70" s="62"/>
      <c r="J70" s="26"/>
      <c r="K70" s="26"/>
      <c r="L70" s="26">
        <f>J70+K70</f>
        <v>0</v>
      </c>
      <c r="M70" s="40"/>
      <c r="N70" s="56"/>
      <c r="O70" s="15">
        <f t="shared" si="2"/>
        <v>0</v>
      </c>
    </row>
    <row r="71" spans="1:15" ht="60">
      <c r="A71" s="57" t="s">
        <v>176</v>
      </c>
      <c r="B71" s="58" t="s">
        <v>123</v>
      </c>
      <c r="C71" s="59" t="s">
        <v>47</v>
      </c>
      <c r="D71" s="59" t="s">
        <v>47</v>
      </c>
      <c r="E71" s="60">
        <v>7952013</v>
      </c>
      <c r="F71" s="59"/>
      <c r="G71" s="62"/>
      <c r="H71" s="61"/>
      <c r="I71" s="62"/>
      <c r="J71" s="26">
        <f>J72</f>
        <v>227.2</v>
      </c>
      <c r="K71" s="26">
        <f>K72</f>
        <v>0</v>
      </c>
      <c r="L71" s="26">
        <f>L72</f>
        <v>227.2</v>
      </c>
      <c r="M71" s="40"/>
      <c r="N71" s="56"/>
      <c r="O71" s="15">
        <f t="shared" si="2"/>
        <v>0</v>
      </c>
    </row>
    <row r="72" spans="1:19" ht="30">
      <c r="A72" s="30" t="s">
        <v>133</v>
      </c>
      <c r="B72" s="59" t="s">
        <v>123</v>
      </c>
      <c r="C72" s="59" t="s">
        <v>47</v>
      </c>
      <c r="D72" s="59" t="s">
        <v>47</v>
      </c>
      <c r="E72" s="60">
        <v>7952013</v>
      </c>
      <c r="F72" s="59" t="s">
        <v>131</v>
      </c>
      <c r="G72" s="62"/>
      <c r="H72" s="61"/>
      <c r="I72" s="62"/>
      <c r="J72" s="26">
        <v>227.2</v>
      </c>
      <c r="K72" s="26"/>
      <c r="L72" s="26">
        <f>J72+K72</f>
        <v>227.2</v>
      </c>
      <c r="M72" s="40"/>
      <c r="N72" s="56"/>
      <c r="O72" s="15">
        <f t="shared" si="2"/>
        <v>0</v>
      </c>
      <c r="P72" s="15">
        <f>L72-O72</f>
        <v>227.2</v>
      </c>
      <c r="S72" s="15">
        <f>K72+K74+K76+K80+K82+K78</f>
        <v>0</v>
      </c>
    </row>
    <row r="73" spans="1:16" ht="60">
      <c r="A73" s="57" t="s">
        <v>177</v>
      </c>
      <c r="B73" s="58" t="s">
        <v>123</v>
      </c>
      <c r="C73" s="59" t="s">
        <v>47</v>
      </c>
      <c r="D73" s="59" t="s">
        <v>47</v>
      </c>
      <c r="E73" s="60">
        <v>7952014</v>
      </c>
      <c r="F73" s="59"/>
      <c r="G73" s="528"/>
      <c r="H73" s="63"/>
      <c r="I73" s="64"/>
      <c r="J73" s="26">
        <f>J74</f>
        <v>150</v>
      </c>
      <c r="K73" s="26">
        <f>K74</f>
        <v>0</v>
      </c>
      <c r="L73" s="26">
        <f>L74</f>
        <v>150</v>
      </c>
      <c r="M73" s="40"/>
      <c r="N73" s="56"/>
      <c r="O73" s="15">
        <f t="shared" si="2"/>
        <v>0</v>
      </c>
      <c r="P73" s="15"/>
    </row>
    <row r="74" spans="1:16" ht="30">
      <c r="A74" s="30" t="s">
        <v>133</v>
      </c>
      <c r="B74" s="59" t="s">
        <v>123</v>
      </c>
      <c r="C74" s="59" t="s">
        <v>47</v>
      </c>
      <c r="D74" s="59" t="s">
        <v>47</v>
      </c>
      <c r="E74" s="60">
        <v>7952014</v>
      </c>
      <c r="F74" s="59" t="s">
        <v>131</v>
      </c>
      <c r="G74" s="64"/>
      <c r="H74" s="63"/>
      <c r="I74" s="64"/>
      <c r="J74" s="26">
        <v>150</v>
      </c>
      <c r="K74" s="26"/>
      <c r="L74" s="26">
        <f>J74+K74</f>
        <v>150</v>
      </c>
      <c r="M74" s="40"/>
      <c r="N74" s="56"/>
      <c r="O74" s="15">
        <f t="shared" si="2"/>
        <v>0</v>
      </c>
      <c r="P74" s="15"/>
    </row>
    <row r="75" spans="1:15" ht="60">
      <c r="A75" s="57" t="s">
        <v>178</v>
      </c>
      <c r="B75" s="58" t="s">
        <v>123</v>
      </c>
      <c r="C75" s="59" t="s">
        <v>47</v>
      </c>
      <c r="D75" s="59" t="s">
        <v>47</v>
      </c>
      <c r="E75" s="60">
        <v>7952015</v>
      </c>
      <c r="F75" s="59"/>
      <c r="G75" s="62"/>
      <c r="H75" s="61"/>
      <c r="I75" s="62"/>
      <c r="J75" s="26">
        <f>J76</f>
        <v>50</v>
      </c>
      <c r="K75" s="26">
        <f>K76</f>
        <v>0</v>
      </c>
      <c r="L75" s="26">
        <f>L76</f>
        <v>50</v>
      </c>
      <c r="M75" s="40"/>
      <c r="N75" s="56"/>
      <c r="O75" s="15">
        <f t="shared" si="2"/>
        <v>0</v>
      </c>
    </row>
    <row r="76" spans="1:15" ht="30">
      <c r="A76" s="30" t="s">
        <v>133</v>
      </c>
      <c r="B76" s="59" t="s">
        <v>123</v>
      </c>
      <c r="C76" s="59" t="s">
        <v>47</v>
      </c>
      <c r="D76" s="59" t="s">
        <v>47</v>
      </c>
      <c r="E76" s="60">
        <v>7952015</v>
      </c>
      <c r="F76" s="59" t="s">
        <v>131</v>
      </c>
      <c r="G76" s="62"/>
      <c r="H76" s="61"/>
      <c r="I76" s="62"/>
      <c r="J76" s="26">
        <v>50</v>
      </c>
      <c r="K76" s="26"/>
      <c r="L76" s="26">
        <f>J76+K76</f>
        <v>50</v>
      </c>
      <c r="M76" s="40"/>
      <c r="N76" s="56"/>
      <c r="O76" s="15">
        <f t="shared" si="2"/>
        <v>0</v>
      </c>
    </row>
    <row r="77" spans="1:15" ht="90">
      <c r="A77" s="57" t="s">
        <v>179</v>
      </c>
      <c r="B77" s="58" t="s">
        <v>123</v>
      </c>
      <c r="C77" s="59" t="s">
        <v>47</v>
      </c>
      <c r="D77" s="59" t="s">
        <v>47</v>
      </c>
      <c r="E77" s="60">
        <v>7952016</v>
      </c>
      <c r="F77" s="59"/>
      <c r="G77" s="62"/>
      <c r="H77" s="61"/>
      <c r="I77" s="62"/>
      <c r="J77" s="26">
        <f>J78</f>
        <v>50</v>
      </c>
      <c r="K77" s="26">
        <f>K78</f>
        <v>0</v>
      </c>
      <c r="L77" s="26">
        <f>L78</f>
        <v>50</v>
      </c>
      <c r="M77" s="40"/>
      <c r="N77" s="56"/>
      <c r="O77" s="15">
        <f aca="true" t="shared" si="17" ref="O77:O140">J77+K77-L77</f>
        <v>0</v>
      </c>
    </row>
    <row r="78" spans="1:15" ht="30">
      <c r="A78" s="30" t="s">
        <v>133</v>
      </c>
      <c r="B78" s="59" t="s">
        <v>123</v>
      </c>
      <c r="C78" s="59" t="s">
        <v>47</v>
      </c>
      <c r="D78" s="59" t="s">
        <v>47</v>
      </c>
      <c r="E78" s="60">
        <v>7952016</v>
      </c>
      <c r="F78" s="59" t="s">
        <v>131</v>
      </c>
      <c r="G78" s="62"/>
      <c r="H78" s="61"/>
      <c r="I78" s="62"/>
      <c r="J78" s="26">
        <v>50</v>
      </c>
      <c r="K78" s="26"/>
      <c r="L78" s="26">
        <f>J78+K78</f>
        <v>50</v>
      </c>
      <c r="M78" s="40"/>
      <c r="N78" s="56"/>
      <c r="O78" s="15">
        <f t="shared" si="17"/>
        <v>0</v>
      </c>
    </row>
    <row r="79" spans="1:15" ht="90">
      <c r="A79" s="57" t="s">
        <v>180</v>
      </c>
      <c r="B79" s="58" t="s">
        <v>123</v>
      </c>
      <c r="C79" s="59" t="s">
        <v>47</v>
      </c>
      <c r="D79" s="59" t="s">
        <v>47</v>
      </c>
      <c r="E79" s="60">
        <v>7952017</v>
      </c>
      <c r="F79" s="59"/>
      <c r="G79" s="62"/>
      <c r="H79" s="61"/>
      <c r="I79" s="62"/>
      <c r="J79" s="26">
        <f>J80</f>
        <v>234</v>
      </c>
      <c r="K79" s="26">
        <f>K80</f>
        <v>0</v>
      </c>
      <c r="L79" s="26">
        <f>L80</f>
        <v>234</v>
      </c>
      <c r="M79" s="40"/>
      <c r="N79" s="56"/>
      <c r="O79" s="15">
        <f t="shared" si="17"/>
        <v>0</v>
      </c>
    </row>
    <row r="80" spans="1:15" ht="30">
      <c r="A80" s="30" t="s">
        <v>133</v>
      </c>
      <c r="B80" s="59" t="s">
        <v>123</v>
      </c>
      <c r="C80" s="59" t="s">
        <v>47</v>
      </c>
      <c r="D80" s="59" t="s">
        <v>47</v>
      </c>
      <c r="E80" s="60">
        <v>7952017</v>
      </c>
      <c r="F80" s="59" t="s">
        <v>131</v>
      </c>
      <c r="G80" s="62"/>
      <c r="H80" s="61"/>
      <c r="I80" s="62"/>
      <c r="J80" s="26">
        <v>234</v>
      </c>
      <c r="K80" s="26"/>
      <c r="L80" s="26">
        <f>J80+K80</f>
        <v>234</v>
      </c>
      <c r="M80" s="40"/>
      <c r="N80" s="56"/>
      <c r="O80" s="15">
        <f t="shared" si="17"/>
        <v>0</v>
      </c>
    </row>
    <row r="81" spans="1:15" ht="45">
      <c r="A81" s="57" t="s">
        <v>181</v>
      </c>
      <c r="B81" s="58" t="s">
        <v>123</v>
      </c>
      <c r="C81" s="59" t="s">
        <v>47</v>
      </c>
      <c r="D81" s="59" t="s">
        <v>47</v>
      </c>
      <c r="E81" s="60">
        <v>7952019</v>
      </c>
      <c r="F81" s="59"/>
      <c r="G81" s="62"/>
      <c r="H81" s="61"/>
      <c r="I81" s="62"/>
      <c r="J81" s="26">
        <f>J82</f>
        <v>88.8</v>
      </c>
      <c r="K81" s="26">
        <f>K82</f>
        <v>0</v>
      </c>
      <c r="L81" s="26">
        <f>L82</f>
        <v>88.8</v>
      </c>
      <c r="M81" s="40"/>
      <c r="N81" s="56"/>
      <c r="O81" s="15">
        <f t="shared" si="17"/>
        <v>0</v>
      </c>
    </row>
    <row r="82" spans="1:15" ht="30">
      <c r="A82" s="30" t="s">
        <v>133</v>
      </c>
      <c r="B82" s="59" t="s">
        <v>123</v>
      </c>
      <c r="C82" s="59" t="s">
        <v>47</v>
      </c>
      <c r="D82" s="59" t="s">
        <v>47</v>
      </c>
      <c r="E82" s="60">
        <v>7952019</v>
      </c>
      <c r="F82" s="59" t="s">
        <v>131</v>
      </c>
      <c r="G82" s="62"/>
      <c r="H82" s="61"/>
      <c r="I82" s="62"/>
      <c r="J82" s="26">
        <v>88.8</v>
      </c>
      <c r="K82" s="26"/>
      <c r="L82" s="26">
        <f>J82+K82</f>
        <v>88.8</v>
      </c>
      <c r="M82" s="40"/>
      <c r="N82" s="56"/>
      <c r="O82" s="15">
        <f t="shared" si="17"/>
        <v>0</v>
      </c>
    </row>
    <row r="83" spans="1:19" ht="43.5" hidden="1">
      <c r="A83" s="23" t="s">
        <v>84</v>
      </c>
      <c r="B83" s="24" t="s">
        <v>123</v>
      </c>
      <c r="C83" s="24" t="s">
        <v>47</v>
      </c>
      <c r="D83" s="24" t="s">
        <v>85</v>
      </c>
      <c r="E83" s="24"/>
      <c r="F83" s="24"/>
      <c r="G83" s="503">
        <f aca="true" t="shared" si="18" ref="G83:N85">G84</f>
        <v>0</v>
      </c>
      <c r="H83" s="503">
        <f t="shared" si="18"/>
        <v>1049.66</v>
      </c>
      <c r="I83" s="503">
        <f t="shared" si="18"/>
        <v>0</v>
      </c>
      <c r="J83" s="504">
        <f>J84+J87+J89+J91+J93+J95</f>
        <v>0</v>
      </c>
      <c r="K83" s="504">
        <f>K84+K87+K89+K91+K93+K95</f>
        <v>0</v>
      </c>
      <c r="L83" s="504">
        <f>L84+L87+L89+L91+L93+L95</f>
        <v>0</v>
      </c>
      <c r="M83" s="65">
        <f>M84+M87</f>
        <v>33</v>
      </c>
      <c r="N83" s="66">
        <f>N84+N87</f>
        <v>33</v>
      </c>
      <c r="O83" s="15">
        <f t="shared" si="17"/>
        <v>0</v>
      </c>
      <c r="P83" s="67"/>
      <c r="Q83" s="68"/>
      <c r="R83" s="67"/>
      <c r="S83" s="69"/>
    </row>
    <row r="84" spans="1:19" ht="45" hidden="1">
      <c r="A84" s="30" t="s">
        <v>172</v>
      </c>
      <c r="B84" s="25" t="s">
        <v>123</v>
      </c>
      <c r="C84" s="25" t="s">
        <v>47</v>
      </c>
      <c r="D84" s="25" t="s">
        <v>85</v>
      </c>
      <c r="E84" s="25" t="s">
        <v>173</v>
      </c>
      <c r="F84" s="25"/>
      <c r="G84" s="135">
        <f t="shared" si="18"/>
        <v>0</v>
      </c>
      <c r="H84" s="135">
        <f t="shared" si="18"/>
        <v>1049.66</v>
      </c>
      <c r="I84" s="135">
        <f t="shared" si="18"/>
        <v>0</v>
      </c>
      <c r="J84" s="26">
        <f t="shared" si="18"/>
        <v>0</v>
      </c>
      <c r="K84" s="26">
        <f t="shared" si="18"/>
        <v>0</v>
      </c>
      <c r="L84" s="26">
        <f t="shared" si="18"/>
        <v>0</v>
      </c>
      <c r="M84" s="40">
        <f t="shared" si="18"/>
        <v>0</v>
      </c>
      <c r="N84" s="70">
        <f t="shared" si="18"/>
        <v>0</v>
      </c>
      <c r="O84" s="15">
        <f t="shared" si="17"/>
        <v>0</v>
      </c>
      <c r="P84" s="71"/>
      <c r="Q84" s="72"/>
      <c r="R84" s="71"/>
      <c r="S84" s="69"/>
    </row>
    <row r="85" spans="1:19" ht="30" hidden="1">
      <c r="A85" s="30" t="s">
        <v>143</v>
      </c>
      <c r="B85" s="25" t="s">
        <v>123</v>
      </c>
      <c r="C85" s="25" t="s">
        <v>47</v>
      </c>
      <c r="D85" s="25" t="s">
        <v>85</v>
      </c>
      <c r="E85" s="25" t="s">
        <v>174</v>
      </c>
      <c r="F85" s="25"/>
      <c r="G85" s="135">
        <f t="shared" si="18"/>
        <v>0</v>
      </c>
      <c r="H85" s="135">
        <f t="shared" si="18"/>
        <v>1049.66</v>
      </c>
      <c r="I85" s="135">
        <f t="shared" si="18"/>
        <v>0</v>
      </c>
      <c r="J85" s="26">
        <f t="shared" si="18"/>
        <v>0</v>
      </c>
      <c r="K85" s="26">
        <f t="shared" si="18"/>
        <v>0</v>
      </c>
      <c r="L85" s="26">
        <f t="shared" si="18"/>
        <v>0</v>
      </c>
      <c r="M85" s="40">
        <f t="shared" si="18"/>
        <v>0</v>
      </c>
      <c r="N85" s="70">
        <f t="shared" si="18"/>
        <v>0</v>
      </c>
      <c r="O85" s="15">
        <f t="shared" si="17"/>
        <v>0</v>
      </c>
      <c r="P85" s="71"/>
      <c r="Q85" s="72"/>
      <c r="R85" s="71"/>
      <c r="S85" s="69"/>
    </row>
    <row r="86" spans="1:19" ht="30" hidden="1">
      <c r="A86" s="30" t="s">
        <v>150</v>
      </c>
      <c r="B86" s="25" t="s">
        <v>123</v>
      </c>
      <c r="C86" s="25" t="s">
        <v>47</v>
      </c>
      <c r="D86" s="25" t="s">
        <v>85</v>
      </c>
      <c r="E86" s="25" t="s">
        <v>174</v>
      </c>
      <c r="F86" s="25" t="s">
        <v>140</v>
      </c>
      <c r="G86" s="62"/>
      <c r="H86" s="61">
        <v>1049.66</v>
      </c>
      <c r="I86" s="62"/>
      <c r="J86" s="26"/>
      <c r="K86" s="26"/>
      <c r="L86" s="26">
        <f>J86+K86</f>
        <v>0</v>
      </c>
      <c r="M86" s="45"/>
      <c r="N86" s="73">
        <f>L86+M86</f>
        <v>0</v>
      </c>
      <c r="O86" s="15">
        <f t="shared" si="17"/>
        <v>0</v>
      </c>
      <c r="P86" s="71"/>
      <c r="Q86" s="72"/>
      <c r="R86" s="74"/>
      <c r="S86" s="69"/>
    </row>
    <row r="87" spans="1:19" ht="60" hidden="1">
      <c r="A87" s="57" t="s">
        <v>175</v>
      </c>
      <c r="B87" s="58" t="s">
        <v>123</v>
      </c>
      <c r="C87" s="59" t="s">
        <v>47</v>
      </c>
      <c r="D87" s="59" t="s">
        <v>85</v>
      </c>
      <c r="E87" s="60">
        <v>7952014</v>
      </c>
      <c r="F87" s="59"/>
      <c r="G87" s="528"/>
      <c r="H87" s="63"/>
      <c r="I87" s="64"/>
      <c r="J87" s="26">
        <f>J88</f>
        <v>0</v>
      </c>
      <c r="K87" s="26">
        <f>K88</f>
        <v>0</v>
      </c>
      <c r="L87" s="26">
        <f>L88</f>
        <v>0</v>
      </c>
      <c r="M87" s="28">
        <f>M88</f>
        <v>33</v>
      </c>
      <c r="N87" s="75">
        <f>N88</f>
        <v>33</v>
      </c>
      <c r="O87" s="15">
        <f t="shared" si="17"/>
        <v>0</v>
      </c>
      <c r="P87" s="71"/>
      <c r="Q87" s="72"/>
      <c r="R87" s="74"/>
      <c r="S87" s="69"/>
    </row>
    <row r="88" spans="1:19" ht="30" customHeight="1" hidden="1" thickBot="1">
      <c r="A88" s="30" t="s">
        <v>133</v>
      </c>
      <c r="B88" s="59" t="s">
        <v>123</v>
      </c>
      <c r="C88" s="59" t="s">
        <v>47</v>
      </c>
      <c r="D88" s="59" t="s">
        <v>85</v>
      </c>
      <c r="E88" s="60">
        <v>7952014</v>
      </c>
      <c r="F88" s="59" t="s">
        <v>131</v>
      </c>
      <c r="G88" s="64"/>
      <c r="H88" s="63"/>
      <c r="I88" s="64"/>
      <c r="J88" s="26"/>
      <c r="K88" s="26"/>
      <c r="L88" s="26">
        <f>J88+K88</f>
        <v>0</v>
      </c>
      <c r="M88" s="76">
        <v>33</v>
      </c>
      <c r="N88" s="77">
        <f>L88+M88</f>
        <v>33</v>
      </c>
      <c r="O88" s="15">
        <f t="shared" si="17"/>
        <v>0</v>
      </c>
      <c r="P88" s="71"/>
      <c r="Q88" s="72"/>
      <c r="R88" s="74"/>
      <c r="S88" s="69"/>
    </row>
    <row r="89" spans="1:19" ht="57.75" customHeight="1" hidden="1" thickBot="1">
      <c r="A89" s="57" t="s">
        <v>176</v>
      </c>
      <c r="B89" s="58" t="s">
        <v>123</v>
      </c>
      <c r="C89" s="59" t="s">
        <v>47</v>
      </c>
      <c r="D89" s="59" t="s">
        <v>85</v>
      </c>
      <c r="E89" s="60">
        <v>7952013</v>
      </c>
      <c r="F89" s="59"/>
      <c r="G89" s="64"/>
      <c r="H89" s="63"/>
      <c r="I89" s="64"/>
      <c r="J89" s="26">
        <f>J90</f>
        <v>0</v>
      </c>
      <c r="K89" s="26">
        <f>K90</f>
        <v>0</v>
      </c>
      <c r="L89" s="26">
        <f>L90</f>
        <v>0</v>
      </c>
      <c r="M89" s="78"/>
      <c r="N89" s="79"/>
      <c r="O89" s="15">
        <f t="shared" si="17"/>
        <v>0</v>
      </c>
      <c r="P89" s="71"/>
      <c r="Q89" s="72"/>
      <c r="R89" s="74"/>
      <c r="S89" s="69"/>
    </row>
    <row r="90" spans="1:19" ht="30" customHeight="1" hidden="1" thickBot="1">
      <c r="A90" s="30" t="s">
        <v>133</v>
      </c>
      <c r="B90" s="59" t="s">
        <v>123</v>
      </c>
      <c r="C90" s="59" t="s">
        <v>47</v>
      </c>
      <c r="D90" s="59" t="s">
        <v>85</v>
      </c>
      <c r="E90" s="60">
        <v>7952013</v>
      </c>
      <c r="F90" s="59" t="s">
        <v>131</v>
      </c>
      <c r="G90" s="64"/>
      <c r="H90" s="63"/>
      <c r="I90" s="64"/>
      <c r="J90" s="26"/>
      <c r="K90" s="26"/>
      <c r="L90" s="26">
        <f>J90+K90</f>
        <v>0</v>
      </c>
      <c r="M90" s="78"/>
      <c r="N90" s="79"/>
      <c r="O90" s="15">
        <f t="shared" si="17"/>
        <v>0</v>
      </c>
      <c r="P90" s="71"/>
      <c r="Q90" s="72"/>
      <c r="R90" s="74"/>
      <c r="S90" s="69"/>
    </row>
    <row r="91" spans="1:19" ht="57" customHeight="1" hidden="1" thickBot="1">
      <c r="A91" s="57" t="s">
        <v>178</v>
      </c>
      <c r="B91" s="58" t="s">
        <v>123</v>
      </c>
      <c r="C91" s="59" t="s">
        <v>47</v>
      </c>
      <c r="D91" s="59" t="s">
        <v>85</v>
      </c>
      <c r="E91" s="60">
        <v>7952015</v>
      </c>
      <c r="F91" s="59"/>
      <c r="G91" s="64"/>
      <c r="H91" s="63"/>
      <c r="I91" s="64"/>
      <c r="J91" s="26">
        <f>J92</f>
        <v>0</v>
      </c>
      <c r="K91" s="26">
        <f>K92</f>
        <v>0</v>
      </c>
      <c r="L91" s="26">
        <f>L92</f>
        <v>0</v>
      </c>
      <c r="M91" s="78"/>
      <c r="N91" s="79"/>
      <c r="O91" s="15">
        <f t="shared" si="17"/>
        <v>0</v>
      </c>
      <c r="P91" s="71"/>
      <c r="Q91" s="72"/>
      <c r="R91" s="74"/>
      <c r="S91" s="69"/>
    </row>
    <row r="92" spans="1:19" ht="30" customHeight="1" hidden="1" thickBot="1">
      <c r="A92" s="30" t="s">
        <v>133</v>
      </c>
      <c r="B92" s="59" t="s">
        <v>123</v>
      </c>
      <c r="C92" s="59" t="s">
        <v>47</v>
      </c>
      <c r="D92" s="59" t="s">
        <v>85</v>
      </c>
      <c r="E92" s="60">
        <v>7952015</v>
      </c>
      <c r="F92" s="59" t="s">
        <v>131</v>
      </c>
      <c r="G92" s="64"/>
      <c r="H92" s="63"/>
      <c r="I92" s="64"/>
      <c r="J92" s="26"/>
      <c r="K92" s="26"/>
      <c r="L92" s="26">
        <f>J92+K92</f>
        <v>0</v>
      </c>
      <c r="M92" s="78"/>
      <c r="N92" s="79"/>
      <c r="O92" s="15">
        <f t="shared" si="17"/>
        <v>0</v>
      </c>
      <c r="P92" s="71"/>
      <c r="Q92" s="72"/>
      <c r="R92" s="74"/>
      <c r="S92" s="69"/>
    </row>
    <row r="93" spans="1:19" ht="90" customHeight="1" hidden="1" thickBot="1">
      <c r="A93" s="57" t="s">
        <v>179</v>
      </c>
      <c r="B93" s="58" t="s">
        <v>123</v>
      </c>
      <c r="C93" s="59" t="s">
        <v>47</v>
      </c>
      <c r="D93" s="59" t="s">
        <v>85</v>
      </c>
      <c r="E93" s="60">
        <v>7952016</v>
      </c>
      <c r="F93" s="59"/>
      <c r="G93" s="64"/>
      <c r="H93" s="63"/>
      <c r="I93" s="64"/>
      <c r="J93" s="26">
        <f>J94</f>
        <v>0</v>
      </c>
      <c r="K93" s="26">
        <f>K94</f>
        <v>0</v>
      </c>
      <c r="L93" s="26">
        <f>L94</f>
        <v>0</v>
      </c>
      <c r="M93" s="78"/>
      <c r="N93" s="79"/>
      <c r="O93" s="15">
        <f t="shared" si="17"/>
        <v>0</v>
      </c>
      <c r="P93" s="71"/>
      <c r="Q93" s="72"/>
      <c r="R93" s="74"/>
      <c r="S93" s="69"/>
    </row>
    <row r="94" spans="1:19" ht="30" customHeight="1" hidden="1" thickBot="1">
      <c r="A94" s="80" t="s">
        <v>133</v>
      </c>
      <c r="B94" s="59" t="s">
        <v>123</v>
      </c>
      <c r="C94" s="59" t="s">
        <v>47</v>
      </c>
      <c r="D94" s="59" t="s">
        <v>85</v>
      </c>
      <c r="E94" s="60">
        <v>7952016</v>
      </c>
      <c r="F94" s="59" t="s">
        <v>131</v>
      </c>
      <c r="G94" s="64"/>
      <c r="H94" s="63"/>
      <c r="I94" s="64"/>
      <c r="J94" s="26"/>
      <c r="K94" s="26"/>
      <c r="L94" s="26">
        <f>J94+K94</f>
        <v>0</v>
      </c>
      <c r="M94" s="78"/>
      <c r="N94" s="79"/>
      <c r="O94" s="15">
        <f t="shared" si="17"/>
        <v>0</v>
      </c>
      <c r="P94" s="71"/>
      <c r="Q94" s="72"/>
      <c r="R94" s="74"/>
      <c r="S94" s="69"/>
    </row>
    <row r="95" spans="1:19" ht="48.75" customHeight="1" hidden="1" thickBot="1">
      <c r="A95" s="57" t="s">
        <v>182</v>
      </c>
      <c r="B95" s="58" t="s">
        <v>123</v>
      </c>
      <c r="C95" s="59" t="s">
        <v>47</v>
      </c>
      <c r="D95" s="59" t="s">
        <v>85</v>
      </c>
      <c r="E95" s="60">
        <v>7952017</v>
      </c>
      <c r="F95" s="59"/>
      <c r="G95" s="64"/>
      <c r="H95" s="63"/>
      <c r="I95" s="64"/>
      <c r="J95" s="26">
        <f>J96</f>
        <v>0</v>
      </c>
      <c r="K95" s="26">
        <f>K96</f>
        <v>0</v>
      </c>
      <c r="L95" s="26">
        <f>L96</f>
        <v>0</v>
      </c>
      <c r="M95" s="78"/>
      <c r="N95" s="79"/>
      <c r="O95" s="15">
        <f t="shared" si="17"/>
        <v>0</v>
      </c>
      <c r="P95" s="71"/>
      <c r="Q95" s="72"/>
      <c r="R95" s="74"/>
      <c r="S95" s="69"/>
    </row>
    <row r="96" spans="1:19" ht="33" customHeight="1" hidden="1" thickBot="1">
      <c r="A96" s="30" t="s">
        <v>133</v>
      </c>
      <c r="B96" s="59" t="s">
        <v>123</v>
      </c>
      <c r="C96" s="59" t="s">
        <v>47</v>
      </c>
      <c r="D96" s="59" t="s">
        <v>85</v>
      </c>
      <c r="E96" s="60">
        <v>7952017</v>
      </c>
      <c r="F96" s="59" t="s">
        <v>131</v>
      </c>
      <c r="G96" s="64"/>
      <c r="H96" s="63"/>
      <c r="I96" s="64"/>
      <c r="J96" s="26"/>
      <c r="K96" s="26">
        <f>30-30</f>
        <v>0</v>
      </c>
      <c r="L96" s="26">
        <f>J96+K96</f>
        <v>0</v>
      </c>
      <c r="M96" s="78"/>
      <c r="N96" s="79"/>
      <c r="O96" s="15">
        <f t="shared" si="17"/>
        <v>0</v>
      </c>
      <c r="P96" s="71"/>
      <c r="Q96" s="72"/>
      <c r="R96" s="74"/>
      <c r="S96" s="69"/>
    </row>
    <row r="97" spans="1:18" ht="30" thickBot="1">
      <c r="A97" s="529" t="s">
        <v>183</v>
      </c>
      <c r="B97" s="194" t="s">
        <v>184</v>
      </c>
      <c r="C97" s="194"/>
      <c r="D97" s="194"/>
      <c r="E97" s="194"/>
      <c r="F97" s="194"/>
      <c r="G97" s="196" t="e">
        <f aca="true" t="shared" si="19" ref="G97:N97">G98+G105+G175</f>
        <v>#REF!</v>
      </c>
      <c r="H97" s="196">
        <f t="shared" si="19"/>
        <v>159066.28999999998</v>
      </c>
      <c r="I97" s="196">
        <f t="shared" si="19"/>
        <v>0</v>
      </c>
      <c r="J97" s="621">
        <f t="shared" si="19"/>
        <v>221369.18244999996</v>
      </c>
      <c r="K97" s="621">
        <f>K98+K105+K175</f>
        <v>5668.804</v>
      </c>
      <c r="L97" s="621">
        <f t="shared" si="19"/>
        <v>227037.98644999997</v>
      </c>
      <c r="M97" s="81">
        <f t="shared" si="19"/>
        <v>1106.3000000000002</v>
      </c>
      <c r="N97" s="82">
        <f t="shared" si="19"/>
        <v>79545.69850000001</v>
      </c>
      <c r="O97" s="15">
        <f t="shared" si="17"/>
        <v>0</v>
      </c>
      <c r="P97" s="42"/>
      <c r="R97" s="42"/>
    </row>
    <row r="98" spans="1:15" ht="15" hidden="1">
      <c r="A98" s="31" t="s">
        <v>18</v>
      </c>
      <c r="B98" s="32" t="s">
        <v>184</v>
      </c>
      <c r="C98" s="32" t="s">
        <v>21</v>
      </c>
      <c r="D98" s="24"/>
      <c r="E98" s="24"/>
      <c r="F98" s="24"/>
      <c r="G98" s="523">
        <f aca="true" t="shared" si="20" ref="G98:N98">G99</f>
        <v>-853.633</v>
      </c>
      <c r="H98" s="523">
        <f t="shared" si="20"/>
        <v>1002.7</v>
      </c>
      <c r="I98" s="523">
        <f t="shared" si="20"/>
        <v>0</v>
      </c>
      <c r="J98" s="622">
        <f t="shared" si="20"/>
        <v>0</v>
      </c>
      <c r="K98" s="622">
        <f t="shared" si="20"/>
        <v>0</v>
      </c>
      <c r="L98" s="622">
        <f t="shared" si="20"/>
        <v>0</v>
      </c>
      <c r="M98" s="20">
        <f t="shared" si="20"/>
        <v>0</v>
      </c>
      <c r="N98" s="83">
        <f t="shared" si="20"/>
        <v>0</v>
      </c>
      <c r="O98" s="15">
        <f t="shared" si="17"/>
        <v>0</v>
      </c>
    </row>
    <row r="99" spans="1:15" ht="75" hidden="1">
      <c r="A99" s="30" t="s">
        <v>185</v>
      </c>
      <c r="B99" s="25" t="s">
        <v>184</v>
      </c>
      <c r="C99" s="25" t="s">
        <v>21</v>
      </c>
      <c r="D99" s="25" t="s">
        <v>26</v>
      </c>
      <c r="E99" s="25"/>
      <c r="F99" s="25"/>
      <c r="G99" s="527">
        <f aca="true" t="shared" si="21" ref="G99:M99">G102+G100</f>
        <v>-853.633</v>
      </c>
      <c r="H99" s="527">
        <f t="shared" si="21"/>
        <v>1002.7</v>
      </c>
      <c r="I99" s="527">
        <f t="shared" si="21"/>
        <v>0</v>
      </c>
      <c r="J99" s="26">
        <f t="shared" si="21"/>
        <v>0</v>
      </c>
      <c r="K99" s="26">
        <f t="shared" si="21"/>
        <v>0</v>
      </c>
      <c r="L99" s="26">
        <f t="shared" si="21"/>
        <v>0</v>
      </c>
      <c r="M99" s="27">
        <f t="shared" si="21"/>
        <v>0</v>
      </c>
      <c r="N99" s="52">
        <f>N102+N100</f>
        <v>0</v>
      </c>
      <c r="O99" s="15">
        <f t="shared" si="17"/>
        <v>0</v>
      </c>
    </row>
    <row r="100" spans="1:15" ht="51" customHeight="1" hidden="1">
      <c r="A100" s="84" t="s">
        <v>186</v>
      </c>
      <c r="B100" s="25" t="s">
        <v>184</v>
      </c>
      <c r="C100" s="25" t="s">
        <v>21</v>
      </c>
      <c r="D100" s="25" t="s">
        <v>26</v>
      </c>
      <c r="E100" s="25" t="s">
        <v>187</v>
      </c>
      <c r="F100" s="25"/>
      <c r="G100" s="527">
        <f aca="true" t="shared" si="22" ref="G100:N100">G101</f>
        <v>120.46699999999998</v>
      </c>
      <c r="H100" s="527">
        <f t="shared" si="22"/>
        <v>0</v>
      </c>
      <c r="I100" s="527">
        <f t="shared" si="22"/>
        <v>0</v>
      </c>
      <c r="J100" s="26">
        <f t="shared" si="22"/>
        <v>0</v>
      </c>
      <c r="K100" s="26">
        <f t="shared" si="22"/>
        <v>0</v>
      </c>
      <c r="L100" s="26">
        <f t="shared" si="22"/>
        <v>0</v>
      </c>
      <c r="M100" s="27">
        <f t="shared" si="22"/>
        <v>0</v>
      </c>
      <c r="N100" s="52">
        <f t="shared" si="22"/>
        <v>0</v>
      </c>
      <c r="O100" s="15">
        <f t="shared" si="17"/>
        <v>0</v>
      </c>
    </row>
    <row r="101" spans="1:15" ht="25.5" customHeight="1" hidden="1">
      <c r="A101" s="30" t="s">
        <v>133</v>
      </c>
      <c r="B101" s="25" t="s">
        <v>184</v>
      </c>
      <c r="C101" s="25" t="s">
        <v>21</v>
      </c>
      <c r="D101" s="25" t="s">
        <v>26</v>
      </c>
      <c r="E101" s="25" t="s">
        <v>187</v>
      </c>
      <c r="F101" s="25" t="s">
        <v>131</v>
      </c>
      <c r="G101" s="26">
        <f>455-334.533</f>
        <v>120.46699999999998</v>
      </c>
      <c r="H101" s="527"/>
      <c r="I101" s="26"/>
      <c r="J101" s="26">
        <f>H101+I101</f>
        <v>0</v>
      </c>
      <c r="K101" s="26"/>
      <c r="L101" s="26">
        <f>J101+K101</f>
        <v>0</v>
      </c>
      <c r="M101" s="27"/>
      <c r="N101" s="29">
        <f>L101+M101</f>
        <v>0</v>
      </c>
      <c r="O101" s="15">
        <f t="shared" si="17"/>
        <v>0</v>
      </c>
    </row>
    <row r="102" spans="1:15" ht="75" hidden="1">
      <c r="A102" s="30" t="s">
        <v>188</v>
      </c>
      <c r="B102" s="25" t="s">
        <v>184</v>
      </c>
      <c r="C102" s="25" t="s">
        <v>21</v>
      </c>
      <c r="D102" s="25" t="s">
        <v>26</v>
      </c>
      <c r="E102" s="25" t="s">
        <v>189</v>
      </c>
      <c r="F102" s="25"/>
      <c r="G102" s="135">
        <f aca="true" t="shared" si="23" ref="G102:N103">G103</f>
        <v>-974.1</v>
      </c>
      <c r="H102" s="135">
        <f t="shared" si="23"/>
        <v>1002.7</v>
      </c>
      <c r="I102" s="135">
        <f t="shared" si="23"/>
        <v>0</v>
      </c>
      <c r="J102" s="26">
        <f t="shared" si="23"/>
        <v>0</v>
      </c>
      <c r="K102" s="26">
        <f t="shared" si="23"/>
        <v>0</v>
      </c>
      <c r="L102" s="26">
        <f t="shared" si="23"/>
        <v>0</v>
      </c>
      <c r="M102" s="40">
        <f t="shared" si="23"/>
        <v>0</v>
      </c>
      <c r="N102" s="41">
        <f t="shared" si="23"/>
        <v>0</v>
      </c>
      <c r="O102" s="15">
        <f t="shared" si="17"/>
        <v>0</v>
      </c>
    </row>
    <row r="103" spans="1:15" ht="15" hidden="1">
      <c r="A103" s="30" t="s">
        <v>190</v>
      </c>
      <c r="B103" s="25" t="s">
        <v>184</v>
      </c>
      <c r="C103" s="25" t="s">
        <v>21</v>
      </c>
      <c r="D103" s="25" t="s">
        <v>26</v>
      </c>
      <c r="E103" s="25" t="s">
        <v>191</v>
      </c>
      <c r="F103" s="25"/>
      <c r="G103" s="135">
        <f t="shared" si="23"/>
        <v>-974.1</v>
      </c>
      <c r="H103" s="135">
        <f t="shared" si="23"/>
        <v>1002.7</v>
      </c>
      <c r="I103" s="135">
        <f t="shared" si="23"/>
        <v>0</v>
      </c>
      <c r="J103" s="26">
        <f t="shared" si="23"/>
        <v>0</v>
      </c>
      <c r="K103" s="26">
        <f t="shared" si="23"/>
        <v>0</v>
      </c>
      <c r="L103" s="26">
        <f t="shared" si="23"/>
        <v>0</v>
      </c>
      <c r="M103" s="40">
        <f t="shared" si="23"/>
        <v>0</v>
      </c>
      <c r="N103" s="41">
        <f t="shared" si="23"/>
        <v>0</v>
      </c>
      <c r="O103" s="15">
        <f t="shared" si="17"/>
        <v>0</v>
      </c>
    </row>
    <row r="104" spans="1:15" ht="30" hidden="1">
      <c r="A104" s="30" t="s">
        <v>133</v>
      </c>
      <c r="B104" s="25" t="s">
        <v>184</v>
      </c>
      <c r="C104" s="25" t="s">
        <v>21</v>
      </c>
      <c r="D104" s="25" t="s">
        <v>26</v>
      </c>
      <c r="E104" s="25" t="s">
        <v>191</v>
      </c>
      <c r="F104" s="25" t="s">
        <v>131</v>
      </c>
      <c r="G104" s="135">
        <f>-519.1-455</f>
        <v>-974.1</v>
      </c>
      <c r="H104" s="524">
        <v>1002.7</v>
      </c>
      <c r="I104" s="135"/>
      <c r="J104" s="26"/>
      <c r="K104" s="26"/>
      <c r="L104" s="26">
        <f>J104+K104</f>
        <v>0</v>
      </c>
      <c r="M104" s="40"/>
      <c r="N104" s="29">
        <f>L104+M104</f>
        <v>0</v>
      </c>
      <c r="O104" s="15">
        <f t="shared" si="17"/>
        <v>0</v>
      </c>
    </row>
    <row r="105" spans="1:15" ht="15">
      <c r="A105" s="31" t="s">
        <v>124</v>
      </c>
      <c r="B105" s="32" t="s">
        <v>184</v>
      </c>
      <c r="C105" s="32" t="s">
        <v>32</v>
      </c>
      <c r="D105" s="32"/>
      <c r="E105" s="32"/>
      <c r="F105" s="32"/>
      <c r="G105" s="520" t="e">
        <f aca="true" t="shared" si="24" ref="G105:N105">G106+G111+G146+G154+G161</f>
        <v>#REF!</v>
      </c>
      <c r="H105" s="523">
        <f t="shared" si="24"/>
        <v>146913.88999999996</v>
      </c>
      <c r="I105" s="523">
        <f t="shared" si="24"/>
        <v>0</v>
      </c>
      <c r="J105" s="622">
        <f>J106+J111+J146+J154+J161</f>
        <v>199169.48244999995</v>
      </c>
      <c r="K105" s="622">
        <f>K106+K111+K146+K154+K161</f>
        <v>6318.804</v>
      </c>
      <c r="L105" s="622">
        <f>L106+L111+L146+L154+L161</f>
        <v>205488.28644999996</v>
      </c>
      <c r="M105" s="34">
        <f t="shared" si="24"/>
        <v>1106.3000000000002</v>
      </c>
      <c r="N105" s="85">
        <f t="shared" si="24"/>
        <v>70574.39850000001</v>
      </c>
      <c r="O105" s="15">
        <f t="shared" si="17"/>
        <v>0</v>
      </c>
    </row>
    <row r="106" spans="1:15" ht="15">
      <c r="A106" s="23" t="s">
        <v>65</v>
      </c>
      <c r="B106" s="24" t="s">
        <v>184</v>
      </c>
      <c r="C106" s="24" t="s">
        <v>32</v>
      </c>
      <c r="D106" s="24" t="s">
        <v>21</v>
      </c>
      <c r="E106" s="24"/>
      <c r="F106" s="24"/>
      <c r="G106" s="503">
        <f aca="true" t="shared" si="25" ref="G106:N107">G107</f>
        <v>-926.36</v>
      </c>
      <c r="H106" s="503">
        <f t="shared" si="25"/>
        <v>3734</v>
      </c>
      <c r="I106" s="503">
        <f t="shared" si="25"/>
        <v>0</v>
      </c>
      <c r="J106" s="504">
        <f t="shared" si="25"/>
        <v>0</v>
      </c>
      <c r="K106" s="504">
        <f t="shared" si="25"/>
        <v>0</v>
      </c>
      <c r="L106" s="504">
        <f t="shared" si="25"/>
        <v>0</v>
      </c>
      <c r="M106" s="505">
        <f t="shared" si="25"/>
        <v>805.6</v>
      </c>
      <c r="N106" s="86">
        <f t="shared" si="25"/>
        <v>805.6</v>
      </c>
      <c r="O106" s="15">
        <f t="shared" si="17"/>
        <v>0</v>
      </c>
    </row>
    <row r="107" spans="1:15" ht="15" hidden="1">
      <c r="A107" s="30" t="s">
        <v>192</v>
      </c>
      <c r="B107" s="25" t="s">
        <v>184</v>
      </c>
      <c r="C107" s="25" t="s">
        <v>32</v>
      </c>
      <c r="D107" s="25" t="s">
        <v>21</v>
      </c>
      <c r="E107" s="25" t="s">
        <v>193</v>
      </c>
      <c r="F107" s="25"/>
      <c r="G107" s="135">
        <f t="shared" si="25"/>
        <v>-926.36</v>
      </c>
      <c r="H107" s="135">
        <f t="shared" si="25"/>
        <v>3734</v>
      </c>
      <c r="I107" s="135">
        <f t="shared" si="25"/>
        <v>0</v>
      </c>
      <c r="J107" s="26">
        <f t="shared" si="25"/>
        <v>0</v>
      </c>
      <c r="K107" s="26">
        <f t="shared" si="25"/>
        <v>0</v>
      </c>
      <c r="L107" s="26">
        <f t="shared" si="25"/>
        <v>0</v>
      </c>
      <c r="M107" s="40">
        <f t="shared" si="25"/>
        <v>805.6</v>
      </c>
      <c r="N107" s="41">
        <f t="shared" si="25"/>
        <v>805.6</v>
      </c>
      <c r="O107" s="15">
        <f t="shared" si="17"/>
        <v>0</v>
      </c>
    </row>
    <row r="108" spans="1:15" ht="30" hidden="1">
      <c r="A108" s="30" t="s">
        <v>143</v>
      </c>
      <c r="B108" s="25" t="s">
        <v>184</v>
      </c>
      <c r="C108" s="25" t="s">
        <v>32</v>
      </c>
      <c r="D108" s="25" t="s">
        <v>21</v>
      </c>
      <c r="E108" s="25" t="s">
        <v>194</v>
      </c>
      <c r="F108" s="25"/>
      <c r="G108" s="135">
        <f aca="true" t="shared" si="26" ref="G108:M108">G109+G110</f>
        <v>-926.36</v>
      </c>
      <c r="H108" s="135">
        <f t="shared" si="26"/>
        <v>3734</v>
      </c>
      <c r="I108" s="135">
        <f t="shared" si="26"/>
        <v>0</v>
      </c>
      <c r="J108" s="26">
        <f t="shared" si="26"/>
        <v>0</v>
      </c>
      <c r="K108" s="26">
        <f t="shared" si="26"/>
        <v>0</v>
      </c>
      <c r="L108" s="26">
        <f t="shared" si="26"/>
        <v>0</v>
      </c>
      <c r="M108" s="40">
        <f t="shared" si="26"/>
        <v>805.6</v>
      </c>
      <c r="N108" s="41">
        <f>N109+N110</f>
        <v>805.6</v>
      </c>
      <c r="O108" s="15">
        <f t="shared" si="17"/>
        <v>0</v>
      </c>
    </row>
    <row r="109" spans="1:16" ht="30" hidden="1">
      <c r="A109" s="30" t="s">
        <v>195</v>
      </c>
      <c r="B109" s="25" t="s">
        <v>184</v>
      </c>
      <c r="C109" s="25" t="s">
        <v>32</v>
      </c>
      <c r="D109" s="25" t="s">
        <v>21</v>
      </c>
      <c r="E109" s="25" t="s">
        <v>194</v>
      </c>
      <c r="F109" s="25" t="s">
        <v>140</v>
      </c>
      <c r="G109" s="135">
        <f>-36.76+103.4</f>
        <v>66.64000000000001</v>
      </c>
      <c r="H109" s="524">
        <v>2606</v>
      </c>
      <c r="I109" s="135"/>
      <c r="J109" s="26"/>
      <c r="K109" s="26"/>
      <c r="L109" s="26">
        <f>J109+K109</f>
        <v>0</v>
      </c>
      <c r="M109" s="40">
        <f>-44.4+915</f>
        <v>870.6</v>
      </c>
      <c r="N109" s="29">
        <f>L109+M109</f>
        <v>870.6</v>
      </c>
      <c r="O109" s="15">
        <f t="shared" si="17"/>
        <v>0</v>
      </c>
      <c r="P109" s="87"/>
    </row>
    <row r="110" spans="1:15" ht="60" hidden="1">
      <c r="A110" s="30" t="s">
        <v>145</v>
      </c>
      <c r="B110" s="25" t="s">
        <v>184</v>
      </c>
      <c r="C110" s="25" t="s">
        <v>32</v>
      </c>
      <c r="D110" s="25" t="s">
        <v>21</v>
      </c>
      <c r="E110" s="25" t="s">
        <v>196</v>
      </c>
      <c r="F110" s="25" t="s">
        <v>140</v>
      </c>
      <c r="G110" s="135">
        <f>-112.8-880.2</f>
        <v>-993</v>
      </c>
      <c r="H110" s="524">
        <v>1128</v>
      </c>
      <c r="I110" s="135"/>
      <c r="J110" s="26"/>
      <c r="K110" s="26"/>
      <c r="L110" s="26">
        <f>J110+K110</f>
        <v>0</v>
      </c>
      <c r="M110" s="40">
        <v>-65</v>
      </c>
      <c r="N110" s="29">
        <f>L110+M110</f>
        <v>-65</v>
      </c>
      <c r="O110" s="15">
        <f t="shared" si="17"/>
        <v>0</v>
      </c>
    </row>
    <row r="111" spans="1:15" ht="15">
      <c r="A111" s="23" t="s">
        <v>66</v>
      </c>
      <c r="B111" s="24" t="s">
        <v>184</v>
      </c>
      <c r="C111" s="24" t="s">
        <v>32</v>
      </c>
      <c r="D111" s="24" t="s">
        <v>22</v>
      </c>
      <c r="E111" s="24"/>
      <c r="F111" s="24"/>
      <c r="G111" s="191">
        <f>G114+G125+G137+G142+G144+G112</f>
        <v>5433.36</v>
      </c>
      <c r="H111" s="191">
        <f>H114+H125+H137+H142+H144+H112</f>
        <v>135780.43999999997</v>
      </c>
      <c r="I111" s="191">
        <f>I114+I125+I137+I142+I144+I112</f>
        <v>0</v>
      </c>
      <c r="J111" s="504">
        <f>J114+J125+J137+J144+J112+J130+J134</f>
        <v>189322.73796999996</v>
      </c>
      <c r="K111" s="504">
        <f>K114+K125+K137+K144+K112+K130+K134</f>
        <v>6328.804</v>
      </c>
      <c r="L111" s="504">
        <f>L114+L125+L137+L144+L112+L130+L134</f>
        <v>195651.54196999996</v>
      </c>
      <c r="M111" s="55">
        <f>M114+M125+M137+M142+M144+M112</f>
        <v>1721.3940000000002</v>
      </c>
      <c r="N111" s="88">
        <f>N114+N125+N137+N142+N144+N112</f>
        <v>62707.53400000001</v>
      </c>
      <c r="O111" s="15">
        <f t="shared" si="17"/>
        <v>0</v>
      </c>
    </row>
    <row r="112" spans="1:15" ht="29.25" customHeight="1">
      <c r="A112" s="30" t="s">
        <v>197</v>
      </c>
      <c r="B112" s="25" t="s">
        <v>184</v>
      </c>
      <c r="C112" s="25" t="s">
        <v>32</v>
      </c>
      <c r="D112" s="25" t="s">
        <v>22</v>
      </c>
      <c r="E112" s="25" t="s">
        <v>198</v>
      </c>
      <c r="F112" s="25"/>
      <c r="G112" s="135">
        <f aca="true" t="shared" si="27" ref="G112:N112">G113</f>
        <v>4600</v>
      </c>
      <c r="H112" s="135">
        <f t="shared" si="27"/>
        <v>0</v>
      </c>
      <c r="I112" s="135">
        <f t="shared" si="27"/>
        <v>0</v>
      </c>
      <c r="J112" s="26">
        <f t="shared" si="27"/>
        <v>4000</v>
      </c>
      <c r="K112" s="26">
        <f t="shared" si="27"/>
        <v>0</v>
      </c>
      <c r="L112" s="26">
        <f t="shared" si="27"/>
        <v>4000</v>
      </c>
      <c r="M112" s="40">
        <f t="shared" si="27"/>
        <v>0</v>
      </c>
      <c r="N112" s="41">
        <f t="shared" si="27"/>
        <v>4000</v>
      </c>
      <c r="O112" s="15">
        <f t="shared" si="17"/>
        <v>0</v>
      </c>
    </row>
    <row r="113" spans="1:15" ht="30" customHeight="1">
      <c r="A113" s="30" t="s">
        <v>195</v>
      </c>
      <c r="B113" s="25" t="s">
        <v>184</v>
      </c>
      <c r="C113" s="25" t="s">
        <v>32</v>
      </c>
      <c r="D113" s="25" t="s">
        <v>22</v>
      </c>
      <c r="E113" s="25" t="s">
        <v>198</v>
      </c>
      <c r="F113" s="25" t="s">
        <v>140</v>
      </c>
      <c r="G113" s="135">
        <v>4600</v>
      </c>
      <c r="H113" s="524"/>
      <c r="I113" s="135"/>
      <c r="J113" s="26">
        <v>4000</v>
      </c>
      <c r="K113" s="26"/>
      <c r="L113" s="26">
        <f>J113+K113</f>
        <v>4000</v>
      </c>
      <c r="M113" s="40"/>
      <c r="N113" s="29">
        <f>L113+M113</f>
        <v>4000</v>
      </c>
      <c r="O113" s="15">
        <f t="shared" si="17"/>
        <v>0</v>
      </c>
    </row>
    <row r="114" spans="1:15" ht="45">
      <c r="A114" s="30" t="s">
        <v>199</v>
      </c>
      <c r="B114" s="25" t="s">
        <v>184</v>
      </c>
      <c r="C114" s="25" t="s">
        <v>32</v>
      </c>
      <c r="D114" s="25" t="s">
        <v>22</v>
      </c>
      <c r="E114" s="25" t="s">
        <v>200</v>
      </c>
      <c r="F114" s="25"/>
      <c r="G114" s="527">
        <f aca="true" t="shared" si="28" ref="G114:N114">G115</f>
        <v>867.76</v>
      </c>
      <c r="H114" s="527">
        <f t="shared" si="28"/>
        <v>122607.1</v>
      </c>
      <c r="I114" s="527">
        <f t="shared" si="28"/>
        <v>0</v>
      </c>
      <c r="J114" s="26">
        <f t="shared" si="28"/>
        <v>161252.57596999998</v>
      </c>
      <c r="K114" s="26">
        <f>K115</f>
        <v>2121.15</v>
      </c>
      <c r="L114" s="26">
        <f t="shared" si="28"/>
        <v>163373.72596999997</v>
      </c>
      <c r="M114" s="27">
        <f t="shared" si="28"/>
        <v>1706.3940000000002</v>
      </c>
      <c r="N114" s="52">
        <f t="shared" si="28"/>
        <v>43489.614</v>
      </c>
      <c r="O114" s="15">
        <f t="shared" si="17"/>
        <v>0</v>
      </c>
    </row>
    <row r="115" spans="1:15" ht="30">
      <c r="A115" s="30" t="s">
        <v>143</v>
      </c>
      <c r="B115" s="25" t="s">
        <v>184</v>
      </c>
      <c r="C115" s="25" t="s">
        <v>32</v>
      </c>
      <c r="D115" s="25" t="s">
        <v>22</v>
      </c>
      <c r="E115" s="25" t="s">
        <v>201</v>
      </c>
      <c r="F115" s="25"/>
      <c r="G115" s="135">
        <f>G116+G117</f>
        <v>867.76</v>
      </c>
      <c r="H115" s="135">
        <f>H116+H117</f>
        <v>122607.1</v>
      </c>
      <c r="I115" s="135">
        <f>I116+I117</f>
        <v>0</v>
      </c>
      <c r="J115" s="26">
        <f>J116+J117+J118+J119+J120+J122+J124+J121+J123</f>
        <v>161252.57596999998</v>
      </c>
      <c r="K115" s="26">
        <f>K116+K117+K118+K119+K120+K122+K124+K121+K123</f>
        <v>2121.15</v>
      </c>
      <c r="L115" s="26">
        <f>L116+L117+L118+L119+L120+L122+L124+L121+L123</f>
        <v>163373.72596999997</v>
      </c>
      <c r="M115" s="330">
        <f>M116+M117+M118+M119+M120+M122+M124</f>
        <v>1706.3940000000002</v>
      </c>
      <c r="N115" s="53">
        <f>N116+N117+N118+N119+N120+N122+N124</f>
        <v>43489.614</v>
      </c>
      <c r="O115" s="15">
        <f t="shared" si="17"/>
        <v>0</v>
      </c>
    </row>
    <row r="116" spans="1:20" ht="30">
      <c r="A116" s="30" t="s">
        <v>195</v>
      </c>
      <c r="B116" s="25" t="s">
        <v>184</v>
      </c>
      <c r="C116" s="25" t="s">
        <v>32</v>
      </c>
      <c r="D116" s="25" t="s">
        <v>22</v>
      </c>
      <c r="E116" s="25" t="s">
        <v>201</v>
      </c>
      <c r="F116" s="25" t="s">
        <v>140</v>
      </c>
      <c r="G116" s="135">
        <f>36.76+38-200</f>
        <v>-125.24000000000001</v>
      </c>
      <c r="H116" s="524">
        <v>121495.1</v>
      </c>
      <c r="I116" s="135"/>
      <c r="J116" s="26">
        <v>36052.27</v>
      </c>
      <c r="K116" s="26">
        <f>2525+86+90-90-70+180-161+161.15</f>
        <v>2721.15</v>
      </c>
      <c r="L116" s="26">
        <f aca="true" t="shared" si="29" ref="L116:L124">J116+K116</f>
        <v>38773.42</v>
      </c>
      <c r="M116" s="89">
        <f>102.98+1108+1100.414</f>
        <v>2311.3940000000002</v>
      </c>
      <c r="N116" s="29">
        <f>L116+M116</f>
        <v>41084.814</v>
      </c>
      <c r="O116" s="15">
        <f t="shared" si="17"/>
        <v>0</v>
      </c>
      <c r="P116" s="14">
        <f>L116-O116</f>
        <v>38773.42</v>
      </c>
      <c r="T116" s="15">
        <f>L120+L122</f>
        <v>7027.2370200000005</v>
      </c>
    </row>
    <row r="117" spans="1:16" ht="60">
      <c r="A117" s="30" t="s">
        <v>145</v>
      </c>
      <c r="B117" s="25" t="s">
        <v>184</v>
      </c>
      <c r="C117" s="25" t="s">
        <v>32</v>
      </c>
      <c r="D117" s="25" t="s">
        <v>22</v>
      </c>
      <c r="E117" s="25" t="s">
        <v>202</v>
      </c>
      <c r="F117" s="25" t="s">
        <v>140</v>
      </c>
      <c r="G117" s="135">
        <f>112.8+880.2</f>
        <v>993</v>
      </c>
      <c r="H117" s="524">
        <v>1112</v>
      </c>
      <c r="I117" s="135"/>
      <c r="J117" s="26">
        <v>3609.8</v>
      </c>
      <c r="K117" s="26">
        <v>-600</v>
      </c>
      <c r="L117" s="26">
        <f t="shared" si="29"/>
        <v>3009.8</v>
      </c>
      <c r="M117" s="40">
        <f>-605</f>
        <v>-605</v>
      </c>
      <c r="N117" s="29">
        <f>L117+M117</f>
        <v>2404.8</v>
      </c>
      <c r="O117" s="15">
        <f t="shared" si="17"/>
        <v>0</v>
      </c>
      <c r="P117" s="15">
        <f>L117-O117</f>
        <v>3009.8</v>
      </c>
    </row>
    <row r="118" spans="1:15" ht="90">
      <c r="A118" s="90" t="s">
        <v>203</v>
      </c>
      <c r="B118" s="25" t="s">
        <v>184</v>
      </c>
      <c r="C118" s="25" t="s">
        <v>32</v>
      </c>
      <c r="D118" s="25" t="s">
        <v>22</v>
      </c>
      <c r="E118" s="25" t="s">
        <v>204</v>
      </c>
      <c r="F118" s="25" t="s">
        <v>140</v>
      </c>
      <c r="G118" s="135"/>
      <c r="H118" s="524"/>
      <c r="I118" s="135"/>
      <c r="J118" s="26">
        <v>112594.2</v>
      </c>
      <c r="K118" s="26"/>
      <c r="L118" s="26">
        <f t="shared" si="29"/>
        <v>112594.2</v>
      </c>
      <c r="M118" s="40"/>
      <c r="N118" s="29"/>
      <c r="O118" s="15">
        <f t="shared" si="17"/>
        <v>0</v>
      </c>
    </row>
    <row r="119" spans="1:16" ht="75">
      <c r="A119" s="30" t="s">
        <v>205</v>
      </c>
      <c r="B119" s="25" t="s">
        <v>184</v>
      </c>
      <c r="C119" s="25" t="s">
        <v>32</v>
      </c>
      <c r="D119" s="25" t="s">
        <v>22</v>
      </c>
      <c r="E119" s="25" t="s">
        <v>206</v>
      </c>
      <c r="F119" s="25" t="s">
        <v>140</v>
      </c>
      <c r="G119" s="135"/>
      <c r="H119" s="524"/>
      <c r="I119" s="135"/>
      <c r="J119" s="26">
        <v>332.76895</v>
      </c>
      <c r="K119" s="623"/>
      <c r="L119" s="26">
        <f t="shared" si="29"/>
        <v>332.76895</v>
      </c>
      <c r="M119" s="40"/>
      <c r="N119" s="29"/>
      <c r="O119" s="15">
        <f t="shared" si="17"/>
        <v>0</v>
      </c>
      <c r="P119" s="15">
        <f>K119</f>
        <v>0</v>
      </c>
    </row>
    <row r="120" spans="1:15" ht="45">
      <c r="A120" s="30" t="s">
        <v>151</v>
      </c>
      <c r="B120" s="25" t="s">
        <v>184</v>
      </c>
      <c r="C120" s="25" t="s">
        <v>32</v>
      </c>
      <c r="D120" s="25" t="s">
        <v>22</v>
      </c>
      <c r="E120" s="25" t="s">
        <v>207</v>
      </c>
      <c r="F120" s="25" t="s">
        <v>140</v>
      </c>
      <c r="G120" s="135"/>
      <c r="H120" s="524"/>
      <c r="I120" s="135"/>
      <c r="J120" s="26">
        <v>6575.87002</v>
      </c>
      <c r="K120" s="623"/>
      <c r="L120" s="26">
        <f t="shared" si="29"/>
        <v>6575.87002</v>
      </c>
      <c r="M120" s="40"/>
      <c r="N120" s="29"/>
      <c r="O120" s="15">
        <f t="shared" si="17"/>
        <v>0</v>
      </c>
    </row>
    <row r="121" spans="1:15" ht="30" hidden="1">
      <c r="A121" s="90" t="s">
        <v>150</v>
      </c>
      <c r="B121" s="25" t="s">
        <v>184</v>
      </c>
      <c r="C121" s="25" t="s">
        <v>32</v>
      </c>
      <c r="D121" s="25" t="s">
        <v>22</v>
      </c>
      <c r="E121" s="25" t="s">
        <v>207</v>
      </c>
      <c r="F121" s="25" t="s">
        <v>140</v>
      </c>
      <c r="G121" s="135"/>
      <c r="H121" s="524"/>
      <c r="I121" s="135"/>
      <c r="J121" s="26"/>
      <c r="K121" s="26"/>
      <c r="L121" s="26">
        <f>J121+K121</f>
        <v>0</v>
      </c>
      <c r="M121" s="40"/>
      <c r="N121" s="29"/>
      <c r="O121" s="15">
        <f t="shared" si="17"/>
        <v>0</v>
      </c>
    </row>
    <row r="122" spans="1:18" ht="45">
      <c r="A122" s="30" t="s">
        <v>153</v>
      </c>
      <c r="B122" s="25" t="s">
        <v>184</v>
      </c>
      <c r="C122" s="25" t="s">
        <v>32</v>
      </c>
      <c r="D122" s="25" t="s">
        <v>22</v>
      </c>
      <c r="E122" s="25" t="s">
        <v>208</v>
      </c>
      <c r="F122" s="25" t="s">
        <v>140</v>
      </c>
      <c r="G122" s="135"/>
      <c r="H122" s="524"/>
      <c r="I122" s="135"/>
      <c r="J122" s="26">
        <v>451.367</v>
      </c>
      <c r="K122" s="26"/>
      <c r="L122" s="26">
        <f t="shared" si="29"/>
        <v>451.367</v>
      </c>
      <c r="M122" s="40"/>
      <c r="N122" s="29"/>
      <c r="O122" s="15">
        <f t="shared" si="17"/>
        <v>0</v>
      </c>
      <c r="R122" s="15">
        <f>L122+L120</f>
        <v>7027.2370200000005</v>
      </c>
    </row>
    <row r="123" spans="1:16" ht="75" hidden="1">
      <c r="A123" s="30" t="s">
        <v>205</v>
      </c>
      <c r="B123" s="25" t="s">
        <v>184</v>
      </c>
      <c r="C123" s="25" t="s">
        <v>32</v>
      </c>
      <c r="D123" s="25" t="s">
        <v>22</v>
      </c>
      <c r="E123" s="25" t="s">
        <v>208</v>
      </c>
      <c r="F123" s="25" t="s">
        <v>140</v>
      </c>
      <c r="G123" s="135"/>
      <c r="H123" s="524"/>
      <c r="I123" s="135"/>
      <c r="J123" s="26"/>
      <c r="K123" s="26"/>
      <c r="L123" s="26">
        <f>J123+K123</f>
        <v>0</v>
      </c>
      <c r="M123" s="40"/>
      <c r="N123" s="29"/>
      <c r="O123" s="15">
        <f t="shared" si="17"/>
        <v>0</v>
      </c>
      <c r="P123" s="15">
        <f>K123</f>
        <v>0</v>
      </c>
    </row>
    <row r="124" spans="1:19" ht="60">
      <c r="A124" s="30" t="s">
        <v>209</v>
      </c>
      <c r="B124" s="25" t="s">
        <v>184</v>
      </c>
      <c r="C124" s="25" t="s">
        <v>32</v>
      </c>
      <c r="D124" s="25" t="s">
        <v>22</v>
      </c>
      <c r="E124" s="25" t="s">
        <v>210</v>
      </c>
      <c r="F124" s="25" t="s">
        <v>140</v>
      </c>
      <c r="G124" s="135"/>
      <c r="H124" s="524"/>
      <c r="I124" s="135"/>
      <c r="J124" s="26">
        <v>1636.3</v>
      </c>
      <c r="K124" s="26"/>
      <c r="L124" s="26">
        <f t="shared" si="29"/>
        <v>1636.3</v>
      </c>
      <c r="M124" s="40"/>
      <c r="N124" s="29"/>
      <c r="O124" s="15">
        <f t="shared" si="17"/>
        <v>0</v>
      </c>
      <c r="P124" s="15">
        <f>K124</f>
        <v>0</v>
      </c>
      <c r="S124" s="15">
        <f>K122+K120</f>
        <v>0</v>
      </c>
    </row>
    <row r="125" spans="1:15" ht="30">
      <c r="A125" s="30" t="s">
        <v>211</v>
      </c>
      <c r="B125" s="25" t="s">
        <v>184</v>
      </c>
      <c r="C125" s="25" t="s">
        <v>32</v>
      </c>
      <c r="D125" s="25" t="s">
        <v>22</v>
      </c>
      <c r="E125" s="25" t="s">
        <v>212</v>
      </c>
      <c r="F125" s="25"/>
      <c r="G125" s="135">
        <f aca="true" t="shared" si="30" ref="G125:N125">G126</f>
        <v>165.6</v>
      </c>
      <c r="H125" s="135">
        <f t="shared" si="30"/>
        <v>10207.24</v>
      </c>
      <c r="I125" s="135">
        <f t="shared" si="30"/>
        <v>0</v>
      </c>
      <c r="J125" s="26">
        <f t="shared" si="30"/>
        <v>9728.993</v>
      </c>
      <c r="K125" s="26">
        <f>K126</f>
        <v>0</v>
      </c>
      <c r="L125" s="26">
        <f t="shared" si="30"/>
        <v>9728.993</v>
      </c>
      <c r="M125" s="40">
        <f t="shared" si="30"/>
        <v>15</v>
      </c>
      <c r="N125" s="41">
        <f t="shared" si="30"/>
        <v>9471.266</v>
      </c>
      <c r="O125" s="15">
        <f t="shared" si="17"/>
        <v>0</v>
      </c>
    </row>
    <row r="126" spans="1:15" ht="30">
      <c r="A126" s="30" t="s">
        <v>143</v>
      </c>
      <c r="B126" s="25" t="s">
        <v>184</v>
      </c>
      <c r="C126" s="25" t="s">
        <v>32</v>
      </c>
      <c r="D126" s="25" t="s">
        <v>22</v>
      </c>
      <c r="E126" s="25" t="s">
        <v>213</v>
      </c>
      <c r="F126" s="25"/>
      <c r="G126" s="135">
        <f aca="true" t="shared" si="31" ref="G126:M126">G127+G129</f>
        <v>165.6</v>
      </c>
      <c r="H126" s="135">
        <f t="shared" si="31"/>
        <v>10207.24</v>
      </c>
      <c r="I126" s="135">
        <f t="shared" si="31"/>
        <v>0</v>
      </c>
      <c r="J126" s="26">
        <f>J127+J129+J128</f>
        <v>9728.993</v>
      </c>
      <c r="K126" s="26">
        <f>K127+K129+K128</f>
        <v>0</v>
      </c>
      <c r="L126" s="26">
        <f>L127+L129+L128</f>
        <v>9728.993</v>
      </c>
      <c r="M126" s="40">
        <f t="shared" si="31"/>
        <v>15</v>
      </c>
      <c r="N126" s="52">
        <f>N127+N129</f>
        <v>9471.266</v>
      </c>
      <c r="O126" s="15">
        <f t="shared" si="17"/>
        <v>0</v>
      </c>
    </row>
    <row r="127" spans="1:16" ht="27.75" customHeight="1">
      <c r="A127" s="30" t="s">
        <v>150</v>
      </c>
      <c r="B127" s="25" t="s">
        <v>184</v>
      </c>
      <c r="C127" s="25" t="s">
        <v>32</v>
      </c>
      <c r="D127" s="25" t="s">
        <v>22</v>
      </c>
      <c r="E127" s="25" t="s">
        <v>213</v>
      </c>
      <c r="F127" s="25" t="s">
        <v>140</v>
      </c>
      <c r="G127" s="135">
        <v>165.6</v>
      </c>
      <c r="H127" s="524">
        <v>10077.24</v>
      </c>
      <c r="I127" s="135"/>
      <c r="J127" s="26">
        <v>9228.993</v>
      </c>
      <c r="K127" s="624"/>
      <c r="L127" s="26">
        <f>J127+K127</f>
        <v>9228.993</v>
      </c>
      <c r="M127" s="40">
        <f>15</f>
        <v>15</v>
      </c>
      <c r="N127" s="52">
        <f>L127+M127</f>
        <v>9243.993</v>
      </c>
      <c r="O127" s="15">
        <f t="shared" si="17"/>
        <v>0</v>
      </c>
      <c r="P127" s="14">
        <f>L127-O127</f>
        <v>9228.993</v>
      </c>
    </row>
    <row r="128" spans="1:16" ht="27.75" customHeight="1">
      <c r="A128" s="30" t="s">
        <v>151</v>
      </c>
      <c r="B128" s="25" t="s">
        <v>184</v>
      </c>
      <c r="C128" s="25" t="s">
        <v>32</v>
      </c>
      <c r="D128" s="25" t="s">
        <v>22</v>
      </c>
      <c r="E128" s="25" t="s">
        <v>214</v>
      </c>
      <c r="F128" s="25" t="s">
        <v>140</v>
      </c>
      <c r="G128" s="135"/>
      <c r="H128" s="524"/>
      <c r="I128" s="135"/>
      <c r="J128" s="26">
        <v>272.727</v>
      </c>
      <c r="K128" s="624"/>
      <c r="L128" s="26">
        <f>J128+K128</f>
        <v>272.727</v>
      </c>
      <c r="M128" s="40"/>
      <c r="N128" s="52"/>
      <c r="O128" s="15">
        <f t="shared" si="17"/>
        <v>0</v>
      </c>
      <c r="P128" s="14"/>
    </row>
    <row r="129" spans="1:15" ht="45">
      <c r="A129" s="30" t="s">
        <v>153</v>
      </c>
      <c r="B129" s="25" t="s">
        <v>184</v>
      </c>
      <c r="C129" s="25" t="s">
        <v>32</v>
      </c>
      <c r="D129" s="25" t="s">
        <v>22</v>
      </c>
      <c r="E129" s="25" t="s">
        <v>215</v>
      </c>
      <c r="F129" s="25" t="s">
        <v>140</v>
      </c>
      <c r="G129" s="135"/>
      <c r="H129" s="524">
        <v>130</v>
      </c>
      <c r="I129" s="135"/>
      <c r="J129" s="26">
        <v>227.273</v>
      </c>
      <c r="K129" s="26"/>
      <c r="L129" s="26">
        <f>J129+K129</f>
        <v>227.273</v>
      </c>
      <c r="M129" s="40"/>
      <c r="N129" s="29">
        <f>L129+M129</f>
        <v>227.273</v>
      </c>
      <c r="O129" s="15">
        <f t="shared" si="17"/>
        <v>0</v>
      </c>
    </row>
    <row r="130" spans="1:15" ht="45">
      <c r="A130" s="30" t="s">
        <v>1020</v>
      </c>
      <c r="B130" s="25" t="s">
        <v>184</v>
      </c>
      <c r="C130" s="25" t="s">
        <v>32</v>
      </c>
      <c r="D130" s="25" t="s">
        <v>22</v>
      </c>
      <c r="E130" s="25" t="s">
        <v>1006</v>
      </c>
      <c r="F130" s="25"/>
      <c r="G130" s="135"/>
      <c r="H130" s="524"/>
      <c r="I130" s="135"/>
      <c r="J130" s="26">
        <f>SUM(J131:J133)</f>
        <v>6704</v>
      </c>
      <c r="K130" s="26">
        <f>SUM(K131:K133)</f>
        <v>1500</v>
      </c>
      <c r="L130" s="26">
        <f>SUM(L131:L133)</f>
        <v>8204</v>
      </c>
      <c r="M130" s="448">
        <f>SUM(M131:M132)</f>
        <v>0</v>
      </c>
      <c r="N130" s="362">
        <f>SUM(N131:N132)</f>
        <v>0</v>
      </c>
      <c r="O130" s="15">
        <f t="shared" si="17"/>
        <v>0</v>
      </c>
    </row>
    <row r="131" spans="1:15" ht="30">
      <c r="A131" s="30" t="s">
        <v>195</v>
      </c>
      <c r="B131" s="25" t="s">
        <v>184</v>
      </c>
      <c r="C131" s="25" t="s">
        <v>32</v>
      </c>
      <c r="D131" s="25" t="s">
        <v>22</v>
      </c>
      <c r="E131" s="25" t="s">
        <v>1006</v>
      </c>
      <c r="F131" s="25" t="s">
        <v>140</v>
      </c>
      <c r="G131" s="135"/>
      <c r="H131" s="524"/>
      <c r="I131" s="135"/>
      <c r="J131" s="26">
        <v>6554</v>
      </c>
      <c r="K131" s="26"/>
      <c r="L131" s="26">
        <f>J131+K131</f>
        <v>6554</v>
      </c>
      <c r="M131" s="40"/>
      <c r="N131" s="29"/>
      <c r="O131" s="15">
        <f t="shared" si="17"/>
        <v>0</v>
      </c>
    </row>
    <row r="132" spans="1:15" ht="30">
      <c r="A132" s="30" t="s">
        <v>150</v>
      </c>
      <c r="B132" s="25" t="s">
        <v>184</v>
      </c>
      <c r="C132" s="25" t="s">
        <v>32</v>
      </c>
      <c r="D132" s="25" t="s">
        <v>22</v>
      </c>
      <c r="E132" s="25" t="s">
        <v>1007</v>
      </c>
      <c r="F132" s="25" t="s">
        <v>140</v>
      </c>
      <c r="G132" s="135"/>
      <c r="H132" s="524"/>
      <c r="I132" s="135"/>
      <c r="J132" s="26">
        <v>150</v>
      </c>
      <c r="K132" s="26">
        <v>1500</v>
      </c>
      <c r="L132" s="26">
        <f>J132+K132</f>
        <v>1650</v>
      </c>
      <c r="M132" s="40"/>
      <c r="N132" s="29"/>
      <c r="O132" s="15">
        <f t="shared" si="17"/>
        <v>0</v>
      </c>
    </row>
    <row r="133" spans="1:15" ht="30" hidden="1">
      <c r="A133" s="30" t="s">
        <v>150</v>
      </c>
      <c r="B133" s="25" t="s">
        <v>184</v>
      </c>
      <c r="C133" s="25" t="s">
        <v>32</v>
      </c>
      <c r="D133" s="25" t="s">
        <v>22</v>
      </c>
      <c r="E133" s="25" t="s">
        <v>1088</v>
      </c>
      <c r="F133" s="25" t="s">
        <v>140</v>
      </c>
      <c r="G133" s="135"/>
      <c r="H133" s="524"/>
      <c r="I133" s="135"/>
      <c r="J133" s="26"/>
      <c r="K133" s="26"/>
      <c r="L133" s="26">
        <f>J133+K133</f>
        <v>0</v>
      </c>
      <c r="M133" s="40"/>
      <c r="N133" s="29"/>
      <c r="O133" s="15">
        <f t="shared" si="17"/>
        <v>0</v>
      </c>
    </row>
    <row r="134" spans="1:15" ht="30">
      <c r="A134" s="30" t="s">
        <v>1064</v>
      </c>
      <c r="B134" s="25" t="s">
        <v>184</v>
      </c>
      <c r="C134" s="25" t="s">
        <v>32</v>
      </c>
      <c r="D134" s="25" t="s">
        <v>22</v>
      </c>
      <c r="E134" s="25" t="s">
        <v>1062</v>
      </c>
      <c r="F134" s="25"/>
      <c r="G134" s="135"/>
      <c r="H134" s="524"/>
      <c r="I134" s="135"/>
      <c r="J134" s="26">
        <f>J135+J136</f>
        <v>4598.169</v>
      </c>
      <c r="K134" s="26">
        <f>K135+K136</f>
        <v>0</v>
      </c>
      <c r="L134" s="26">
        <f>L135+L136</f>
        <v>4598.169</v>
      </c>
      <c r="M134" s="40"/>
      <c r="N134" s="29"/>
      <c r="O134" s="15">
        <f t="shared" si="17"/>
        <v>0</v>
      </c>
    </row>
    <row r="135" spans="1:15" ht="30">
      <c r="A135" s="30" t="s">
        <v>1065</v>
      </c>
      <c r="B135" s="25" t="s">
        <v>184</v>
      </c>
      <c r="C135" s="25" t="s">
        <v>32</v>
      </c>
      <c r="D135" s="25" t="s">
        <v>22</v>
      </c>
      <c r="E135" s="25" t="s">
        <v>1062</v>
      </c>
      <c r="F135" s="25" t="s">
        <v>140</v>
      </c>
      <c r="G135" s="135"/>
      <c r="H135" s="524"/>
      <c r="I135" s="135"/>
      <c r="J135" s="26">
        <v>4367.369</v>
      </c>
      <c r="K135" s="26"/>
      <c r="L135" s="26">
        <f>J135+K135</f>
        <v>4367.369</v>
      </c>
      <c r="M135" s="40"/>
      <c r="N135" s="29"/>
      <c r="O135" s="15">
        <f t="shared" si="17"/>
        <v>0</v>
      </c>
    </row>
    <row r="136" spans="1:15" ht="30">
      <c r="A136" s="30" t="s">
        <v>1066</v>
      </c>
      <c r="B136" s="25" t="s">
        <v>184</v>
      </c>
      <c r="C136" s="25" t="s">
        <v>32</v>
      </c>
      <c r="D136" s="25" t="s">
        <v>22</v>
      </c>
      <c r="E136" s="25" t="s">
        <v>1063</v>
      </c>
      <c r="F136" s="25" t="s">
        <v>140</v>
      </c>
      <c r="G136" s="135"/>
      <c r="H136" s="524"/>
      <c r="I136" s="135"/>
      <c r="J136" s="26">
        <v>230.8</v>
      </c>
      <c r="K136" s="26"/>
      <c r="L136" s="26">
        <f>J136+K136</f>
        <v>230.8</v>
      </c>
      <c r="M136" s="40"/>
      <c r="N136" s="29"/>
      <c r="O136" s="15">
        <f t="shared" si="17"/>
        <v>0</v>
      </c>
    </row>
    <row r="137" spans="1:15" ht="30">
      <c r="A137" s="30" t="s">
        <v>168</v>
      </c>
      <c r="B137" s="25" t="s">
        <v>184</v>
      </c>
      <c r="C137" s="25" t="s">
        <v>32</v>
      </c>
      <c r="D137" s="25" t="s">
        <v>22</v>
      </c>
      <c r="E137" s="25" t="s">
        <v>169</v>
      </c>
      <c r="F137" s="25"/>
      <c r="G137" s="135">
        <f aca="true" t="shared" si="32" ref="G137:N138">G138</f>
        <v>0</v>
      </c>
      <c r="H137" s="135">
        <f t="shared" si="32"/>
        <v>2756.5</v>
      </c>
      <c r="I137" s="135">
        <f t="shared" si="32"/>
        <v>0</v>
      </c>
      <c r="J137" s="26">
        <f>J138+J140+J142</f>
        <v>2585</v>
      </c>
      <c r="K137" s="26">
        <f>K138+K140+K142</f>
        <v>2887.654</v>
      </c>
      <c r="L137" s="26">
        <f>L138+L140+L142</f>
        <v>5472.654</v>
      </c>
      <c r="M137" s="28">
        <f>M138+M140</f>
        <v>0</v>
      </c>
      <c r="N137" s="29">
        <f>N138+N140</f>
        <v>3852.654</v>
      </c>
      <c r="O137" s="15">
        <f t="shared" si="17"/>
        <v>0</v>
      </c>
    </row>
    <row r="138" spans="1:15" ht="75">
      <c r="A138" s="30" t="s">
        <v>216</v>
      </c>
      <c r="B138" s="25" t="s">
        <v>184</v>
      </c>
      <c r="C138" s="25" t="s">
        <v>32</v>
      </c>
      <c r="D138" s="25" t="s">
        <v>22</v>
      </c>
      <c r="E138" s="25" t="s">
        <v>217</v>
      </c>
      <c r="F138" s="25"/>
      <c r="G138" s="135">
        <f t="shared" si="32"/>
        <v>0</v>
      </c>
      <c r="H138" s="524">
        <f t="shared" si="32"/>
        <v>2756.5</v>
      </c>
      <c r="I138" s="135">
        <f t="shared" si="32"/>
        <v>0</v>
      </c>
      <c r="J138" s="26">
        <f t="shared" si="32"/>
        <v>2585</v>
      </c>
      <c r="K138" s="26">
        <f>K139</f>
        <v>73</v>
      </c>
      <c r="L138" s="26">
        <f t="shared" si="32"/>
        <v>2658</v>
      </c>
      <c r="M138" s="40">
        <f t="shared" si="32"/>
        <v>0</v>
      </c>
      <c r="N138" s="29">
        <f t="shared" si="32"/>
        <v>2658</v>
      </c>
      <c r="O138" s="15">
        <f t="shared" si="17"/>
        <v>0</v>
      </c>
    </row>
    <row r="139" spans="1:15" ht="30">
      <c r="A139" s="30" t="s">
        <v>150</v>
      </c>
      <c r="B139" s="25" t="s">
        <v>184</v>
      </c>
      <c r="C139" s="25" t="s">
        <v>32</v>
      </c>
      <c r="D139" s="25" t="s">
        <v>22</v>
      </c>
      <c r="E139" s="25" t="s">
        <v>217</v>
      </c>
      <c r="F139" s="25" t="s">
        <v>140</v>
      </c>
      <c r="G139" s="135"/>
      <c r="H139" s="524">
        <v>2756.5</v>
      </c>
      <c r="I139" s="135"/>
      <c r="J139" s="26">
        <v>2585</v>
      </c>
      <c r="K139" s="26">
        <v>73</v>
      </c>
      <c r="L139" s="26">
        <f>J139+K139</f>
        <v>2658</v>
      </c>
      <c r="M139" s="40"/>
      <c r="N139" s="29">
        <f>L139+M139</f>
        <v>2658</v>
      </c>
      <c r="O139" s="15">
        <f t="shared" si="17"/>
        <v>0</v>
      </c>
    </row>
    <row r="140" spans="1:15" ht="30">
      <c r="A140" s="582" t="s">
        <v>1093</v>
      </c>
      <c r="B140" s="530" t="s">
        <v>184</v>
      </c>
      <c r="C140" s="531" t="s">
        <v>32</v>
      </c>
      <c r="D140" s="531" t="s">
        <v>22</v>
      </c>
      <c r="E140" s="532">
        <v>5202400</v>
      </c>
      <c r="F140" s="531"/>
      <c r="G140" s="135"/>
      <c r="H140" s="524"/>
      <c r="I140" s="135"/>
      <c r="J140" s="26">
        <f>J141</f>
        <v>0</v>
      </c>
      <c r="K140" s="26">
        <f>K141</f>
        <v>1194.654</v>
      </c>
      <c r="L140" s="26">
        <f>L141</f>
        <v>1194.654</v>
      </c>
      <c r="M140" s="40">
        <f>M141</f>
        <v>0</v>
      </c>
      <c r="N140" s="29">
        <f>N141</f>
        <v>1194.654</v>
      </c>
      <c r="O140" s="15">
        <f t="shared" si="17"/>
        <v>0</v>
      </c>
    </row>
    <row r="141" spans="1:15" ht="30">
      <c r="A141" s="164" t="s">
        <v>150</v>
      </c>
      <c r="B141" s="530" t="s">
        <v>184</v>
      </c>
      <c r="C141" s="531" t="s">
        <v>32</v>
      </c>
      <c r="D141" s="531" t="s">
        <v>22</v>
      </c>
      <c r="E141" s="532">
        <v>5202400</v>
      </c>
      <c r="F141" s="531" t="s">
        <v>140</v>
      </c>
      <c r="G141" s="135"/>
      <c r="H141" s="524"/>
      <c r="I141" s="135"/>
      <c r="J141" s="26"/>
      <c r="K141" s="26">
        <v>1194.654</v>
      </c>
      <c r="L141" s="26">
        <f>J141+K141</f>
        <v>1194.654</v>
      </c>
      <c r="M141" s="40"/>
      <c r="N141" s="29">
        <f>L141+M141</f>
        <v>1194.654</v>
      </c>
      <c r="O141" s="15">
        <f aca="true" t="shared" si="33" ref="O141:O204">J141+K141-L141</f>
        <v>0</v>
      </c>
    </row>
    <row r="142" spans="1:15" ht="75.75" customHeight="1">
      <c r="A142" s="582" t="s">
        <v>1094</v>
      </c>
      <c r="B142" s="25" t="s">
        <v>184</v>
      </c>
      <c r="C142" s="25" t="s">
        <v>32</v>
      </c>
      <c r="D142" s="25" t="s">
        <v>22</v>
      </c>
      <c r="E142" s="25" t="s">
        <v>1095</v>
      </c>
      <c r="F142" s="25"/>
      <c r="G142" s="135">
        <f aca="true" t="shared" si="34" ref="G142:N142">G143</f>
        <v>-100</v>
      </c>
      <c r="H142" s="135">
        <f t="shared" si="34"/>
        <v>104.8</v>
      </c>
      <c r="I142" s="135">
        <f t="shared" si="34"/>
        <v>0</v>
      </c>
      <c r="J142" s="26">
        <f t="shared" si="34"/>
        <v>0</v>
      </c>
      <c r="K142" s="26">
        <f t="shared" si="34"/>
        <v>1620</v>
      </c>
      <c r="L142" s="26">
        <f t="shared" si="34"/>
        <v>1620</v>
      </c>
      <c r="M142" s="40">
        <f t="shared" si="34"/>
        <v>0</v>
      </c>
      <c r="N142" s="41">
        <f t="shared" si="34"/>
        <v>1620</v>
      </c>
      <c r="O142" s="15">
        <f t="shared" si="33"/>
        <v>0</v>
      </c>
    </row>
    <row r="143" spans="1:15" ht="27" customHeight="1">
      <c r="A143" s="164" t="s">
        <v>150</v>
      </c>
      <c r="B143" s="25" t="s">
        <v>184</v>
      </c>
      <c r="C143" s="25" t="s">
        <v>32</v>
      </c>
      <c r="D143" s="25" t="s">
        <v>22</v>
      </c>
      <c r="E143" s="25" t="s">
        <v>1095</v>
      </c>
      <c r="F143" s="25" t="s">
        <v>140</v>
      </c>
      <c r="G143" s="135">
        <v>-100</v>
      </c>
      <c r="H143" s="524">
        <v>104.8</v>
      </c>
      <c r="I143" s="135"/>
      <c r="J143" s="26"/>
      <c r="K143" s="26">
        <v>1620</v>
      </c>
      <c r="L143" s="26">
        <f>J143+K143</f>
        <v>1620</v>
      </c>
      <c r="M143" s="40"/>
      <c r="N143" s="29">
        <f>L143+M143</f>
        <v>1620</v>
      </c>
      <c r="O143" s="15">
        <f t="shared" si="33"/>
        <v>0</v>
      </c>
    </row>
    <row r="144" spans="1:15" ht="45" customHeight="1">
      <c r="A144" s="30" t="s">
        <v>221</v>
      </c>
      <c r="B144" s="25" t="s">
        <v>184</v>
      </c>
      <c r="C144" s="25" t="s">
        <v>32</v>
      </c>
      <c r="D144" s="25" t="s">
        <v>22</v>
      </c>
      <c r="E144" s="25" t="s">
        <v>222</v>
      </c>
      <c r="F144" s="25"/>
      <c r="G144" s="135">
        <f aca="true" t="shared" si="35" ref="G144:N144">G145</f>
        <v>-100</v>
      </c>
      <c r="H144" s="135">
        <f t="shared" si="35"/>
        <v>104.8</v>
      </c>
      <c r="I144" s="135">
        <f t="shared" si="35"/>
        <v>0</v>
      </c>
      <c r="J144" s="26">
        <f t="shared" si="35"/>
        <v>454</v>
      </c>
      <c r="K144" s="26">
        <f t="shared" si="35"/>
        <v>-180</v>
      </c>
      <c r="L144" s="26">
        <f t="shared" si="35"/>
        <v>274</v>
      </c>
      <c r="M144" s="40">
        <f t="shared" si="35"/>
        <v>0</v>
      </c>
      <c r="N144" s="41">
        <f t="shared" si="35"/>
        <v>274</v>
      </c>
      <c r="O144" s="15">
        <f t="shared" si="33"/>
        <v>0</v>
      </c>
    </row>
    <row r="145" spans="1:15" ht="29.25" customHeight="1">
      <c r="A145" s="30" t="s">
        <v>133</v>
      </c>
      <c r="B145" s="25" t="s">
        <v>184</v>
      </c>
      <c r="C145" s="25" t="s">
        <v>32</v>
      </c>
      <c r="D145" s="25" t="s">
        <v>22</v>
      </c>
      <c r="E145" s="25" t="s">
        <v>222</v>
      </c>
      <c r="F145" s="25" t="s">
        <v>131</v>
      </c>
      <c r="G145" s="135">
        <v>-100</v>
      </c>
      <c r="H145" s="524">
        <v>104.8</v>
      </c>
      <c r="I145" s="135"/>
      <c r="J145" s="26">
        <v>454</v>
      </c>
      <c r="K145" s="26">
        <v>-180</v>
      </c>
      <c r="L145" s="26">
        <f>J145+K145</f>
        <v>274</v>
      </c>
      <c r="M145" s="40"/>
      <c r="N145" s="52">
        <f>L145+M145</f>
        <v>274</v>
      </c>
      <c r="O145" s="15">
        <f t="shared" si="33"/>
        <v>0</v>
      </c>
    </row>
    <row r="146" spans="1:15" ht="29.25">
      <c r="A146" s="23" t="s">
        <v>223</v>
      </c>
      <c r="B146" s="24" t="s">
        <v>184</v>
      </c>
      <c r="C146" s="24" t="s">
        <v>32</v>
      </c>
      <c r="D146" s="24" t="s">
        <v>28</v>
      </c>
      <c r="E146" s="24"/>
      <c r="F146" s="24"/>
      <c r="G146" s="503" t="e">
        <f aca="true" t="shared" si="36" ref="G146:M146">G147+G150</f>
        <v>#REF!</v>
      </c>
      <c r="H146" s="503">
        <f t="shared" si="36"/>
        <v>234.8</v>
      </c>
      <c r="I146" s="503">
        <f t="shared" si="36"/>
        <v>0</v>
      </c>
      <c r="J146" s="504">
        <f>J147+J150+J152</f>
        <v>329.21</v>
      </c>
      <c r="K146" s="504">
        <f>K147+K150+K152</f>
        <v>0</v>
      </c>
      <c r="L146" s="504">
        <f>L147+L150+L152</f>
        <v>329.21</v>
      </c>
      <c r="M146" s="505">
        <f t="shared" si="36"/>
        <v>44.61</v>
      </c>
      <c r="N146" s="86">
        <f>N147+N150</f>
        <v>131.489</v>
      </c>
      <c r="O146" s="15">
        <f t="shared" si="33"/>
        <v>0</v>
      </c>
    </row>
    <row r="147" spans="1:15" ht="30">
      <c r="A147" s="30" t="s">
        <v>126</v>
      </c>
      <c r="B147" s="25" t="s">
        <v>184</v>
      </c>
      <c r="C147" s="25" t="s">
        <v>32</v>
      </c>
      <c r="D147" s="25" t="s">
        <v>28</v>
      </c>
      <c r="E147" s="25" t="s">
        <v>127</v>
      </c>
      <c r="F147" s="25"/>
      <c r="G147" s="135">
        <f aca="true" t="shared" si="37" ref="G147:N148">G148</f>
        <v>-224</v>
      </c>
      <c r="H147" s="135">
        <f t="shared" si="37"/>
        <v>234.8</v>
      </c>
      <c r="I147" s="135">
        <f t="shared" si="37"/>
        <v>0</v>
      </c>
      <c r="J147" s="26">
        <f t="shared" si="37"/>
        <v>86.879</v>
      </c>
      <c r="K147" s="26">
        <f t="shared" si="37"/>
        <v>0</v>
      </c>
      <c r="L147" s="26">
        <f t="shared" si="37"/>
        <v>86.879</v>
      </c>
      <c r="M147" s="40">
        <f t="shared" si="37"/>
        <v>0</v>
      </c>
      <c r="N147" s="41">
        <f t="shared" si="37"/>
        <v>86.879</v>
      </c>
      <c r="O147" s="15">
        <f t="shared" si="33"/>
        <v>0</v>
      </c>
    </row>
    <row r="148" spans="1:15" ht="30">
      <c r="A148" s="30" t="s">
        <v>128</v>
      </c>
      <c r="B148" s="25" t="s">
        <v>184</v>
      </c>
      <c r="C148" s="25" t="s">
        <v>32</v>
      </c>
      <c r="D148" s="25" t="s">
        <v>28</v>
      </c>
      <c r="E148" s="25" t="s">
        <v>129</v>
      </c>
      <c r="F148" s="25"/>
      <c r="G148" s="135">
        <f t="shared" si="37"/>
        <v>-224</v>
      </c>
      <c r="H148" s="135">
        <f t="shared" si="37"/>
        <v>234.8</v>
      </c>
      <c r="I148" s="135">
        <f t="shared" si="37"/>
        <v>0</v>
      </c>
      <c r="J148" s="26">
        <f t="shared" si="37"/>
        <v>86.879</v>
      </c>
      <c r="K148" s="26">
        <f t="shared" si="37"/>
        <v>0</v>
      </c>
      <c r="L148" s="26">
        <f t="shared" si="37"/>
        <v>86.879</v>
      </c>
      <c r="M148" s="40">
        <f t="shared" si="37"/>
        <v>0</v>
      </c>
      <c r="N148" s="41">
        <f t="shared" si="37"/>
        <v>86.879</v>
      </c>
      <c r="O148" s="15">
        <f t="shared" si="33"/>
        <v>0</v>
      </c>
    </row>
    <row r="149" spans="1:15" ht="30">
      <c r="A149" s="30" t="s">
        <v>133</v>
      </c>
      <c r="B149" s="25" t="s">
        <v>184</v>
      </c>
      <c r="C149" s="25" t="s">
        <v>32</v>
      </c>
      <c r="D149" s="25" t="s">
        <v>28</v>
      </c>
      <c r="E149" s="25" t="s">
        <v>129</v>
      </c>
      <c r="F149" s="25" t="s">
        <v>131</v>
      </c>
      <c r="G149" s="135">
        <v>-224</v>
      </c>
      <c r="H149" s="524">
        <v>234.8</v>
      </c>
      <c r="I149" s="135"/>
      <c r="J149" s="26">
        <v>86.879</v>
      </c>
      <c r="K149" s="26"/>
      <c r="L149" s="26">
        <f>J149+K149</f>
        <v>86.879</v>
      </c>
      <c r="M149" s="40"/>
      <c r="N149" s="29">
        <f>L149+M149</f>
        <v>86.879</v>
      </c>
      <c r="O149" s="15">
        <f t="shared" si="33"/>
        <v>0</v>
      </c>
    </row>
    <row r="150" spans="1:15" ht="30" hidden="1">
      <c r="A150" s="30" t="s">
        <v>128</v>
      </c>
      <c r="B150" s="25" t="s">
        <v>184</v>
      </c>
      <c r="C150" s="25" t="s">
        <v>32</v>
      </c>
      <c r="D150" s="25" t="s">
        <v>28</v>
      </c>
      <c r="E150" s="25" t="s">
        <v>132</v>
      </c>
      <c r="F150" s="25"/>
      <c r="G150" s="135" t="e">
        <f aca="true" t="shared" si="38" ref="G150:N150">G151</f>
        <v>#REF!</v>
      </c>
      <c r="H150" s="135">
        <f t="shared" si="38"/>
        <v>0</v>
      </c>
      <c r="I150" s="135">
        <f t="shared" si="38"/>
        <v>0</v>
      </c>
      <c r="J150" s="26">
        <f t="shared" si="38"/>
        <v>0</v>
      </c>
      <c r="K150" s="26">
        <f t="shared" si="38"/>
        <v>0</v>
      </c>
      <c r="L150" s="26">
        <f t="shared" si="38"/>
        <v>0</v>
      </c>
      <c r="M150" s="40">
        <f t="shared" si="38"/>
        <v>44.61</v>
      </c>
      <c r="N150" s="41">
        <f t="shared" si="38"/>
        <v>44.61</v>
      </c>
      <c r="O150" s="15">
        <f t="shared" si="33"/>
        <v>0</v>
      </c>
    </row>
    <row r="151" spans="1:15" ht="30" hidden="1">
      <c r="A151" s="30" t="s">
        <v>133</v>
      </c>
      <c r="B151" s="25" t="s">
        <v>184</v>
      </c>
      <c r="C151" s="25" t="s">
        <v>32</v>
      </c>
      <c r="D151" s="25" t="s">
        <v>28</v>
      </c>
      <c r="E151" s="25" t="s">
        <v>132</v>
      </c>
      <c r="F151" s="25" t="s">
        <v>131</v>
      </c>
      <c r="G151" s="524" t="e">
        <f>H151-#REF!</f>
        <v>#REF!</v>
      </c>
      <c r="H151" s="524"/>
      <c r="I151" s="524"/>
      <c r="J151" s="26"/>
      <c r="K151" s="26"/>
      <c r="L151" s="26">
        <f>J151+K151</f>
        <v>0</v>
      </c>
      <c r="M151" s="28">
        <f>44.61</f>
        <v>44.61</v>
      </c>
      <c r="N151" s="29">
        <f>L151+M151</f>
        <v>44.61</v>
      </c>
      <c r="O151" s="15">
        <f t="shared" si="33"/>
        <v>0</v>
      </c>
    </row>
    <row r="152" spans="1:15" ht="30">
      <c r="A152" s="30" t="s">
        <v>1064</v>
      </c>
      <c r="B152" s="25" t="s">
        <v>184</v>
      </c>
      <c r="C152" s="25" t="s">
        <v>32</v>
      </c>
      <c r="D152" s="25" t="s">
        <v>28</v>
      </c>
      <c r="E152" s="25" t="s">
        <v>1062</v>
      </c>
      <c r="F152" s="25"/>
      <c r="G152" s="524"/>
      <c r="H152" s="524"/>
      <c r="I152" s="524"/>
      <c r="J152" s="26">
        <f>J153</f>
        <v>242.331</v>
      </c>
      <c r="K152" s="26">
        <f>K153</f>
        <v>0</v>
      </c>
      <c r="L152" s="26">
        <f>L153</f>
        <v>242.331</v>
      </c>
      <c r="M152" s="28"/>
      <c r="N152" s="29"/>
      <c r="O152" s="15">
        <f t="shared" si="33"/>
        <v>0</v>
      </c>
    </row>
    <row r="153" spans="1:15" ht="30">
      <c r="A153" s="30" t="s">
        <v>1065</v>
      </c>
      <c r="B153" s="25" t="s">
        <v>184</v>
      </c>
      <c r="C153" s="25" t="s">
        <v>32</v>
      </c>
      <c r="D153" s="25" t="s">
        <v>28</v>
      </c>
      <c r="E153" s="25" t="s">
        <v>1062</v>
      </c>
      <c r="F153" s="25" t="s">
        <v>140</v>
      </c>
      <c r="G153" s="524"/>
      <c r="H153" s="524"/>
      <c r="I153" s="524"/>
      <c r="J153" s="26">
        <v>242.331</v>
      </c>
      <c r="K153" s="26"/>
      <c r="L153" s="26">
        <f>J153+K153</f>
        <v>242.331</v>
      </c>
      <c r="M153" s="28"/>
      <c r="N153" s="29"/>
      <c r="O153" s="15">
        <f t="shared" si="33"/>
        <v>0</v>
      </c>
    </row>
    <row r="154" spans="1:15" ht="29.25">
      <c r="A154" s="23" t="s">
        <v>68</v>
      </c>
      <c r="B154" s="24" t="s">
        <v>184</v>
      </c>
      <c r="C154" s="24" t="s">
        <v>32</v>
      </c>
      <c r="D154" s="24" t="s">
        <v>32</v>
      </c>
      <c r="E154" s="24"/>
      <c r="F154" s="24"/>
      <c r="G154" s="503">
        <f aca="true" t="shared" si="39" ref="G154:N155">G155</f>
        <v>821</v>
      </c>
      <c r="H154" s="503">
        <f t="shared" si="39"/>
        <v>650</v>
      </c>
      <c r="I154" s="503">
        <f t="shared" si="39"/>
        <v>0</v>
      </c>
      <c r="J154" s="504">
        <f t="shared" si="39"/>
        <v>2485.7325</v>
      </c>
      <c r="K154" s="504">
        <f t="shared" si="39"/>
        <v>0</v>
      </c>
      <c r="L154" s="504">
        <f t="shared" si="39"/>
        <v>2485.7325</v>
      </c>
      <c r="M154" s="505">
        <f t="shared" si="39"/>
        <v>670</v>
      </c>
      <c r="N154" s="86">
        <f t="shared" si="39"/>
        <v>2765.5325000000003</v>
      </c>
      <c r="O154" s="15">
        <f t="shared" si="33"/>
        <v>0</v>
      </c>
    </row>
    <row r="155" spans="1:15" ht="45">
      <c r="A155" s="30" t="s">
        <v>224</v>
      </c>
      <c r="B155" s="25" t="s">
        <v>184</v>
      </c>
      <c r="C155" s="25" t="s">
        <v>32</v>
      </c>
      <c r="D155" s="25" t="s">
        <v>32</v>
      </c>
      <c r="E155" s="25" t="s">
        <v>225</v>
      </c>
      <c r="F155" s="25"/>
      <c r="G155" s="135">
        <f t="shared" si="39"/>
        <v>821</v>
      </c>
      <c r="H155" s="135">
        <f t="shared" si="39"/>
        <v>650</v>
      </c>
      <c r="I155" s="135">
        <f t="shared" si="39"/>
        <v>0</v>
      </c>
      <c r="J155" s="26">
        <f t="shared" si="39"/>
        <v>2485.7325</v>
      </c>
      <c r="K155" s="26">
        <f t="shared" si="39"/>
        <v>0</v>
      </c>
      <c r="L155" s="26">
        <f>L156</f>
        <v>2485.7325</v>
      </c>
      <c r="M155" s="40">
        <f t="shared" si="39"/>
        <v>670</v>
      </c>
      <c r="N155" s="41">
        <f t="shared" si="39"/>
        <v>2765.5325000000003</v>
      </c>
      <c r="O155" s="15">
        <f t="shared" si="33"/>
        <v>0</v>
      </c>
    </row>
    <row r="156" spans="1:15" ht="15">
      <c r="A156" s="30" t="s">
        <v>226</v>
      </c>
      <c r="B156" s="25" t="s">
        <v>184</v>
      </c>
      <c r="C156" s="25" t="s">
        <v>32</v>
      </c>
      <c r="D156" s="25" t="s">
        <v>32</v>
      </c>
      <c r="E156" s="25" t="s">
        <v>227</v>
      </c>
      <c r="F156" s="25"/>
      <c r="G156" s="135">
        <f aca="true" t="shared" si="40" ref="G156:M156">G157+G158</f>
        <v>821</v>
      </c>
      <c r="H156" s="135">
        <f t="shared" si="40"/>
        <v>650</v>
      </c>
      <c r="I156" s="135">
        <f t="shared" si="40"/>
        <v>0</v>
      </c>
      <c r="J156" s="26">
        <f>J157+J158+J159+J160</f>
        <v>2485.7325</v>
      </c>
      <c r="K156" s="26">
        <f>K157+K158+K159+K160</f>
        <v>0</v>
      </c>
      <c r="L156" s="26">
        <f>L157+L158+L159+L160</f>
        <v>2485.7325</v>
      </c>
      <c r="M156" s="40">
        <f t="shared" si="40"/>
        <v>670</v>
      </c>
      <c r="N156" s="41">
        <f>N157+N158</f>
        <v>2765.5325000000003</v>
      </c>
      <c r="O156" s="15">
        <f t="shared" si="33"/>
        <v>0</v>
      </c>
    </row>
    <row r="157" spans="1:16" ht="30">
      <c r="A157" s="30" t="s">
        <v>150</v>
      </c>
      <c r="B157" s="25" t="s">
        <v>184</v>
      </c>
      <c r="C157" s="25" t="s">
        <v>32</v>
      </c>
      <c r="D157" s="25" t="s">
        <v>32</v>
      </c>
      <c r="E157" s="25" t="s">
        <v>227</v>
      </c>
      <c r="F157" s="25" t="s">
        <v>140</v>
      </c>
      <c r="G157" s="135">
        <v>321</v>
      </c>
      <c r="H157" s="524">
        <v>650</v>
      </c>
      <c r="I157" s="135"/>
      <c r="J157" s="26">
        <v>396.5325</v>
      </c>
      <c r="K157" s="623"/>
      <c r="L157" s="26">
        <f>J157+K157</f>
        <v>396.5325</v>
      </c>
      <c r="M157" s="40"/>
      <c r="N157" s="29">
        <f>L157+M157</f>
        <v>396.5325</v>
      </c>
      <c r="O157" s="15">
        <f t="shared" si="33"/>
        <v>0</v>
      </c>
      <c r="P157" s="15">
        <f>L157-O157</f>
        <v>396.5325</v>
      </c>
    </row>
    <row r="158" spans="1:15" ht="15">
      <c r="A158" s="30" t="s">
        <v>226</v>
      </c>
      <c r="B158" s="25" t="s">
        <v>184</v>
      </c>
      <c r="C158" s="25" t="s">
        <v>32</v>
      </c>
      <c r="D158" s="25" t="s">
        <v>32</v>
      </c>
      <c r="E158" s="25" t="s">
        <v>229</v>
      </c>
      <c r="F158" s="25" t="s">
        <v>140</v>
      </c>
      <c r="G158" s="135">
        <v>500</v>
      </c>
      <c r="H158" s="524"/>
      <c r="I158" s="135"/>
      <c r="J158" s="26">
        <v>1699</v>
      </c>
      <c r="K158" s="26"/>
      <c r="L158" s="26">
        <f>J158+K158</f>
        <v>1699</v>
      </c>
      <c r="M158" s="40">
        <v>670</v>
      </c>
      <c r="N158" s="29">
        <f>L158+M158</f>
        <v>2369</v>
      </c>
      <c r="O158" s="15">
        <f t="shared" si="33"/>
        <v>0</v>
      </c>
    </row>
    <row r="159" spans="1:15" ht="30">
      <c r="A159" s="30" t="s">
        <v>150</v>
      </c>
      <c r="B159" s="25" t="s">
        <v>184</v>
      </c>
      <c r="C159" s="25" t="s">
        <v>32</v>
      </c>
      <c r="D159" s="25" t="s">
        <v>32</v>
      </c>
      <c r="E159" s="25" t="s">
        <v>900</v>
      </c>
      <c r="F159" s="25" t="s">
        <v>140</v>
      </c>
      <c r="G159" s="135"/>
      <c r="H159" s="524"/>
      <c r="I159" s="135"/>
      <c r="J159" s="26">
        <v>200</v>
      </c>
      <c r="K159" s="26"/>
      <c r="L159" s="26">
        <f>J159+K159</f>
        <v>200</v>
      </c>
      <c r="M159" s="255"/>
      <c r="N159" s="56"/>
      <c r="O159" s="15">
        <f t="shared" si="33"/>
        <v>0</v>
      </c>
    </row>
    <row r="160" spans="1:15" ht="60">
      <c r="A160" s="30" t="s">
        <v>228</v>
      </c>
      <c r="B160" s="25" t="s">
        <v>184</v>
      </c>
      <c r="C160" s="25" t="s">
        <v>32</v>
      </c>
      <c r="D160" s="25" t="s">
        <v>32</v>
      </c>
      <c r="E160" s="25" t="s">
        <v>899</v>
      </c>
      <c r="F160" s="25" t="s">
        <v>140</v>
      </c>
      <c r="G160" s="135"/>
      <c r="H160" s="524"/>
      <c r="I160" s="135"/>
      <c r="J160" s="26">
        <v>190.2</v>
      </c>
      <c r="K160" s="26"/>
      <c r="L160" s="26">
        <f>J160+K160</f>
        <v>190.2</v>
      </c>
      <c r="M160" s="255"/>
      <c r="N160" s="56"/>
      <c r="O160" s="15">
        <f t="shared" si="33"/>
        <v>0</v>
      </c>
    </row>
    <row r="161" spans="1:15" ht="26.25" customHeight="1">
      <c r="A161" s="23" t="s">
        <v>69</v>
      </c>
      <c r="B161" s="24" t="s">
        <v>184</v>
      </c>
      <c r="C161" s="24" t="s">
        <v>32</v>
      </c>
      <c r="D161" s="24" t="s">
        <v>47</v>
      </c>
      <c r="E161" s="24"/>
      <c r="F161" s="24"/>
      <c r="G161" s="503">
        <f>G162+G168+G171+G173</f>
        <v>878.1</v>
      </c>
      <c r="H161" s="503">
        <f>H162+H168+H171+H173</f>
        <v>6514.65</v>
      </c>
      <c r="I161" s="503">
        <f>I162+I168+I171+I173</f>
        <v>0</v>
      </c>
      <c r="J161" s="504">
        <f>J162+J168+J171+J173+J166</f>
        <v>7031.80198</v>
      </c>
      <c r="K161" s="504">
        <f>K162+K168+K171+K173+K166</f>
        <v>-10</v>
      </c>
      <c r="L161" s="504">
        <f>L162+L168+L171+L173+L166</f>
        <v>7021.80198</v>
      </c>
      <c r="M161" s="329">
        <f>M162+M168+M171+M173+M166</f>
        <v>-2135.304</v>
      </c>
      <c r="N161" s="51">
        <f>N162+N168+N171+N173+N166</f>
        <v>4164.243</v>
      </c>
      <c r="O161" s="15">
        <f t="shared" si="33"/>
        <v>0</v>
      </c>
    </row>
    <row r="162" spans="1:15" ht="75">
      <c r="A162" s="30" t="s">
        <v>188</v>
      </c>
      <c r="B162" s="25" t="s">
        <v>184</v>
      </c>
      <c r="C162" s="25" t="s">
        <v>32</v>
      </c>
      <c r="D162" s="25" t="s">
        <v>47</v>
      </c>
      <c r="E162" s="25" t="s">
        <v>189</v>
      </c>
      <c r="F162" s="25"/>
      <c r="G162" s="135">
        <f aca="true" t="shared" si="41" ref="G162:N162">G163</f>
        <v>598.1</v>
      </c>
      <c r="H162" s="135">
        <f t="shared" si="41"/>
        <v>1303.65</v>
      </c>
      <c r="I162" s="135">
        <f t="shared" si="41"/>
        <v>0</v>
      </c>
      <c r="J162" s="26">
        <f t="shared" si="41"/>
        <v>1108.947</v>
      </c>
      <c r="K162" s="26">
        <f t="shared" si="41"/>
        <v>0</v>
      </c>
      <c r="L162" s="26">
        <f t="shared" si="41"/>
        <v>1108.947</v>
      </c>
      <c r="M162" s="27">
        <f t="shared" si="41"/>
        <v>-119.89</v>
      </c>
      <c r="N162" s="41">
        <f t="shared" si="41"/>
        <v>989.0569999999999</v>
      </c>
      <c r="O162" s="15">
        <f t="shared" si="33"/>
        <v>0</v>
      </c>
    </row>
    <row r="163" spans="1:15" ht="15">
      <c r="A163" s="30" t="s">
        <v>190</v>
      </c>
      <c r="B163" s="25" t="s">
        <v>184</v>
      </c>
      <c r="C163" s="25" t="s">
        <v>32</v>
      </c>
      <c r="D163" s="25" t="s">
        <v>47</v>
      </c>
      <c r="E163" s="25" t="s">
        <v>191</v>
      </c>
      <c r="F163" s="25"/>
      <c r="G163" s="135">
        <f aca="true" t="shared" si="42" ref="G163:M163">G164+G165</f>
        <v>598.1</v>
      </c>
      <c r="H163" s="527">
        <f t="shared" si="42"/>
        <v>1303.65</v>
      </c>
      <c r="I163" s="527">
        <f t="shared" si="42"/>
        <v>0</v>
      </c>
      <c r="J163" s="26">
        <f t="shared" si="42"/>
        <v>1108.947</v>
      </c>
      <c r="K163" s="26">
        <f t="shared" si="42"/>
        <v>0</v>
      </c>
      <c r="L163" s="26">
        <f t="shared" si="42"/>
        <v>1108.947</v>
      </c>
      <c r="M163" s="27">
        <f t="shared" si="42"/>
        <v>-119.89</v>
      </c>
      <c r="N163" s="52">
        <f>N164+N165</f>
        <v>989.0569999999999</v>
      </c>
      <c r="O163" s="15">
        <f t="shared" si="33"/>
        <v>0</v>
      </c>
    </row>
    <row r="164" spans="1:15" ht="30" hidden="1">
      <c r="A164" s="30" t="s">
        <v>150</v>
      </c>
      <c r="B164" s="25" t="s">
        <v>184</v>
      </c>
      <c r="C164" s="25" t="s">
        <v>32</v>
      </c>
      <c r="D164" s="25" t="s">
        <v>47</v>
      </c>
      <c r="E164" s="25" t="s">
        <v>191</v>
      </c>
      <c r="F164" s="24" t="s">
        <v>230</v>
      </c>
      <c r="G164" s="135"/>
      <c r="H164" s="527">
        <v>1303.65</v>
      </c>
      <c r="I164" s="527"/>
      <c r="J164" s="26"/>
      <c r="K164" s="26"/>
      <c r="L164" s="26">
        <f>J164+K164</f>
        <v>0</v>
      </c>
      <c r="M164" s="27">
        <f>-119.89</f>
        <v>-119.89</v>
      </c>
      <c r="N164" s="52">
        <f>L164+M164</f>
        <v>-119.89</v>
      </c>
      <c r="O164" s="15">
        <f t="shared" si="33"/>
        <v>0</v>
      </c>
    </row>
    <row r="165" spans="1:16" ht="30">
      <c r="A165" s="30" t="s">
        <v>133</v>
      </c>
      <c r="B165" s="25" t="s">
        <v>184</v>
      </c>
      <c r="C165" s="25" t="s">
        <v>32</v>
      </c>
      <c r="D165" s="25" t="s">
        <v>47</v>
      </c>
      <c r="E165" s="25" t="s">
        <v>191</v>
      </c>
      <c r="F165" s="25" t="s">
        <v>131</v>
      </c>
      <c r="G165" s="135">
        <f>519.1+79</f>
        <v>598.1</v>
      </c>
      <c r="H165" s="524"/>
      <c r="I165" s="135"/>
      <c r="J165" s="26">
        <v>1108.947</v>
      </c>
      <c r="K165" s="26"/>
      <c r="L165" s="26">
        <f>J165+K165</f>
        <v>1108.947</v>
      </c>
      <c r="M165" s="40"/>
      <c r="N165" s="29">
        <f>L165+M165</f>
        <v>1108.947</v>
      </c>
      <c r="O165" s="15">
        <f t="shared" si="33"/>
        <v>0</v>
      </c>
      <c r="P165" s="42">
        <f>L165-O165</f>
        <v>1108.947</v>
      </c>
    </row>
    <row r="166" spans="1:15" ht="75">
      <c r="A166" s="84" t="s">
        <v>231</v>
      </c>
      <c r="B166" s="25" t="s">
        <v>184</v>
      </c>
      <c r="C166" s="25" t="s">
        <v>32</v>
      </c>
      <c r="D166" s="25" t="s">
        <v>47</v>
      </c>
      <c r="E166" s="25" t="s">
        <v>232</v>
      </c>
      <c r="F166" s="25"/>
      <c r="G166" s="135"/>
      <c r="H166" s="524"/>
      <c r="I166" s="135"/>
      <c r="J166" s="26">
        <f>J167</f>
        <v>722.25498</v>
      </c>
      <c r="K166" s="26">
        <f>K167</f>
        <v>0</v>
      </c>
      <c r="L166" s="26">
        <f>L167</f>
        <v>722.25498</v>
      </c>
      <c r="M166" s="40"/>
      <c r="N166" s="29"/>
      <c r="O166" s="15">
        <f t="shared" si="33"/>
        <v>0</v>
      </c>
    </row>
    <row r="167" spans="1:16" ht="30">
      <c r="A167" s="30" t="s">
        <v>133</v>
      </c>
      <c r="B167" s="25" t="s">
        <v>184</v>
      </c>
      <c r="C167" s="25" t="s">
        <v>32</v>
      </c>
      <c r="D167" s="25" t="s">
        <v>47</v>
      </c>
      <c r="E167" s="25" t="s">
        <v>232</v>
      </c>
      <c r="F167" s="25" t="s">
        <v>131</v>
      </c>
      <c r="G167" s="135"/>
      <c r="H167" s="524"/>
      <c r="I167" s="135"/>
      <c r="J167" s="26">
        <v>722.25498</v>
      </c>
      <c r="K167" s="623"/>
      <c r="L167" s="26">
        <f>J167+K167</f>
        <v>722.25498</v>
      </c>
      <c r="M167" s="40"/>
      <c r="N167" s="29"/>
      <c r="O167" s="15">
        <f t="shared" si="33"/>
        <v>0</v>
      </c>
      <c r="P167" s="15">
        <f>K167</f>
        <v>0</v>
      </c>
    </row>
    <row r="168" spans="1:15" ht="105">
      <c r="A168" s="30" t="s">
        <v>233</v>
      </c>
      <c r="B168" s="25" t="s">
        <v>184</v>
      </c>
      <c r="C168" s="25" t="s">
        <v>32</v>
      </c>
      <c r="D168" s="25" t="s">
        <v>47</v>
      </c>
      <c r="E168" s="25" t="s">
        <v>173</v>
      </c>
      <c r="F168" s="25"/>
      <c r="G168" s="135">
        <f aca="true" t="shared" si="43" ref="G168:N169">G169</f>
        <v>80</v>
      </c>
      <c r="H168" s="135">
        <f t="shared" si="43"/>
        <v>5211</v>
      </c>
      <c r="I168" s="135">
        <f t="shared" si="43"/>
        <v>0</v>
      </c>
      <c r="J168" s="26">
        <f t="shared" si="43"/>
        <v>5198.8</v>
      </c>
      <c r="K168" s="26">
        <f t="shared" si="43"/>
        <v>-10</v>
      </c>
      <c r="L168" s="26">
        <f t="shared" si="43"/>
        <v>5188.8</v>
      </c>
      <c r="M168" s="40">
        <f t="shared" si="43"/>
        <v>-2015.414</v>
      </c>
      <c r="N168" s="41">
        <f t="shared" si="43"/>
        <v>3173.3860000000004</v>
      </c>
      <c r="O168" s="15">
        <f t="shared" si="33"/>
        <v>0</v>
      </c>
    </row>
    <row r="169" spans="1:15" ht="30">
      <c r="A169" s="30" t="s">
        <v>143</v>
      </c>
      <c r="B169" s="25" t="s">
        <v>184</v>
      </c>
      <c r="C169" s="25" t="s">
        <v>32</v>
      </c>
      <c r="D169" s="25" t="s">
        <v>47</v>
      </c>
      <c r="E169" s="25" t="s">
        <v>174</v>
      </c>
      <c r="F169" s="25"/>
      <c r="G169" s="135">
        <f t="shared" si="43"/>
        <v>80</v>
      </c>
      <c r="H169" s="135">
        <f t="shared" si="43"/>
        <v>5211</v>
      </c>
      <c r="I169" s="135">
        <f t="shared" si="43"/>
        <v>0</v>
      </c>
      <c r="J169" s="26">
        <f t="shared" si="43"/>
        <v>5198.8</v>
      </c>
      <c r="K169" s="26">
        <f t="shared" si="43"/>
        <v>-10</v>
      </c>
      <c r="L169" s="26">
        <f t="shared" si="43"/>
        <v>5188.8</v>
      </c>
      <c r="M169" s="40">
        <f t="shared" si="43"/>
        <v>-2015.414</v>
      </c>
      <c r="N169" s="41">
        <f t="shared" si="43"/>
        <v>3173.3860000000004</v>
      </c>
      <c r="O169" s="15">
        <f t="shared" si="33"/>
        <v>0</v>
      </c>
    </row>
    <row r="170" spans="1:16" ht="30">
      <c r="A170" s="30" t="s">
        <v>195</v>
      </c>
      <c r="B170" s="25" t="s">
        <v>184</v>
      </c>
      <c r="C170" s="25" t="s">
        <v>32</v>
      </c>
      <c r="D170" s="25" t="s">
        <v>47</v>
      </c>
      <c r="E170" s="25" t="s">
        <v>174</v>
      </c>
      <c r="F170" s="25" t="s">
        <v>140</v>
      </c>
      <c r="G170" s="135">
        <f>50+30</f>
        <v>80</v>
      </c>
      <c r="H170" s="524">
        <v>5211</v>
      </c>
      <c r="I170" s="135"/>
      <c r="J170" s="26">
        <v>5198.8</v>
      </c>
      <c r="K170" s="26">
        <v>-10</v>
      </c>
      <c r="L170" s="26">
        <f>J170+K170</f>
        <v>5188.8</v>
      </c>
      <c r="M170" s="40">
        <v>-2015.414</v>
      </c>
      <c r="N170" s="29">
        <f>L170+M170</f>
        <v>3173.3860000000004</v>
      </c>
      <c r="O170" s="15">
        <f t="shared" si="33"/>
        <v>0</v>
      </c>
      <c r="P170" s="14">
        <f>L170-O170</f>
        <v>5188.8</v>
      </c>
    </row>
    <row r="171" spans="1:15" ht="43.5" customHeight="1" hidden="1">
      <c r="A171" s="80" t="s">
        <v>221</v>
      </c>
      <c r="B171" s="44" t="s">
        <v>184</v>
      </c>
      <c r="C171" s="44" t="s">
        <v>32</v>
      </c>
      <c r="D171" s="44" t="s">
        <v>47</v>
      </c>
      <c r="E171" s="44" t="s">
        <v>218</v>
      </c>
      <c r="F171" s="44"/>
      <c r="G171" s="525">
        <f aca="true" t="shared" si="44" ref="G171:N171">G172</f>
        <v>100</v>
      </c>
      <c r="H171" s="525">
        <f t="shared" si="44"/>
        <v>0</v>
      </c>
      <c r="I171" s="525">
        <f t="shared" si="44"/>
        <v>0</v>
      </c>
      <c r="J171" s="623">
        <f t="shared" si="44"/>
        <v>0</v>
      </c>
      <c r="K171" s="623">
        <f t="shared" si="44"/>
        <v>0</v>
      </c>
      <c r="L171" s="623">
        <f t="shared" si="44"/>
        <v>0</v>
      </c>
      <c r="M171" s="40">
        <f t="shared" si="44"/>
        <v>0</v>
      </c>
      <c r="N171" s="41">
        <f t="shared" si="44"/>
        <v>0</v>
      </c>
      <c r="O171" s="15">
        <f t="shared" si="33"/>
        <v>0</v>
      </c>
    </row>
    <row r="172" spans="1:15" ht="23.25" customHeight="1" hidden="1">
      <c r="A172" s="80" t="s">
        <v>219</v>
      </c>
      <c r="B172" s="44" t="s">
        <v>184</v>
      </c>
      <c r="C172" s="44" t="s">
        <v>32</v>
      </c>
      <c r="D172" s="44" t="s">
        <v>47</v>
      </c>
      <c r="E172" s="44" t="s">
        <v>218</v>
      </c>
      <c r="F172" s="44" t="s">
        <v>220</v>
      </c>
      <c r="G172" s="525">
        <v>100</v>
      </c>
      <c r="H172" s="526"/>
      <c r="I172" s="525"/>
      <c r="J172" s="623"/>
      <c r="K172" s="623"/>
      <c r="L172" s="623">
        <f>J172+K172</f>
        <v>0</v>
      </c>
      <c r="M172" s="40"/>
      <c r="N172" s="29">
        <f>L172+M172</f>
        <v>0</v>
      </c>
      <c r="O172" s="15">
        <f t="shared" si="33"/>
        <v>0</v>
      </c>
    </row>
    <row r="173" spans="1:15" ht="60">
      <c r="A173" s="30" t="s">
        <v>234</v>
      </c>
      <c r="B173" s="25" t="s">
        <v>184</v>
      </c>
      <c r="C173" s="25" t="s">
        <v>32</v>
      </c>
      <c r="D173" s="25" t="s">
        <v>47</v>
      </c>
      <c r="E173" s="25" t="s">
        <v>235</v>
      </c>
      <c r="F173" s="25"/>
      <c r="G173" s="135">
        <f aca="true" t="shared" si="45" ref="G173:N173">G174</f>
        <v>100</v>
      </c>
      <c r="H173" s="135">
        <f t="shared" si="45"/>
        <v>0</v>
      </c>
      <c r="I173" s="135">
        <f t="shared" si="45"/>
        <v>0</v>
      </c>
      <c r="J173" s="26">
        <f t="shared" si="45"/>
        <v>1.8</v>
      </c>
      <c r="K173" s="26">
        <f t="shared" si="45"/>
        <v>0</v>
      </c>
      <c r="L173" s="26">
        <f t="shared" si="45"/>
        <v>1.8</v>
      </c>
      <c r="M173" s="40">
        <f t="shared" si="45"/>
        <v>0</v>
      </c>
      <c r="N173" s="41">
        <f t="shared" si="45"/>
        <v>1.8</v>
      </c>
      <c r="O173" s="15">
        <f t="shared" si="33"/>
        <v>0</v>
      </c>
    </row>
    <row r="174" spans="1:15" ht="30">
      <c r="A174" s="30" t="s">
        <v>133</v>
      </c>
      <c r="B174" s="25" t="s">
        <v>184</v>
      </c>
      <c r="C174" s="25" t="s">
        <v>32</v>
      </c>
      <c r="D174" s="25" t="s">
        <v>47</v>
      </c>
      <c r="E174" s="25" t="s">
        <v>235</v>
      </c>
      <c r="F174" s="25" t="s">
        <v>131</v>
      </c>
      <c r="G174" s="135">
        <v>100</v>
      </c>
      <c r="H174" s="524"/>
      <c r="I174" s="135"/>
      <c r="J174" s="26">
        <v>1.8</v>
      </c>
      <c r="K174" s="26"/>
      <c r="L174" s="26">
        <f>J174+K174</f>
        <v>1.8</v>
      </c>
      <c r="M174" s="40"/>
      <c r="N174" s="29">
        <f>L174+M174</f>
        <v>1.8</v>
      </c>
      <c r="O174" s="15">
        <f t="shared" si="33"/>
        <v>0</v>
      </c>
    </row>
    <row r="175" spans="1:15" ht="15">
      <c r="A175" s="31" t="s">
        <v>86</v>
      </c>
      <c r="B175" s="32" t="s">
        <v>184</v>
      </c>
      <c r="C175" s="32" t="s">
        <v>85</v>
      </c>
      <c r="D175" s="32"/>
      <c r="E175" s="32"/>
      <c r="F175" s="32"/>
      <c r="G175" s="520">
        <f aca="true" t="shared" si="46" ref="G175:M175">G176+G180</f>
        <v>5942.872969999999</v>
      </c>
      <c r="H175" s="520">
        <f t="shared" si="46"/>
        <v>11149.7</v>
      </c>
      <c r="I175" s="520">
        <f t="shared" si="46"/>
        <v>0</v>
      </c>
      <c r="J175" s="622">
        <f t="shared" si="46"/>
        <v>22199.699999999997</v>
      </c>
      <c r="K175" s="622">
        <f>K176+K180</f>
        <v>-650</v>
      </c>
      <c r="L175" s="622">
        <f t="shared" si="46"/>
        <v>21549.699999999997</v>
      </c>
      <c r="M175" s="38">
        <f t="shared" si="46"/>
        <v>0</v>
      </c>
      <c r="N175" s="39">
        <f>N176+N180</f>
        <v>8971.3</v>
      </c>
      <c r="O175" s="15">
        <f t="shared" si="33"/>
        <v>0</v>
      </c>
    </row>
    <row r="176" spans="1:15" ht="29.25">
      <c r="A176" s="23" t="s">
        <v>236</v>
      </c>
      <c r="B176" s="24" t="s">
        <v>184</v>
      </c>
      <c r="C176" s="24" t="s">
        <v>85</v>
      </c>
      <c r="D176" s="24" t="s">
        <v>24</v>
      </c>
      <c r="E176" s="24"/>
      <c r="F176" s="24"/>
      <c r="G176" s="503">
        <f aca="true" t="shared" si="47" ref="G176:N176">G177</f>
        <v>681.3299999999999</v>
      </c>
      <c r="H176" s="503">
        <f t="shared" si="47"/>
        <v>2954.9</v>
      </c>
      <c r="I176" s="503">
        <f t="shared" si="47"/>
        <v>0</v>
      </c>
      <c r="J176" s="504">
        <f t="shared" si="47"/>
        <v>0</v>
      </c>
      <c r="K176" s="504">
        <f t="shared" si="47"/>
        <v>0</v>
      </c>
      <c r="L176" s="504">
        <f t="shared" si="47"/>
        <v>0</v>
      </c>
      <c r="M176" s="505">
        <f t="shared" si="47"/>
        <v>0</v>
      </c>
      <c r="N176" s="86">
        <f t="shared" si="47"/>
        <v>0</v>
      </c>
      <c r="O176" s="15">
        <f t="shared" si="33"/>
        <v>0</v>
      </c>
    </row>
    <row r="177" spans="1:15" ht="90">
      <c r="A177" s="30" t="s">
        <v>237</v>
      </c>
      <c r="B177" s="25" t="s">
        <v>184</v>
      </c>
      <c r="C177" s="25" t="s">
        <v>85</v>
      </c>
      <c r="D177" s="25" t="s">
        <v>24</v>
      </c>
      <c r="E177" s="25" t="s">
        <v>238</v>
      </c>
      <c r="F177" s="25"/>
      <c r="G177" s="135">
        <f aca="true" t="shared" si="48" ref="G177:M177">G178+G179</f>
        <v>681.3299999999999</v>
      </c>
      <c r="H177" s="135">
        <f t="shared" si="48"/>
        <v>2954.9</v>
      </c>
      <c r="I177" s="135">
        <f t="shared" si="48"/>
        <v>0</v>
      </c>
      <c r="J177" s="26">
        <f t="shared" si="48"/>
        <v>0</v>
      </c>
      <c r="K177" s="26">
        <f t="shared" si="48"/>
        <v>0</v>
      </c>
      <c r="L177" s="26">
        <f t="shared" si="48"/>
        <v>0</v>
      </c>
      <c r="M177" s="40">
        <f t="shared" si="48"/>
        <v>0</v>
      </c>
      <c r="N177" s="41">
        <f>N178+N179</f>
        <v>0</v>
      </c>
      <c r="O177" s="15">
        <f t="shared" si="33"/>
        <v>0</v>
      </c>
    </row>
    <row r="178" spans="1:15" ht="15">
      <c r="A178" s="30" t="s">
        <v>239</v>
      </c>
      <c r="B178" s="25" t="s">
        <v>184</v>
      </c>
      <c r="C178" s="25" t="s">
        <v>85</v>
      </c>
      <c r="D178" s="25" t="s">
        <v>24</v>
      </c>
      <c r="E178" s="25" t="s">
        <v>238</v>
      </c>
      <c r="F178" s="25" t="s">
        <v>240</v>
      </c>
      <c r="G178" s="135">
        <f>681.33-2819.6</f>
        <v>-2138.27</v>
      </c>
      <c r="H178" s="524">
        <v>2954.9</v>
      </c>
      <c r="I178" s="135"/>
      <c r="J178" s="26"/>
      <c r="K178" s="26"/>
      <c r="L178" s="26">
        <f>J178+K178</f>
        <v>0</v>
      </c>
      <c r="M178" s="40"/>
      <c r="N178" s="29">
        <f>L178+M178</f>
        <v>0</v>
      </c>
      <c r="O178" s="15">
        <f t="shared" si="33"/>
        <v>0</v>
      </c>
    </row>
    <row r="179" spans="1:16" ht="15">
      <c r="A179" s="30" t="s">
        <v>239</v>
      </c>
      <c r="B179" s="25" t="s">
        <v>184</v>
      </c>
      <c r="C179" s="25" t="s">
        <v>85</v>
      </c>
      <c r="D179" s="25" t="s">
        <v>24</v>
      </c>
      <c r="E179" s="25" t="s">
        <v>241</v>
      </c>
      <c r="F179" s="25" t="s">
        <v>240</v>
      </c>
      <c r="G179" s="135">
        <v>2819.6</v>
      </c>
      <c r="H179" s="524"/>
      <c r="I179" s="135"/>
      <c r="J179" s="26">
        <v>0</v>
      </c>
      <c r="K179" s="26"/>
      <c r="L179" s="26">
        <f>J179+K179</f>
        <v>0</v>
      </c>
      <c r="M179" s="40"/>
      <c r="N179" s="29">
        <f>L179+M179</f>
        <v>0</v>
      </c>
      <c r="O179" s="15">
        <f t="shared" si="33"/>
        <v>0</v>
      </c>
      <c r="P179" s="15">
        <f>K179</f>
        <v>0</v>
      </c>
    </row>
    <row r="180" spans="1:15" ht="15">
      <c r="A180" s="23" t="s">
        <v>242</v>
      </c>
      <c r="B180" s="24" t="s">
        <v>184</v>
      </c>
      <c r="C180" s="24" t="s">
        <v>85</v>
      </c>
      <c r="D180" s="24" t="s">
        <v>26</v>
      </c>
      <c r="E180" s="24"/>
      <c r="F180" s="24"/>
      <c r="G180" s="191">
        <f aca="true" t="shared" si="49" ref="G180:M180">G181+G190+G185+G183</f>
        <v>5261.5429699999995</v>
      </c>
      <c r="H180" s="191">
        <f t="shared" si="49"/>
        <v>8194.800000000001</v>
      </c>
      <c r="I180" s="191">
        <f t="shared" si="49"/>
        <v>0</v>
      </c>
      <c r="J180" s="504">
        <f>J181+J190+J185+J183+J187</f>
        <v>22199.699999999997</v>
      </c>
      <c r="K180" s="504">
        <f>K181+K190+K185+K183+K187</f>
        <v>-650</v>
      </c>
      <c r="L180" s="504">
        <f>L181+L190+L185+L183+L187</f>
        <v>21549.699999999997</v>
      </c>
      <c r="M180" s="55">
        <f t="shared" si="49"/>
        <v>0</v>
      </c>
      <c r="N180" s="88">
        <f>N181+N190+N185+N183</f>
        <v>8971.3</v>
      </c>
      <c r="O180" s="15">
        <f t="shared" si="33"/>
        <v>0</v>
      </c>
    </row>
    <row r="181" spans="1:15" ht="60" hidden="1">
      <c r="A181" s="30" t="s">
        <v>243</v>
      </c>
      <c r="B181" s="25" t="s">
        <v>184</v>
      </c>
      <c r="C181" s="25" t="s">
        <v>85</v>
      </c>
      <c r="D181" s="25" t="s">
        <v>26</v>
      </c>
      <c r="E181" s="25" t="s">
        <v>244</v>
      </c>
      <c r="F181" s="25"/>
      <c r="G181" s="135">
        <f aca="true" t="shared" si="50" ref="G181:N181">G182</f>
        <v>0</v>
      </c>
      <c r="H181" s="524">
        <f t="shared" si="50"/>
        <v>545.6</v>
      </c>
      <c r="I181" s="135">
        <f t="shared" si="50"/>
        <v>0</v>
      </c>
      <c r="J181" s="26">
        <f t="shared" si="50"/>
        <v>0</v>
      </c>
      <c r="K181" s="26">
        <f t="shared" si="50"/>
        <v>0</v>
      </c>
      <c r="L181" s="26">
        <f t="shared" si="50"/>
        <v>0</v>
      </c>
      <c r="M181" s="40">
        <f t="shared" si="50"/>
        <v>0</v>
      </c>
      <c r="N181" s="29">
        <f t="shared" si="50"/>
        <v>0</v>
      </c>
      <c r="O181" s="15">
        <f t="shared" si="33"/>
        <v>0</v>
      </c>
    </row>
    <row r="182" spans="1:15" ht="15" hidden="1">
      <c r="A182" s="30" t="s">
        <v>239</v>
      </c>
      <c r="B182" s="25" t="s">
        <v>184</v>
      </c>
      <c r="C182" s="25" t="s">
        <v>85</v>
      </c>
      <c r="D182" s="25" t="s">
        <v>26</v>
      </c>
      <c r="E182" s="25" t="s">
        <v>244</v>
      </c>
      <c r="F182" s="25" t="s">
        <v>240</v>
      </c>
      <c r="G182" s="135"/>
      <c r="H182" s="524">
        <v>545.6</v>
      </c>
      <c r="I182" s="135"/>
      <c r="J182" s="26"/>
      <c r="K182" s="26"/>
      <c r="L182" s="26">
        <f>J182+K182</f>
        <v>0</v>
      </c>
      <c r="M182" s="40"/>
      <c r="N182" s="29">
        <f>L182+M182</f>
        <v>0</v>
      </c>
      <c r="O182" s="15">
        <f t="shared" si="33"/>
        <v>0</v>
      </c>
    </row>
    <row r="183" spans="1:15" ht="90" customHeight="1" hidden="1">
      <c r="A183" s="84" t="s">
        <v>245</v>
      </c>
      <c r="B183" s="25" t="s">
        <v>184</v>
      </c>
      <c r="C183" s="25" t="s">
        <v>85</v>
      </c>
      <c r="D183" s="25" t="s">
        <v>26</v>
      </c>
      <c r="E183" s="25" t="s">
        <v>246</v>
      </c>
      <c r="F183" s="25"/>
      <c r="G183" s="135">
        <f aca="true" t="shared" si="51" ref="G183:N183">G184</f>
        <v>1114.61041</v>
      </c>
      <c r="H183" s="527">
        <f t="shared" si="51"/>
        <v>0</v>
      </c>
      <c r="I183" s="135">
        <f t="shared" si="51"/>
        <v>0</v>
      </c>
      <c r="J183" s="26">
        <f t="shared" si="51"/>
        <v>0</v>
      </c>
      <c r="K183" s="26">
        <f t="shared" si="51"/>
        <v>0</v>
      </c>
      <c r="L183" s="26">
        <f t="shared" si="51"/>
        <v>0</v>
      </c>
      <c r="M183" s="40">
        <f t="shared" si="51"/>
        <v>0</v>
      </c>
      <c r="N183" s="52">
        <f t="shared" si="51"/>
        <v>0</v>
      </c>
      <c r="O183" s="15">
        <f t="shared" si="33"/>
        <v>0</v>
      </c>
    </row>
    <row r="184" spans="1:15" ht="15" customHeight="1" hidden="1">
      <c r="A184" s="30" t="s">
        <v>239</v>
      </c>
      <c r="B184" s="25" t="s">
        <v>184</v>
      </c>
      <c r="C184" s="25" t="s">
        <v>85</v>
      </c>
      <c r="D184" s="25" t="s">
        <v>26</v>
      </c>
      <c r="E184" s="25" t="s">
        <v>246</v>
      </c>
      <c r="F184" s="25" t="s">
        <v>240</v>
      </c>
      <c r="G184" s="135">
        <f>335.61041+779</f>
        <v>1114.61041</v>
      </c>
      <c r="H184" s="524"/>
      <c r="I184" s="135"/>
      <c r="J184" s="26">
        <f>H184+I184</f>
        <v>0</v>
      </c>
      <c r="K184" s="26">
        <f>816.4-816.4</f>
        <v>0</v>
      </c>
      <c r="L184" s="26">
        <f>J184+K184</f>
        <v>0</v>
      </c>
      <c r="M184" s="40">
        <f>816.4-816.4</f>
        <v>0</v>
      </c>
      <c r="N184" s="29">
        <f>L184+M184</f>
        <v>0</v>
      </c>
      <c r="O184" s="15">
        <f t="shared" si="33"/>
        <v>0</v>
      </c>
    </row>
    <row r="185" spans="1:15" ht="45" hidden="1">
      <c r="A185" s="30" t="s">
        <v>247</v>
      </c>
      <c r="B185" s="25" t="s">
        <v>184</v>
      </c>
      <c r="C185" s="25" t="s">
        <v>85</v>
      </c>
      <c r="D185" s="25" t="s">
        <v>26</v>
      </c>
      <c r="E185" s="25" t="s">
        <v>248</v>
      </c>
      <c r="F185" s="25"/>
      <c r="G185" s="135">
        <f aca="true" t="shared" si="52" ref="G185:N185">G186</f>
        <v>-779</v>
      </c>
      <c r="H185" s="135">
        <f t="shared" si="52"/>
        <v>816.4</v>
      </c>
      <c r="I185" s="135">
        <f t="shared" si="52"/>
        <v>0</v>
      </c>
      <c r="J185" s="26">
        <f t="shared" si="52"/>
        <v>0</v>
      </c>
      <c r="K185" s="26">
        <f t="shared" si="52"/>
        <v>0</v>
      </c>
      <c r="L185" s="26">
        <f t="shared" si="52"/>
        <v>0</v>
      </c>
      <c r="M185" s="40">
        <f t="shared" si="52"/>
        <v>0</v>
      </c>
      <c r="N185" s="41">
        <f t="shared" si="52"/>
        <v>0</v>
      </c>
      <c r="O185" s="15">
        <f t="shared" si="33"/>
        <v>0</v>
      </c>
    </row>
    <row r="186" spans="1:15" ht="15" hidden="1">
      <c r="A186" s="30" t="s">
        <v>249</v>
      </c>
      <c r="B186" s="25" t="s">
        <v>184</v>
      </c>
      <c r="C186" s="25" t="s">
        <v>85</v>
      </c>
      <c r="D186" s="25" t="s">
        <v>26</v>
      </c>
      <c r="E186" s="25" t="s">
        <v>248</v>
      </c>
      <c r="F186" s="25" t="s">
        <v>250</v>
      </c>
      <c r="G186" s="135">
        <v>-779</v>
      </c>
      <c r="H186" s="524">
        <v>816.4</v>
      </c>
      <c r="I186" s="135"/>
      <c r="J186" s="26"/>
      <c r="K186" s="26"/>
      <c r="L186" s="26">
        <f>J186+K186</f>
        <v>0</v>
      </c>
      <c r="M186" s="40"/>
      <c r="N186" s="29">
        <f>L186+M186</f>
        <v>0</v>
      </c>
      <c r="O186" s="15">
        <f t="shared" si="33"/>
        <v>0</v>
      </c>
    </row>
    <row r="187" spans="1:15" ht="90">
      <c r="A187" s="30" t="s">
        <v>237</v>
      </c>
      <c r="B187" s="25" t="s">
        <v>184</v>
      </c>
      <c r="C187" s="25" t="s">
        <v>85</v>
      </c>
      <c r="D187" s="25" t="s">
        <v>26</v>
      </c>
      <c r="E187" s="25" t="s">
        <v>238</v>
      </c>
      <c r="F187" s="25"/>
      <c r="G187" s="135"/>
      <c r="H187" s="524"/>
      <c r="I187" s="135"/>
      <c r="J187" s="26">
        <f>J189+J188</f>
        <v>9425.5</v>
      </c>
      <c r="K187" s="26">
        <f>K189+K188</f>
        <v>0</v>
      </c>
      <c r="L187" s="26">
        <f>L189+L188</f>
        <v>9425.5</v>
      </c>
      <c r="M187" s="40"/>
      <c r="N187" s="29"/>
      <c r="O187" s="15">
        <f t="shared" si="33"/>
        <v>0</v>
      </c>
    </row>
    <row r="188" spans="1:15" ht="15">
      <c r="A188" s="30" t="s">
        <v>239</v>
      </c>
      <c r="B188" s="25" t="s">
        <v>184</v>
      </c>
      <c r="C188" s="25" t="s">
        <v>85</v>
      </c>
      <c r="D188" s="25" t="s">
        <v>24</v>
      </c>
      <c r="E188" s="25" t="s">
        <v>238</v>
      </c>
      <c r="F188" s="25" t="s">
        <v>240</v>
      </c>
      <c r="G188" s="135"/>
      <c r="H188" s="524"/>
      <c r="I188" s="135"/>
      <c r="J188" s="26">
        <v>6006.5</v>
      </c>
      <c r="K188" s="26"/>
      <c r="L188" s="26">
        <f>J188+K188</f>
        <v>6006.5</v>
      </c>
      <c r="M188" s="40"/>
      <c r="N188" s="29"/>
      <c r="O188" s="15">
        <f t="shared" si="33"/>
        <v>0</v>
      </c>
    </row>
    <row r="189" spans="1:15" ht="15">
      <c r="A189" s="30" t="s">
        <v>239</v>
      </c>
      <c r="B189" s="25" t="s">
        <v>184</v>
      </c>
      <c r="C189" s="25" t="s">
        <v>85</v>
      </c>
      <c r="D189" s="25" t="s">
        <v>26</v>
      </c>
      <c r="E189" s="25" t="s">
        <v>241</v>
      </c>
      <c r="F189" s="25" t="s">
        <v>240</v>
      </c>
      <c r="G189" s="135"/>
      <c r="H189" s="524"/>
      <c r="I189" s="135"/>
      <c r="J189" s="26">
        <v>3419</v>
      </c>
      <c r="K189" s="26"/>
      <c r="L189" s="26">
        <f>J189+K189</f>
        <v>3419</v>
      </c>
      <c r="M189" s="40"/>
      <c r="N189" s="29"/>
      <c r="O189" s="15">
        <f t="shared" si="33"/>
        <v>0</v>
      </c>
    </row>
    <row r="190" spans="1:15" ht="30">
      <c r="A190" s="30" t="s">
        <v>168</v>
      </c>
      <c r="B190" s="25" t="s">
        <v>184</v>
      </c>
      <c r="C190" s="25" t="s">
        <v>85</v>
      </c>
      <c r="D190" s="25" t="s">
        <v>26</v>
      </c>
      <c r="E190" s="25" t="s">
        <v>169</v>
      </c>
      <c r="F190" s="25"/>
      <c r="G190" s="527">
        <f aca="true" t="shared" si="53" ref="G190:M190">G194+G191</f>
        <v>4925.932559999999</v>
      </c>
      <c r="H190" s="527">
        <f t="shared" si="53"/>
        <v>6832.8</v>
      </c>
      <c r="I190" s="527">
        <f t="shared" si="53"/>
        <v>0</v>
      </c>
      <c r="J190" s="26">
        <f>J194+J191</f>
        <v>12774.199999999999</v>
      </c>
      <c r="K190" s="26">
        <f>K194+K191</f>
        <v>-650</v>
      </c>
      <c r="L190" s="26">
        <f t="shared" si="53"/>
        <v>12124.199999999999</v>
      </c>
      <c r="M190" s="27">
        <f t="shared" si="53"/>
        <v>0</v>
      </c>
      <c r="N190" s="52">
        <f>N194+N191</f>
        <v>8971.3</v>
      </c>
      <c r="O190" s="15">
        <f t="shared" si="33"/>
        <v>0</v>
      </c>
    </row>
    <row r="191" spans="1:15" ht="90" customHeight="1">
      <c r="A191" s="30" t="s">
        <v>251</v>
      </c>
      <c r="B191" s="25" t="s">
        <v>184</v>
      </c>
      <c r="C191" s="25" t="s">
        <v>85</v>
      </c>
      <c r="D191" s="25" t="s">
        <v>26</v>
      </c>
      <c r="E191" s="25" t="s">
        <v>252</v>
      </c>
      <c r="F191" s="25"/>
      <c r="G191" s="135">
        <f aca="true" t="shared" si="54" ref="G191:N191">G192</f>
        <v>1011.2162</v>
      </c>
      <c r="H191" s="527">
        <f t="shared" si="54"/>
        <v>0</v>
      </c>
      <c r="I191" s="135">
        <f t="shared" si="54"/>
        <v>0</v>
      </c>
      <c r="J191" s="26">
        <f>J192+J193</f>
        <v>1403.9</v>
      </c>
      <c r="K191" s="26">
        <f>K192+K193</f>
        <v>-650</v>
      </c>
      <c r="L191" s="26">
        <f>L192+L193</f>
        <v>753.9000000000001</v>
      </c>
      <c r="M191" s="40">
        <f t="shared" si="54"/>
        <v>0</v>
      </c>
      <c r="N191" s="52">
        <f t="shared" si="54"/>
        <v>753.9000000000001</v>
      </c>
      <c r="O191" s="15">
        <f t="shared" si="33"/>
        <v>0</v>
      </c>
    </row>
    <row r="192" spans="1:16" ht="15" customHeight="1">
      <c r="A192" s="30" t="s">
        <v>239</v>
      </c>
      <c r="B192" s="25" t="s">
        <v>184</v>
      </c>
      <c r="C192" s="25" t="s">
        <v>85</v>
      </c>
      <c r="D192" s="25" t="s">
        <v>26</v>
      </c>
      <c r="E192" s="25" t="s">
        <v>252</v>
      </c>
      <c r="F192" s="25" t="s">
        <v>240</v>
      </c>
      <c r="G192" s="135">
        <f>11.2162+1000</f>
        <v>1011.2162</v>
      </c>
      <c r="H192" s="524"/>
      <c r="I192" s="135"/>
      <c r="J192" s="26">
        <v>1403.9</v>
      </c>
      <c r="K192" s="26">
        <v>-650</v>
      </c>
      <c r="L192" s="26">
        <f>J192+K192</f>
        <v>753.9000000000001</v>
      </c>
      <c r="M192" s="40"/>
      <c r="N192" s="29">
        <f>L192+M192</f>
        <v>753.9000000000001</v>
      </c>
      <c r="O192" s="15">
        <f t="shared" si="33"/>
        <v>0</v>
      </c>
      <c r="P192" s="15">
        <f>K192</f>
        <v>-650</v>
      </c>
    </row>
    <row r="193" spans="1:16" ht="15" customHeight="1" hidden="1">
      <c r="A193" s="30" t="s">
        <v>239</v>
      </c>
      <c r="B193" s="25" t="s">
        <v>184</v>
      </c>
      <c r="C193" s="25" t="s">
        <v>85</v>
      </c>
      <c r="D193" s="25" t="s">
        <v>26</v>
      </c>
      <c r="E193" s="25" t="s">
        <v>253</v>
      </c>
      <c r="F193" s="25" t="s">
        <v>240</v>
      </c>
      <c r="G193" s="135"/>
      <c r="H193" s="524"/>
      <c r="I193" s="135"/>
      <c r="J193" s="26"/>
      <c r="K193" s="26"/>
      <c r="L193" s="26">
        <f>J193+K193</f>
        <v>0</v>
      </c>
      <c r="M193" s="40"/>
      <c r="N193" s="29"/>
      <c r="O193" s="15">
        <f t="shared" si="33"/>
        <v>0</v>
      </c>
      <c r="P193" s="15"/>
    </row>
    <row r="194" spans="1:15" ht="45">
      <c r="A194" s="30" t="s">
        <v>254</v>
      </c>
      <c r="B194" s="25" t="s">
        <v>184</v>
      </c>
      <c r="C194" s="25" t="s">
        <v>85</v>
      </c>
      <c r="D194" s="25" t="s">
        <v>26</v>
      </c>
      <c r="E194" s="25" t="s">
        <v>255</v>
      </c>
      <c r="F194" s="25"/>
      <c r="G194" s="527">
        <f aca="true" t="shared" si="55" ref="G194:M194">G199+G197+G198</f>
        <v>3914.7163599999994</v>
      </c>
      <c r="H194" s="527">
        <f t="shared" si="55"/>
        <v>6832.8</v>
      </c>
      <c r="I194" s="527">
        <f t="shared" si="55"/>
        <v>0</v>
      </c>
      <c r="J194" s="26">
        <f>J199+J197+J198+J195+J196</f>
        <v>11370.3</v>
      </c>
      <c r="K194" s="26">
        <f>K199+K197+K198+K195+K196</f>
        <v>0</v>
      </c>
      <c r="L194" s="26">
        <f>L199+L197+L198+L195+L196</f>
        <v>11370.3</v>
      </c>
      <c r="M194" s="27">
        <f t="shared" si="55"/>
        <v>0</v>
      </c>
      <c r="N194" s="52">
        <f>N199+N197+N198</f>
        <v>8217.4</v>
      </c>
      <c r="O194" s="15">
        <f t="shared" si="33"/>
        <v>0</v>
      </c>
    </row>
    <row r="195" spans="1:15" ht="45">
      <c r="A195" s="30" t="s">
        <v>256</v>
      </c>
      <c r="B195" s="25" t="s">
        <v>184</v>
      </c>
      <c r="C195" s="25" t="s">
        <v>85</v>
      </c>
      <c r="D195" s="25" t="s">
        <v>26</v>
      </c>
      <c r="E195" s="25" t="s">
        <v>255</v>
      </c>
      <c r="F195" s="25" t="s">
        <v>140</v>
      </c>
      <c r="G195" s="527"/>
      <c r="H195" s="527"/>
      <c r="I195" s="527"/>
      <c r="J195" s="26">
        <v>800</v>
      </c>
      <c r="K195" s="26"/>
      <c r="L195" s="26">
        <f>J195+K195</f>
        <v>800</v>
      </c>
      <c r="M195" s="27"/>
      <c r="N195" s="52"/>
      <c r="O195" s="15">
        <f t="shared" si="33"/>
        <v>0</v>
      </c>
    </row>
    <row r="196" spans="1:15" ht="45">
      <c r="A196" s="91" t="s">
        <v>256</v>
      </c>
      <c r="B196" s="25" t="s">
        <v>184</v>
      </c>
      <c r="C196" s="25" t="s">
        <v>85</v>
      </c>
      <c r="D196" s="25" t="s">
        <v>26</v>
      </c>
      <c r="E196" s="25" t="s">
        <v>255</v>
      </c>
      <c r="F196" s="25" t="s">
        <v>240</v>
      </c>
      <c r="G196" s="527"/>
      <c r="H196" s="527"/>
      <c r="I196" s="527"/>
      <c r="J196" s="26">
        <v>2352.9</v>
      </c>
      <c r="K196" s="26"/>
      <c r="L196" s="26">
        <f>J196+K196</f>
        <v>2352.9</v>
      </c>
      <c r="M196" s="27"/>
      <c r="N196" s="52"/>
      <c r="O196" s="15">
        <f t="shared" si="33"/>
        <v>0</v>
      </c>
    </row>
    <row r="197" spans="1:15" ht="45" customHeight="1">
      <c r="A197" s="30" t="s">
        <v>256</v>
      </c>
      <c r="B197" s="25" t="s">
        <v>184</v>
      </c>
      <c r="C197" s="25" t="s">
        <v>85</v>
      </c>
      <c r="D197" s="25" t="s">
        <v>26</v>
      </c>
      <c r="E197" s="25" t="s">
        <v>257</v>
      </c>
      <c r="F197" s="25" t="s">
        <v>140</v>
      </c>
      <c r="G197" s="135">
        <v>-94.76</v>
      </c>
      <c r="H197" s="524"/>
      <c r="I197" s="135"/>
      <c r="J197" s="26">
        <f>1483.4</f>
        <v>1483.4</v>
      </c>
      <c r="K197" s="26"/>
      <c r="L197" s="26">
        <f>J197+K197</f>
        <v>1483.4</v>
      </c>
      <c r="M197" s="40"/>
      <c r="N197" s="29">
        <f>L197+M197</f>
        <v>1483.4</v>
      </c>
      <c r="O197" s="15">
        <f t="shared" si="33"/>
        <v>0</v>
      </c>
    </row>
    <row r="198" spans="1:16" ht="45.75" thickBot="1">
      <c r="A198" s="91" t="s">
        <v>256</v>
      </c>
      <c r="B198" s="25" t="s">
        <v>184</v>
      </c>
      <c r="C198" s="25" t="s">
        <v>85</v>
      </c>
      <c r="D198" s="25" t="s">
        <v>26</v>
      </c>
      <c r="E198" s="25" t="s">
        <v>257</v>
      </c>
      <c r="F198" s="25" t="s">
        <v>240</v>
      </c>
      <c r="G198" s="135">
        <f>94.76+6519.9</f>
        <v>6614.66</v>
      </c>
      <c r="H198" s="524"/>
      <c r="I198" s="135"/>
      <c r="J198" s="26">
        <v>6734</v>
      </c>
      <c r="K198" s="26"/>
      <c r="L198" s="26">
        <f>J198+K198</f>
        <v>6734</v>
      </c>
      <c r="M198" s="40"/>
      <c r="N198" s="29">
        <f>L198+M198</f>
        <v>6734</v>
      </c>
      <c r="O198" s="15">
        <f t="shared" si="33"/>
        <v>0</v>
      </c>
      <c r="P198" s="15">
        <f>K198</f>
        <v>0</v>
      </c>
    </row>
    <row r="199" spans="1:15" ht="30.75" hidden="1" thickBot="1">
      <c r="A199" s="30" t="s">
        <v>258</v>
      </c>
      <c r="B199" s="25" t="s">
        <v>184</v>
      </c>
      <c r="C199" s="25" t="s">
        <v>85</v>
      </c>
      <c r="D199" s="25" t="s">
        <v>26</v>
      </c>
      <c r="E199" s="25" t="s">
        <v>259</v>
      </c>
      <c r="F199" s="25"/>
      <c r="G199" s="527">
        <f aca="true" t="shared" si="56" ref="G199:M199">G200+G202+G203</f>
        <v>-2605.18364</v>
      </c>
      <c r="H199" s="527">
        <f t="shared" si="56"/>
        <v>6832.8</v>
      </c>
      <c r="I199" s="527">
        <f t="shared" si="56"/>
        <v>0</v>
      </c>
      <c r="J199" s="26">
        <f t="shared" si="56"/>
        <v>0</v>
      </c>
      <c r="K199" s="26">
        <f t="shared" si="56"/>
        <v>0</v>
      </c>
      <c r="L199" s="26">
        <f t="shared" si="56"/>
        <v>0</v>
      </c>
      <c r="M199" s="27">
        <f t="shared" si="56"/>
        <v>0</v>
      </c>
      <c r="N199" s="52">
        <f>N200+N202+N203</f>
        <v>0</v>
      </c>
      <c r="O199" s="15">
        <f t="shared" si="33"/>
        <v>0</v>
      </c>
    </row>
    <row r="200" spans="1:15" ht="30.75" hidden="1" thickBot="1">
      <c r="A200" s="30" t="s">
        <v>260</v>
      </c>
      <c r="B200" s="25" t="s">
        <v>184</v>
      </c>
      <c r="C200" s="25" t="s">
        <v>85</v>
      </c>
      <c r="D200" s="25" t="s">
        <v>26</v>
      </c>
      <c r="E200" s="25" t="s">
        <v>261</v>
      </c>
      <c r="F200" s="25"/>
      <c r="G200" s="527">
        <f aca="true" t="shared" si="57" ref="G200:N200">G201</f>
        <v>-6396.88364</v>
      </c>
      <c r="H200" s="527">
        <f t="shared" si="57"/>
        <v>6643.5</v>
      </c>
      <c r="I200" s="527">
        <f t="shared" si="57"/>
        <v>0</v>
      </c>
      <c r="J200" s="26">
        <f t="shared" si="57"/>
        <v>0</v>
      </c>
      <c r="K200" s="26">
        <f t="shared" si="57"/>
        <v>0</v>
      </c>
      <c r="L200" s="26">
        <f t="shared" si="57"/>
        <v>0</v>
      </c>
      <c r="M200" s="27">
        <f t="shared" si="57"/>
        <v>0</v>
      </c>
      <c r="N200" s="52">
        <f t="shared" si="57"/>
        <v>0</v>
      </c>
      <c r="O200" s="15">
        <f t="shared" si="33"/>
        <v>0</v>
      </c>
    </row>
    <row r="201" spans="1:15" ht="15.75" hidden="1" thickBot="1">
      <c r="A201" s="30" t="s">
        <v>239</v>
      </c>
      <c r="B201" s="25" t="s">
        <v>184</v>
      </c>
      <c r="C201" s="25" t="s">
        <v>85</v>
      </c>
      <c r="D201" s="25" t="s">
        <v>26</v>
      </c>
      <c r="E201" s="25" t="s">
        <v>261</v>
      </c>
      <c r="F201" s="25" t="s">
        <v>240</v>
      </c>
      <c r="G201" s="527">
        <f>9.41636-6406.3</f>
        <v>-6396.88364</v>
      </c>
      <c r="H201" s="524">
        <v>6643.5</v>
      </c>
      <c r="I201" s="527"/>
      <c r="J201" s="26"/>
      <c r="K201" s="26"/>
      <c r="L201" s="26">
        <f>J201+K201</f>
        <v>0</v>
      </c>
      <c r="M201" s="27"/>
      <c r="N201" s="29">
        <f>L201+M201</f>
        <v>0</v>
      </c>
      <c r="O201" s="15">
        <f t="shared" si="33"/>
        <v>0</v>
      </c>
    </row>
    <row r="202" spans="1:15" ht="15.75" hidden="1" thickBot="1">
      <c r="A202" s="30" t="s">
        <v>262</v>
      </c>
      <c r="B202" s="25" t="s">
        <v>184</v>
      </c>
      <c r="C202" s="25" t="s">
        <v>85</v>
      </c>
      <c r="D202" s="25" t="s">
        <v>26</v>
      </c>
      <c r="E202" s="25" t="s">
        <v>263</v>
      </c>
      <c r="F202" s="25" t="s">
        <v>140</v>
      </c>
      <c r="G202" s="135">
        <v>-113.6</v>
      </c>
      <c r="H202" s="524">
        <v>189.3</v>
      </c>
      <c r="I202" s="135"/>
      <c r="J202" s="26"/>
      <c r="K202" s="26"/>
      <c r="L202" s="26">
        <f>J202+K202</f>
        <v>0</v>
      </c>
      <c r="M202" s="40"/>
      <c r="N202" s="29">
        <f>L202+M202</f>
        <v>0</v>
      </c>
      <c r="O202" s="15">
        <f t="shared" si="33"/>
        <v>0</v>
      </c>
    </row>
    <row r="203" spans="1:15" ht="15.75" customHeight="1" hidden="1" thickBot="1">
      <c r="A203" s="30" t="s">
        <v>239</v>
      </c>
      <c r="B203" s="25" t="s">
        <v>184</v>
      </c>
      <c r="C203" s="25" t="s">
        <v>85</v>
      </c>
      <c r="D203" s="25" t="s">
        <v>26</v>
      </c>
      <c r="E203" s="25" t="s">
        <v>264</v>
      </c>
      <c r="F203" s="25" t="s">
        <v>240</v>
      </c>
      <c r="G203" s="135">
        <v>3905.3</v>
      </c>
      <c r="H203" s="524"/>
      <c r="I203" s="135"/>
      <c r="J203" s="26">
        <f>H203+I203</f>
        <v>0</v>
      </c>
      <c r="K203" s="26"/>
      <c r="L203" s="26">
        <f>J203+K203</f>
        <v>0</v>
      </c>
      <c r="M203" s="76"/>
      <c r="N203" s="92">
        <f>L203+M203</f>
        <v>0</v>
      </c>
      <c r="O203" s="15">
        <f t="shared" si="33"/>
        <v>0</v>
      </c>
    </row>
    <row r="204" spans="1:15" ht="30" thickBot="1">
      <c r="A204" s="529" t="s">
        <v>265</v>
      </c>
      <c r="B204" s="194" t="s">
        <v>266</v>
      </c>
      <c r="C204" s="194"/>
      <c r="D204" s="194"/>
      <c r="E204" s="194"/>
      <c r="F204" s="194"/>
      <c r="G204" s="195" t="e">
        <f>G205+G243+G268+G287</f>
        <v>#REF!</v>
      </c>
      <c r="H204" s="533" t="e">
        <f>H205+H243+H268+H287+H257</f>
        <v>#REF!</v>
      </c>
      <c r="I204" s="533" t="e">
        <f>I205+I243+I268+I287+I257</f>
        <v>#REF!</v>
      </c>
      <c r="J204" s="621">
        <f>J205+J243+J268+J287+J257+J237+J304+J309+J231+J283+J275</f>
        <v>71741.07758000001</v>
      </c>
      <c r="K204" s="621">
        <f>K205+K243+K268+K287+K257+K237+K304+K309+K231+K283+K275</f>
        <v>10650.53758</v>
      </c>
      <c r="L204" s="621">
        <f>L205+L243+L268+L287+L257+L237+L304+L309+L231+L283+L275</f>
        <v>82391.61916</v>
      </c>
      <c r="M204" s="93" t="e">
        <f>M205+M243+M268+M287+M257+M237</f>
        <v>#REF!</v>
      </c>
      <c r="N204" s="94" t="e">
        <f>N205+N243+N268+N287+N257+N237</f>
        <v>#REF!</v>
      </c>
      <c r="O204" s="15">
        <f t="shared" si="33"/>
        <v>-0.003999999986262992</v>
      </c>
    </row>
    <row r="205" spans="1:15" ht="15">
      <c r="A205" s="31" t="s">
        <v>267</v>
      </c>
      <c r="B205" s="32" t="s">
        <v>266</v>
      </c>
      <c r="C205" s="32" t="s">
        <v>21</v>
      </c>
      <c r="D205" s="25"/>
      <c r="E205" s="25"/>
      <c r="F205" s="25"/>
      <c r="G205" s="520">
        <f>G215+G219+G227+G231+G206</f>
        <v>-820.87</v>
      </c>
      <c r="H205" s="520">
        <f>H215+H219+H227+H231+H206</f>
        <v>4592.6</v>
      </c>
      <c r="I205" s="520">
        <f>I215+I219+I227+I231+I206</f>
        <v>0</v>
      </c>
      <c r="J205" s="622">
        <f>J215+J219+J227+J206+J223</f>
        <v>4055.772</v>
      </c>
      <c r="K205" s="622">
        <f>K215+K219+K227+K206+K223</f>
        <v>10.827039999999997</v>
      </c>
      <c r="L205" s="622">
        <f>L215+L219+L227+L206+L223</f>
        <v>4066.60304</v>
      </c>
      <c r="M205" s="95">
        <f>M215+M219+M227+M231+M206</f>
        <v>-578.496</v>
      </c>
      <c r="N205" s="96">
        <f>N215+N219+N227+N231+N206</f>
        <v>4039.5070400000004</v>
      </c>
      <c r="O205" s="15">
        <f aca="true" t="shared" si="58" ref="O205:O268">J205+K205-L205</f>
        <v>-0.0039999999999054126</v>
      </c>
    </row>
    <row r="206" spans="1:15" ht="86.25">
      <c r="A206" s="98" t="s">
        <v>268</v>
      </c>
      <c r="B206" s="24" t="s">
        <v>266</v>
      </c>
      <c r="C206" s="24" t="s">
        <v>21</v>
      </c>
      <c r="D206" s="24" t="s">
        <v>26</v>
      </c>
      <c r="E206" s="25"/>
      <c r="F206" s="25"/>
      <c r="G206" s="503">
        <f aca="true" t="shared" si="59" ref="G206:N207">G207</f>
        <v>0.4</v>
      </c>
      <c r="H206" s="192">
        <f>H207+H211</f>
        <v>0</v>
      </c>
      <c r="I206" s="192">
        <f>I207+I211</f>
        <v>0</v>
      </c>
      <c r="J206" s="504">
        <f>J207+J211+J209+J213</f>
        <v>733.726</v>
      </c>
      <c r="K206" s="504">
        <f>K207+K211+K209+K213</f>
        <v>-66.698</v>
      </c>
      <c r="L206" s="504">
        <f>L207+L211+L209+L213</f>
        <v>667.028</v>
      </c>
      <c r="M206" s="35">
        <f>M207+M211+M209+M213</f>
        <v>-50</v>
      </c>
      <c r="N206" s="36">
        <f>N207+N211+N209+N213</f>
        <v>617.028</v>
      </c>
      <c r="O206" s="15">
        <f t="shared" si="58"/>
        <v>0</v>
      </c>
    </row>
    <row r="207" spans="1:15" ht="62.25" customHeight="1">
      <c r="A207" s="30" t="s">
        <v>269</v>
      </c>
      <c r="B207" s="25" t="s">
        <v>266</v>
      </c>
      <c r="C207" s="25" t="s">
        <v>21</v>
      </c>
      <c r="D207" s="25" t="s">
        <v>26</v>
      </c>
      <c r="E207" s="25" t="s">
        <v>270</v>
      </c>
      <c r="F207" s="25"/>
      <c r="G207" s="520">
        <f t="shared" si="59"/>
        <v>0.4</v>
      </c>
      <c r="H207" s="520">
        <f t="shared" si="59"/>
        <v>0</v>
      </c>
      <c r="I207" s="520">
        <f t="shared" si="59"/>
        <v>0</v>
      </c>
      <c r="J207" s="26">
        <f t="shared" si="59"/>
        <v>0.5</v>
      </c>
      <c r="K207" s="26">
        <f t="shared" si="59"/>
        <v>-0.5</v>
      </c>
      <c r="L207" s="26">
        <f t="shared" si="59"/>
        <v>0</v>
      </c>
      <c r="M207" s="38">
        <f t="shared" si="59"/>
        <v>0</v>
      </c>
      <c r="N207" s="39">
        <f t="shared" si="59"/>
        <v>0</v>
      </c>
      <c r="O207" s="15">
        <f t="shared" si="58"/>
        <v>0</v>
      </c>
    </row>
    <row r="208" spans="1:15" ht="30">
      <c r="A208" s="99" t="s">
        <v>139</v>
      </c>
      <c r="B208" s="25" t="s">
        <v>266</v>
      </c>
      <c r="C208" s="25" t="s">
        <v>21</v>
      </c>
      <c r="D208" s="25" t="s">
        <v>26</v>
      </c>
      <c r="E208" s="25" t="s">
        <v>270</v>
      </c>
      <c r="F208" s="25" t="s">
        <v>140</v>
      </c>
      <c r="G208" s="520">
        <v>0.4</v>
      </c>
      <c r="H208" s="524"/>
      <c r="I208" s="520"/>
      <c r="J208" s="26">
        <v>0.5</v>
      </c>
      <c r="K208" s="622">
        <v>-0.5</v>
      </c>
      <c r="L208" s="26">
        <f>J208+K208</f>
        <v>0</v>
      </c>
      <c r="M208" s="38"/>
      <c r="N208" s="29">
        <f>L208+M208</f>
        <v>0</v>
      </c>
      <c r="O208" s="15">
        <f t="shared" si="58"/>
        <v>0</v>
      </c>
    </row>
    <row r="209" spans="1:15" ht="15">
      <c r="A209" s="99" t="s">
        <v>190</v>
      </c>
      <c r="B209" s="25" t="s">
        <v>266</v>
      </c>
      <c r="C209" s="25" t="s">
        <v>21</v>
      </c>
      <c r="D209" s="25" t="s">
        <v>26</v>
      </c>
      <c r="E209" s="25" t="s">
        <v>191</v>
      </c>
      <c r="F209" s="25"/>
      <c r="G209" s="520"/>
      <c r="H209" s="524"/>
      <c r="I209" s="520"/>
      <c r="J209" s="26">
        <f>J210</f>
        <v>733.226</v>
      </c>
      <c r="K209" s="26">
        <f>K210</f>
        <v>-66.198</v>
      </c>
      <c r="L209" s="26">
        <f>L210</f>
        <v>667.028</v>
      </c>
      <c r="M209" s="28">
        <f>M210</f>
        <v>-50</v>
      </c>
      <c r="N209" s="29">
        <f>N210</f>
        <v>617.028</v>
      </c>
      <c r="O209" s="15">
        <f t="shared" si="58"/>
        <v>0</v>
      </c>
    </row>
    <row r="210" spans="1:16" ht="30">
      <c r="A210" s="99" t="s">
        <v>133</v>
      </c>
      <c r="B210" s="25" t="s">
        <v>266</v>
      </c>
      <c r="C210" s="25" t="s">
        <v>21</v>
      </c>
      <c r="D210" s="25" t="s">
        <v>26</v>
      </c>
      <c r="E210" s="25" t="s">
        <v>191</v>
      </c>
      <c r="F210" s="25" t="s">
        <v>131</v>
      </c>
      <c r="G210" s="520"/>
      <c r="H210" s="524"/>
      <c r="I210" s="520"/>
      <c r="J210" s="26">
        <v>733.226</v>
      </c>
      <c r="K210" s="622">
        <v>-66.198</v>
      </c>
      <c r="L210" s="26">
        <f>J210+K210</f>
        <v>667.028</v>
      </c>
      <c r="M210" s="38">
        <f>-50</f>
        <v>-50</v>
      </c>
      <c r="N210" s="29">
        <f>L210+M210</f>
        <v>617.028</v>
      </c>
      <c r="O210" s="15">
        <f t="shared" si="58"/>
        <v>0</v>
      </c>
      <c r="P210" s="42">
        <f>L210-O210</f>
        <v>667.028</v>
      </c>
    </row>
    <row r="211" spans="1:15" ht="45" customHeight="1" hidden="1">
      <c r="A211" s="99" t="s">
        <v>271</v>
      </c>
      <c r="B211" s="32" t="s">
        <v>266</v>
      </c>
      <c r="C211" s="32" t="s">
        <v>21</v>
      </c>
      <c r="D211" s="25" t="s">
        <v>26</v>
      </c>
      <c r="E211" s="25" t="s">
        <v>272</v>
      </c>
      <c r="F211" s="25"/>
      <c r="G211" s="520"/>
      <c r="H211" s="524">
        <f aca="true" t="shared" si="60" ref="H211:N211">H212</f>
        <v>0</v>
      </c>
      <c r="I211" s="524">
        <f t="shared" si="60"/>
        <v>0</v>
      </c>
      <c r="J211" s="26">
        <f t="shared" si="60"/>
        <v>0</v>
      </c>
      <c r="K211" s="26">
        <f t="shared" si="60"/>
        <v>0</v>
      </c>
      <c r="L211" s="26">
        <f t="shared" si="60"/>
        <v>0</v>
      </c>
      <c r="M211" s="28">
        <f t="shared" si="60"/>
        <v>0</v>
      </c>
      <c r="N211" s="29">
        <f t="shared" si="60"/>
        <v>0</v>
      </c>
      <c r="O211" s="15">
        <f t="shared" si="58"/>
        <v>0</v>
      </c>
    </row>
    <row r="212" spans="1:15" ht="30" customHeight="1" hidden="1">
      <c r="A212" s="100" t="s">
        <v>273</v>
      </c>
      <c r="B212" s="32" t="s">
        <v>266</v>
      </c>
      <c r="C212" s="32" t="s">
        <v>21</v>
      </c>
      <c r="D212" s="25" t="s">
        <v>26</v>
      </c>
      <c r="E212" s="25" t="s">
        <v>272</v>
      </c>
      <c r="F212" s="25" t="s">
        <v>131</v>
      </c>
      <c r="G212" s="520"/>
      <c r="H212" s="524"/>
      <c r="I212" s="520"/>
      <c r="J212" s="26">
        <f>H212+I212</f>
        <v>0</v>
      </c>
      <c r="K212" s="622"/>
      <c r="L212" s="26">
        <f>J212+K212</f>
        <v>0</v>
      </c>
      <c r="M212" s="38"/>
      <c r="N212" s="29">
        <f>L212+M212</f>
        <v>0</v>
      </c>
      <c r="O212" s="15">
        <f t="shared" si="58"/>
        <v>0</v>
      </c>
    </row>
    <row r="213" spans="1:15" ht="60" hidden="1">
      <c r="A213" s="99" t="s">
        <v>274</v>
      </c>
      <c r="B213" s="32" t="s">
        <v>266</v>
      </c>
      <c r="C213" s="32" t="s">
        <v>21</v>
      </c>
      <c r="D213" s="25" t="s">
        <v>26</v>
      </c>
      <c r="E213" s="25" t="s">
        <v>275</v>
      </c>
      <c r="F213" s="25"/>
      <c r="G213" s="520"/>
      <c r="H213" s="524"/>
      <c r="I213" s="520"/>
      <c r="J213" s="26">
        <f>J214</f>
        <v>0</v>
      </c>
      <c r="K213" s="26">
        <f>K214</f>
        <v>0</v>
      </c>
      <c r="L213" s="26">
        <f>L214</f>
        <v>0</v>
      </c>
      <c r="M213" s="28">
        <f>M214</f>
        <v>0</v>
      </c>
      <c r="N213" s="29">
        <f>N214</f>
        <v>0</v>
      </c>
      <c r="O213" s="15">
        <f t="shared" si="58"/>
        <v>0</v>
      </c>
    </row>
    <row r="214" spans="1:15" ht="30" hidden="1">
      <c r="A214" s="100" t="s">
        <v>273</v>
      </c>
      <c r="B214" s="32" t="s">
        <v>266</v>
      </c>
      <c r="C214" s="32" t="s">
        <v>21</v>
      </c>
      <c r="D214" s="25" t="s">
        <v>26</v>
      </c>
      <c r="E214" s="25" t="s">
        <v>275</v>
      </c>
      <c r="F214" s="25" t="s">
        <v>131</v>
      </c>
      <c r="G214" s="520"/>
      <c r="H214" s="524"/>
      <c r="I214" s="520"/>
      <c r="J214" s="26"/>
      <c r="K214" s="622"/>
      <c r="L214" s="26">
        <f>J214+K214</f>
        <v>0</v>
      </c>
      <c r="M214" s="38"/>
      <c r="N214" s="29">
        <f>L214+M214</f>
        <v>0</v>
      </c>
      <c r="O214" s="15">
        <f t="shared" si="58"/>
        <v>0</v>
      </c>
    </row>
    <row r="215" spans="1:15" s="102" customFormat="1" ht="57.75">
      <c r="A215" s="101" t="s">
        <v>276</v>
      </c>
      <c r="B215" s="24" t="s">
        <v>266</v>
      </c>
      <c r="C215" s="24" t="s">
        <v>21</v>
      </c>
      <c r="D215" s="24" t="s">
        <v>30</v>
      </c>
      <c r="E215" s="24"/>
      <c r="F215" s="24"/>
      <c r="G215" s="503">
        <f aca="true" t="shared" si="61" ref="G215:N215">G216</f>
        <v>412.31000000000006</v>
      </c>
      <c r="H215" s="503">
        <f t="shared" si="61"/>
        <v>2981.6</v>
      </c>
      <c r="I215" s="503">
        <f t="shared" si="61"/>
        <v>0</v>
      </c>
      <c r="J215" s="504">
        <f t="shared" si="61"/>
        <v>3322.046</v>
      </c>
      <c r="K215" s="504">
        <f>K216</f>
        <v>67.82503999999999</v>
      </c>
      <c r="L215" s="504">
        <f t="shared" si="61"/>
        <v>3389.8750400000004</v>
      </c>
      <c r="M215" s="505">
        <f t="shared" si="61"/>
        <v>-205.496</v>
      </c>
      <c r="N215" s="86">
        <f t="shared" si="61"/>
        <v>3184.3790400000003</v>
      </c>
      <c r="O215" s="15">
        <f t="shared" si="58"/>
        <v>-0.00400000000036016</v>
      </c>
    </row>
    <row r="216" spans="1:15" ht="75">
      <c r="A216" s="100" t="s">
        <v>277</v>
      </c>
      <c r="B216" s="25" t="s">
        <v>266</v>
      </c>
      <c r="C216" s="25" t="s">
        <v>21</v>
      </c>
      <c r="D216" s="25" t="s">
        <v>30</v>
      </c>
      <c r="E216" s="25" t="s">
        <v>189</v>
      </c>
      <c r="F216" s="25"/>
      <c r="G216" s="135">
        <f aca="true" t="shared" si="62" ref="G216:M216">G217+G218</f>
        <v>412.31000000000006</v>
      </c>
      <c r="H216" s="135">
        <f t="shared" si="62"/>
        <v>2981.6</v>
      </c>
      <c r="I216" s="135">
        <f t="shared" si="62"/>
        <v>0</v>
      </c>
      <c r="J216" s="26">
        <v>3322.046</v>
      </c>
      <c r="K216" s="26">
        <f>K218</f>
        <v>67.82503999999999</v>
      </c>
      <c r="L216" s="26">
        <f>L217+L218</f>
        <v>3389.8750400000004</v>
      </c>
      <c r="M216" s="40">
        <f t="shared" si="62"/>
        <v>-205.496</v>
      </c>
      <c r="N216" s="41">
        <f>N217+N218</f>
        <v>3184.3790400000003</v>
      </c>
      <c r="O216" s="15">
        <f t="shared" si="58"/>
        <v>-0.00400000000036016</v>
      </c>
    </row>
    <row r="217" spans="1:15" ht="30" hidden="1">
      <c r="A217" s="100" t="s">
        <v>278</v>
      </c>
      <c r="B217" s="25" t="s">
        <v>266</v>
      </c>
      <c r="C217" s="25" t="s">
        <v>21</v>
      </c>
      <c r="D217" s="25" t="s">
        <v>30</v>
      </c>
      <c r="E217" s="25" t="s">
        <v>191</v>
      </c>
      <c r="F217" s="25" t="s">
        <v>230</v>
      </c>
      <c r="G217" s="135">
        <v>-0.4</v>
      </c>
      <c r="H217" s="524">
        <v>2981.6</v>
      </c>
      <c r="I217" s="135"/>
      <c r="J217" s="26"/>
      <c r="K217" s="26"/>
      <c r="L217" s="26">
        <f>J217+K217</f>
        <v>0</v>
      </c>
      <c r="M217" s="40"/>
      <c r="N217" s="29">
        <f>L217+M217</f>
        <v>0</v>
      </c>
      <c r="O217" s="15">
        <f t="shared" si="58"/>
        <v>0</v>
      </c>
    </row>
    <row r="218" spans="1:20" s="371" customFormat="1" ht="30">
      <c r="A218" s="367" t="s">
        <v>133</v>
      </c>
      <c r="B218" s="368" t="s">
        <v>266</v>
      </c>
      <c r="C218" s="368" t="s">
        <v>21</v>
      </c>
      <c r="D218" s="368" t="s">
        <v>30</v>
      </c>
      <c r="E218" s="368" t="s">
        <v>191</v>
      </c>
      <c r="F218" s="368" t="s">
        <v>131</v>
      </c>
      <c r="G218" s="534">
        <f>50+360+80+3.47-0.01-80-3.47+2.72</f>
        <v>412.71000000000004</v>
      </c>
      <c r="H218" s="535"/>
      <c r="I218" s="534"/>
      <c r="J218" s="625">
        <v>3322.05</v>
      </c>
      <c r="K218" s="625">
        <f>1.62704+66.198</f>
        <v>67.82503999999999</v>
      </c>
      <c r="L218" s="625">
        <f>J218+K218</f>
        <v>3389.8750400000004</v>
      </c>
      <c r="M218" s="369">
        <f>-205.496</f>
        <v>-205.496</v>
      </c>
      <c r="N218" s="370">
        <f>L218+M218</f>
        <v>3184.3790400000003</v>
      </c>
      <c r="O218" s="15">
        <f t="shared" si="58"/>
        <v>0</v>
      </c>
      <c r="P218" s="128">
        <f>L218-O218</f>
        <v>3389.8750400000004</v>
      </c>
      <c r="R218" s="372" t="s">
        <v>948</v>
      </c>
      <c r="S218" s="372"/>
      <c r="T218" s="372"/>
    </row>
    <row r="219" spans="1:15" s="102" customFormat="1" ht="29.25" hidden="1">
      <c r="A219" s="101" t="s">
        <v>33</v>
      </c>
      <c r="B219" s="24" t="s">
        <v>266</v>
      </c>
      <c r="C219" s="24" t="s">
        <v>21</v>
      </c>
      <c r="D219" s="24" t="s">
        <v>34</v>
      </c>
      <c r="E219" s="24"/>
      <c r="F219" s="24"/>
      <c r="G219" s="503">
        <f aca="true" t="shared" si="63" ref="G219:N221">G220</f>
        <v>0</v>
      </c>
      <c r="H219" s="503">
        <f t="shared" si="63"/>
        <v>63</v>
      </c>
      <c r="I219" s="503">
        <f t="shared" si="63"/>
        <v>0</v>
      </c>
      <c r="J219" s="504">
        <f t="shared" si="63"/>
        <v>0</v>
      </c>
      <c r="K219" s="504">
        <f t="shared" si="63"/>
        <v>0</v>
      </c>
      <c r="L219" s="504">
        <f t="shared" si="63"/>
        <v>0</v>
      </c>
      <c r="M219" s="505">
        <f t="shared" si="63"/>
        <v>0</v>
      </c>
      <c r="N219" s="86">
        <f t="shared" si="63"/>
        <v>0</v>
      </c>
      <c r="O219" s="15">
        <f t="shared" si="58"/>
        <v>0</v>
      </c>
    </row>
    <row r="220" spans="1:15" ht="30" hidden="1">
      <c r="A220" s="100" t="s">
        <v>279</v>
      </c>
      <c r="B220" s="25" t="s">
        <v>266</v>
      </c>
      <c r="C220" s="25" t="s">
        <v>21</v>
      </c>
      <c r="D220" s="25" t="s">
        <v>34</v>
      </c>
      <c r="E220" s="25" t="s">
        <v>280</v>
      </c>
      <c r="F220" s="25"/>
      <c r="G220" s="135">
        <f t="shared" si="63"/>
        <v>0</v>
      </c>
      <c r="H220" s="135">
        <f t="shared" si="63"/>
        <v>63</v>
      </c>
      <c r="I220" s="135">
        <f t="shared" si="63"/>
        <v>0</v>
      </c>
      <c r="J220" s="26">
        <f t="shared" si="63"/>
        <v>0</v>
      </c>
      <c r="K220" s="26">
        <f t="shared" si="63"/>
        <v>0</v>
      </c>
      <c r="L220" s="26">
        <f t="shared" si="63"/>
        <v>0</v>
      </c>
      <c r="M220" s="40">
        <f t="shared" si="63"/>
        <v>0</v>
      </c>
      <c r="N220" s="41">
        <f t="shared" si="63"/>
        <v>0</v>
      </c>
      <c r="O220" s="15">
        <f t="shared" si="58"/>
        <v>0</v>
      </c>
    </row>
    <row r="221" spans="1:15" ht="30" hidden="1">
      <c r="A221" s="100" t="s">
        <v>281</v>
      </c>
      <c r="B221" s="25" t="s">
        <v>266</v>
      </c>
      <c r="C221" s="25" t="s">
        <v>21</v>
      </c>
      <c r="D221" s="25" t="s">
        <v>34</v>
      </c>
      <c r="E221" s="25" t="s">
        <v>282</v>
      </c>
      <c r="F221" s="25"/>
      <c r="G221" s="135">
        <f t="shared" si="63"/>
        <v>0</v>
      </c>
      <c r="H221" s="135">
        <f t="shared" si="63"/>
        <v>63</v>
      </c>
      <c r="I221" s="135">
        <f t="shared" si="63"/>
        <v>0</v>
      </c>
      <c r="J221" s="26">
        <f t="shared" si="63"/>
        <v>0</v>
      </c>
      <c r="K221" s="26">
        <f t="shared" si="63"/>
        <v>0</v>
      </c>
      <c r="L221" s="26">
        <f t="shared" si="63"/>
        <v>0</v>
      </c>
      <c r="M221" s="40">
        <f t="shared" si="63"/>
        <v>0</v>
      </c>
      <c r="N221" s="41">
        <f t="shared" si="63"/>
        <v>0</v>
      </c>
      <c r="O221" s="15">
        <f t="shared" si="58"/>
        <v>0</v>
      </c>
    </row>
    <row r="222" spans="1:15" ht="15" hidden="1">
      <c r="A222" s="100" t="s">
        <v>283</v>
      </c>
      <c r="B222" s="25" t="s">
        <v>266</v>
      </c>
      <c r="C222" s="25" t="s">
        <v>21</v>
      </c>
      <c r="D222" s="25" t="s">
        <v>34</v>
      </c>
      <c r="E222" s="25" t="s">
        <v>282</v>
      </c>
      <c r="F222" s="25" t="s">
        <v>284</v>
      </c>
      <c r="G222" s="135"/>
      <c r="H222" s="524">
        <v>63</v>
      </c>
      <c r="I222" s="135"/>
      <c r="J222" s="26"/>
      <c r="K222" s="26"/>
      <c r="L222" s="26">
        <f>J222+K222</f>
        <v>0</v>
      </c>
      <c r="M222" s="40"/>
      <c r="N222" s="29">
        <f>L222+M222</f>
        <v>0</v>
      </c>
      <c r="O222" s="15">
        <f t="shared" si="58"/>
        <v>0</v>
      </c>
    </row>
    <row r="223" spans="1:15" ht="15">
      <c r="A223" s="100" t="s">
        <v>35</v>
      </c>
      <c r="B223" s="24" t="s">
        <v>266</v>
      </c>
      <c r="C223" s="24" t="s">
        <v>21</v>
      </c>
      <c r="D223" s="24" t="s">
        <v>34</v>
      </c>
      <c r="E223" s="24"/>
      <c r="F223" s="24"/>
      <c r="G223" s="135"/>
      <c r="H223" s="524"/>
      <c r="I223" s="135"/>
      <c r="J223" s="504">
        <f aca="true" t="shared" si="64" ref="J223:L224">J224</f>
        <v>0</v>
      </c>
      <c r="K223" s="504">
        <f t="shared" si="64"/>
        <v>0</v>
      </c>
      <c r="L223" s="504">
        <f t="shared" si="64"/>
        <v>0</v>
      </c>
      <c r="M223" s="40"/>
      <c r="N223" s="29"/>
      <c r="O223" s="15">
        <f t="shared" si="58"/>
        <v>0</v>
      </c>
    </row>
    <row r="224" spans="1:15" ht="15">
      <c r="A224" s="100" t="s">
        <v>35</v>
      </c>
      <c r="B224" s="25" t="s">
        <v>266</v>
      </c>
      <c r="C224" s="25" t="s">
        <v>21</v>
      </c>
      <c r="D224" s="25" t="s">
        <v>34</v>
      </c>
      <c r="E224" s="25" t="s">
        <v>285</v>
      </c>
      <c r="F224" s="25"/>
      <c r="G224" s="135"/>
      <c r="H224" s="524"/>
      <c r="I224" s="135"/>
      <c r="J224" s="26">
        <f t="shared" si="64"/>
        <v>0</v>
      </c>
      <c r="K224" s="26">
        <f t="shared" si="64"/>
        <v>0</v>
      </c>
      <c r="L224" s="26">
        <f t="shared" si="64"/>
        <v>0</v>
      </c>
      <c r="M224" s="40"/>
      <c r="N224" s="29"/>
      <c r="O224" s="15">
        <f t="shared" si="58"/>
        <v>0</v>
      </c>
    </row>
    <row r="225" spans="1:15" ht="30">
      <c r="A225" s="100" t="s">
        <v>286</v>
      </c>
      <c r="B225" s="25" t="s">
        <v>266</v>
      </c>
      <c r="C225" s="25" t="s">
        <v>21</v>
      </c>
      <c r="D225" s="25" t="s">
        <v>34</v>
      </c>
      <c r="E225" s="25" t="s">
        <v>287</v>
      </c>
      <c r="F225" s="25"/>
      <c r="G225" s="135"/>
      <c r="H225" s="524"/>
      <c r="I225" s="135"/>
      <c r="J225" s="26">
        <f>J226</f>
        <v>0</v>
      </c>
      <c r="K225" s="26">
        <f>K226</f>
        <v>0</v>
      </c>
      <c r="L225" s="26">
        <f>L226</f>
        <v>0</v>
      </c>
      <c r="M225" s="40"/>
      <c r="N225" s="29"/>
      <c r="O225" s="15">
        <f t="shared" si="58"/>
        <v>0</v>
      </c>
    </row>
    <row r="226" spans="1:16" ht="15" hidden="1">
      <c r="A226" s="100" t="s">
        <v>283</v>
      </c>
      <c r="B226" s="25" t="s">
        <v>266</v>
      </c>
      <c r="C226" s="25" t="s">
        <v>21</v>
      </c>
      <c r="D226" s="25" t="s">
        <v>34</v>
      </c>
      <c r="E226" s="25" t="s">
        <v>287</v>
      </c>
      <c r="F226" s="25" t="s">
        <v>284</v>
      </c>
      <c r="G226" s="135"/>
      <c r="H226" s="524"/>
      <c r="I226" s="135"/>
      <c r="J226" s="26"/>
      <c r="K226" s="26"/>
      <c r="L226" s="26">
        <f>J226+K226</f>
        <v>0</v>
      </c>
      <c r="M226" s="40"/>
      <c r="N226" s="29"/>
      <c r="O226" s="15">
        <f t="shared" si="58"/>
        <v>0</v>
      </c>
      <c r="P226" s="15">
        <f>K226-O226</f>
        <v>0</v>
      </c>
    </row>
    <row r="227" spans="1:15" s="102" customFormat="1" ht="29.25">
      <c r="A227" s="157" t="s">
        <v>38</v>
      </c>
      <c r="B227" s="24" t="s">
        <v>266</v>
      </c>
      <c r="C227" s="24" t="s">
        <v>21</v>
      </c>
      <c r="D227" s="24" t="s">
        <v>37</v>
      </c>
      <c r="E227" s="24"/>
      <c r="F227" s="24"/>
      <c r="G227" s="503">
        <f aca="true" t="shared" si="65" ref="G227:N229">G228</f>
        <v>-233.58</v>
      </c>
      <c r="H227" s="503">
        <f t="shared" si="65"/>
        <v>0</v>
      </c>
      <c r="I227" s="503">
        <f t="shared" si="65"/>
        <v>0</v>
      </c>
      <c r="J227" s="504">
        <f t="shared" si="65"/>
        <v>0</v>
      </c>
      <c r="K227" s="504">
        <f t="shared" si="65"/>
        <v>9.7</v>
      </c>
      <c r="L227" s="504">
        <f t="shared" si="65"/>
        <v>9.7</v>
      </c>
      <c r="M227" s="505">
        <f t="shared" si="65"/>
        <v>-323</v>
      </c>
      <c r="N227" s="86">
        <f t="shared" si="65"/>
        <v>-323</v>
      </c>
      <c r="O227" s="15">
        <f t="shared" si="58"/>
        <v>0</v>
      </c>
    </row>
    <row r="228" spans="1:15" ht="60">
      <c r="A228" s="100" t="s">
        <v>269</v>
      </c>
      <c r="B228" s="25" t="s">
        <v>266</v>
      </c>
      <c r="C228" s="25" t="s">
        <v>21</v>
      </c>
      <c r="D228" s="25" t="s">
        <v>37</v>
      </c>
      <c r="E228" s="25" t="s">
        <v>270</v>
      </c>
      <c r="F228" s="25"/>
      <c r="G228" s="135">
        <f t="shared" si="65"/>
        <v>-233.58</v>
      </c>
      <c r="H228" s="135">
        <f t="shared" si="65"/>
        <v>0</v>
      </c>
      <c r="I228" s="135">
        <f t="shared" si="65"/>
        <v>0</v>
      </c>
      <c r="J228" s="26">
        <f t="shared" si="65"/>
        <v>0</v>
      </c>
      <c r="K228" s="26">
        <f t="shared" si="65"/>
        <v>9.7</v>
      </c>
      <c r="L228" s="26">
        <f t="shared" si="65"/>
        <v>9.7</v>
      </c>
      <c r="M228" s="40">
        <f t="shared" si="65"/>
        <v>-323</v>
      </c>
      <c r="N228" s="41">
        <f t="shared" si="65"/>
        <v>-323</v>
      </c>
      <c r="O228" s="15">
        <f t="shared" si="58"/>
        <v>0</v>
      </c>
    </row>
    <row r="229" spans="1:15" ht="30">
      <c r="A229" s="105" t="s">
        <v>133</v>
      </c>
      <c r="B229" s="25" t="s">
        <v>266</v>
      </c>
      <c r="C229" s="25" t="s">
        <v>21</v>
      </c>
      <c r="D229" s="25" t="s">
        <v>36</v>
      </c>
      <c r="E229" s="25" t="s">
        <v>270</v>
      </c>
      <c r="F229" s="25" t="s">
        <v>131</v>
      </c>
      <c r="G229" s="135">
        <f t="shared" si="65"/>
        <v>-233.58</v>
      </c>
      <c r="H229" s="135">
        <f t="shared" si="65"/>
        <v>0</v>
      </c>
      <c r="I229" s="135">
        <f t="shared" si="65"/>
        <v>0</v>
      </c>
      <c r="J229" s="26"/>
      <c r="K229" s="26">
        <f>0.5+9.2</f>
        <v>9.7</v>
      </c>
      <c r="L229" s="26">
        <f>J229+K229</f>
        <v>9.7</v>
      </c>
      <c r="M229" s="40">
        <f t="shared" si="65"/>
        <v>-323</v>
      </c>
      <c r="N229" s="41">
        <f t="shared" si="65"/>
        <v>-323</v>
      </c>
      <c r="O229" s="15">
        <f t="shared" si="58"/>
        <v>0</v>
      </c>
    </row>
    <row r="230" spans="1:15" ht="15" hidden="1">
      <c r="A230" s="100" t="s">
        <v>283</v>
      </c>
      <c r="B230" s="25" t="s">
        <v>266</v>
      </c>
      <c r="C230" s="25" t="s">
        <v>21</v>
      </c>
      <c r="D230" s="25" t="s">
        <v>36</v>
      </c>
      <c r="E230" s="25" t="s">
        <v>287</v>
      </c>
      <c r="F230" s="25" t="s">
        <v>284</v>
      </c>
      <c r="G230" s="135">
        <f>-163.58-60-10</f>
        <v>-233.58</v>
      </c>
      <c r="H230" s="524"/>
      <c r="I230" s="135"/>
      <c r="J230" s="26"/>
      <c r="K230" s="26"/>
      <c r="L230" s="26">
        <f>J230+K230</f>
        <v>0</v>
      </c>
      <c r="M230" s="27">
        <f>-323</f>
        <v>-323</v>
      </c>
      <c r="N230" s="52">
        <f>L230+M230</f>
        <v>-323</v>
      </c>
      <c r="O230" s="15">
        <f t="shared" si="58"/>
        <v>0</v>
      </c>
    </row>
    <row r="231" spans="1:15" s="102" customFormat="1" ht="14.25" customHeight="1">
      <c r="A231" s="103" t="s">
        <v>40</v>
      </c>
      <c r="B231" s="104" t="s">
        <v>266</v>
      </c>
      <c r="C231" s="104" t="s">
        <v>22</v>
      </c>
      <c r="D231" s="104" t="s">
        <v>288</v>
      </c>
      <c r="E231" s="104"/>
      <c r="F231" s="104"/>
      <c r="G231" s="536">
        <f aca="true" t="shared" si="66" ref="G231:N233">G232</f>
        <v>-1000</v>
      </c>
      <c r="H231" s="536">
        <f t="shared" si="66"/>
        <v>1548</v>
      </c>
      <c r="I231" s="536">
        <f t="shared" si="66"/>
        <v>0</v>
      </c>
      <c r="J231" s="622">
        <f t="shared" si="66"/>
        <v>541.5</v>
      </c>
      <c r="K231" s="622">
        <f t="shared" si="66"/>
        <v>19.6</v>
      </c>
      <c r="L231" s="622">
        <f t="shared" si="66"/>
        <v>561.1</v>
      </c>
      <c r="M231" s="505">
        <f t="shared" si="66"/>
        <v>0</v>
      </c>
      <c r="N231" s="86">
        <f t="shared" si="66"/>
        <v>561.1</v>
      </c>
      <c r="O231" s="15">
        <f t="shared" si="58"/>
        <v>0</v>
      </c>
    </row>
    <row r="232" spans="1:15" ht="26.25" customHeight="1">
      <c r="A232" s="57" t="s">
        <v>289</v>
      </c>
      <c r="B232" s="25" t="s">
        <v>266</v>
      </c>
      <c r="C232" s="25" t="s">
        <v>22</v>
      </c>
      <c r="D232" s="25" t="s">
        <v>24</v>
      </c>
      <c r="E232" s="25"/>
      <c r="F232" s="25"/>
      <c r="G232" s="135">
        <f t="shared" si="66"/>
        <v>-1000</v>
      </c>
      <c r="H232" s="135">
        <f t="shared" si="66"/>
        <v>1548</v>
      </c>
      <c r="I232" s="135">
        <f t="shared" si="66"/>
        <v>0</v>
      </c>
      <c r="J232" s="26">
        <f t="shared" si="66"/>
        <v>541.5</v>
      </c>
      <c r="K232" s="26">
        <f t="shared" si="66"/>
        <v>19.6</v>
      </c>
      <c r="L232" s="26">
        <f t="shared" si="66"/>
        <v>561.1</v>
      </c>
      <c r="M232" s="40">
        <f t="shared" si="66"/>
        <v>0</v>
      </c>
      <c r="N232" s="41">
        <f t="shared" si="66"/>
        <v>561.1</v>
      </c>
      <c r="O232" s="15">
        <f t="shared" si="58"/>
        <v>0</v>
      </c>
    </row>
    <row r="233" spans="1:15" ht="43.5" customHeight="1">
      <c r="A233" s="57" t="s">
        <v>290</v>
      </c>
      <c r="B233" s="25" t="s">
        <v>266</v>
      </c>
      <c r="C233" s="25" t="s">
        <v>22</v>
      </c>
      <c r="D233" s="25" t="s">
        <v>24</v>
      </c>
      <c r="E233" s="25" t="s">
        <v>291</v>
      </c>
      <c r="F233" s="25"/>
      <c r="G233" s="135">
        <f t="shared" si="66"/>
        <v>-1000</v>
      </c>
      <c r="H233" s="135">
        <f t="shared" si="66"/>
        <v>1548</v>
      </c>
      <c r="I233" s="135">
        <f t="shared" si="66"/>
        <v>0</v>
      </c>
      <c r="J233" s="26">
        <f>J234+J235</f>
        <v>541.5</v>
      </c>
      <c r="K233" s="26">
        <f>K234+K235</f>
        <v>19.6</v>
      </c>
      <c r="L233" s="26">
        <f>L234+L235</f>
        <v>561.1</v>
      </c>
      <c r="M233" s="29">
        <f>M234+M235</f>
        <v>0</v>
      </c>
      <c r="N233" s="29">
        <f>N234+N235</f>
        <v>561.1</v>
      </c>
      <c r="O233" s="15">
        <f t="shared" si="58"/>
        <v>0</v>
      </c>
    </row>
    <row r="234" spans="1:16" ht="15" customHeight="1">
      <c r="A234" s="105" t="s">
        <v>292</v>
      </c>
      <c r="B234" s="25" t="s">
        <v>266</v>
      </c>
      <c r="C234" s="25" t="s">
        <v>22</v>
      </c>
      <c r="D234" s="25" t="s">
        <v>24</v>
      </c>
      <c r="E234" s="25" t="s">
        <v>291</v>
      </c>
      <c r="F234" s="25" t="s">
        <v>293</v>
      </c>
      <c r="G234" s="135">
        <v>-1000</v>
      </c>
      <c r="H234" s="524">
        <v>1548</v>
      </c>
      <c r="I234" s="135"/>
      <c r="J234" s="26">
        <v>541.5</v>
      </c>
      <c r="K234" s="26">
        <v>19.6</v>
      </c>
      <c r="L234" s="26">
        <f>J234+K234</f>
        <v>561.1</v>
      </c>
      <c r="M234" s="40"/>
      <c r="N234" s="29">
        <f>L234+M234</f>
        <v>561.1</v>
      </c>
      <c r="O234" s="15">
        <f t="shared" si="58"/>
        <v>0</v>
      </c>
      <c r="P234" s="15">
        <f>K234</f>
        <v>19.6</v>
      </c>
    </row>
    <row r="235" spans="1:15" ht="25.5" customHeight="1" hidden="1">
      <c r="A235" s="100" t="s">
        <v>294</v>
      </c>
      <c r="B235" s="25" t="s">
        <v>266</v>
      </c>
      <c r="C235" s="25" t="s">
        <v>21</v>
      </c>
      <c r="D235" s="25" t="s">
        <v>39</v>
      </c>
      <c r="E235" s="25"/>
      <c r="F235" s="25"/>
      <c r="G235" s="62">
        <f aca="true" t="shared" si="67" ref="G235:N235">G236</f>
        <v>0</v>
      </c>
      <c r="H235" s="62">
        <f t="shared" si="67"/>
        <v>0</v>
      </c>
      <c r="I235" s="62">
        <f t="shared" si="67"/>
        <v>0</v>
      </c>
      <c r="J235" s="26">
        <f t="shared" si="67"/>
        <v>0</v>
      </c>
      <c r="K235" s="26">
        <f t="shared" si="67"/>
        <v>0</v>
      </c>
      <c r="L235" s="26">
        <f t="shared" si="67"/>
        <v>0</v>
      </c>
      <c r="M235" s="106">
        <f t="shared" si="67"/>
        <v>0</v>
      </c>
      <c r="N235" s="106">
        <f t="shared" si="67"/>
        <v>0</v>
      </c>
      <c r="O235" s="15">
        <f t="shared" si="58"/>
        <v>0</v>
      </c>
    </row>
    <row r="236" spans="1:15" ht="28.5" customHeight="1" hidden="1">
      <c r="A236" s="100" t="s">
        <v>295</v>
      </c>
      <c r="B236" s="25" t="s">
        <v>266</v>
      </c>
      <c r="C236" s="25" t="s">
        <v>21</v>
      </c>
      <c r="D236" s="25" t="s">
        <v>39</v>
      </c>
      <c r="E236" s="25"/>
      <c r="F236" s="25" t="s">
        <v>284</v>
      </c>
      <c r="G236" s="135"/>
      <c r="H236" s="524"/>
      <c r="I236" s="135"/>
      <c r="J236" s="26"/>
      <c r="K236" s="26"/>
      <c r="L236" s="26">
        <f>J236+K236</f>
        <v>0</v>
      </c>
      <c r="M236" s="107"/>
      <c r="N236" s="106">
        <f>L236+M236</f>
        <v>0</v>
      </c>
      <c r="O236" s="15">
        <f t="shared" si="58"/>
        <v>0</v>
      </c>
    </row>
    <row r="237" spans="1:15" ht="43.5">
      <c r="A237" s="162" t="s">
        <v>43</v>
      </c>
      <c r="B237" s="32" t="s">
        <v>266</v>
      </c>
      <c r="C237" s="32" t="s">
        <v>24</v>
      </c>
      <c r="D237" s="25"/>
      <c r="E237" s="25"/>
      <c r="F237" s="25"/>
      <c r="G237" s="520">
        <f aca="true" t="shared" si="68" ref="G237:N237">G238</f>
        <v>0</v>
      </c>
      <c r="H237" s="520">
        <f t="shared" si="68"/>
        <v>526.1</v>
      </c>
      <c r="I237" s="520">
        <f t="shared" si="68"/>
        <v>0</v>
      </c>
      <c r="J237" s="622">
        <f t="shared" si="68"/>
        <v>700</v>
      </c>
      <c r="K237" s="622">
        <f t="shared" si="68"/>
        <v>0</v>
      </c>
      <c r="L237" s="622">
        <f t="shared" si="68"/>
        <v>700</v>
      </c>
      <c r="M237" s="95">
        <f t="shared" si="68"/>
        <v>0</v>
      </c>
      <c r="N237" s="96">
        <f t="shared" si="68"/>
        <v>700</v>
      </c>
      <c r="O237" s="15">
        <f t="shared" si="58"/>
        <v>0</v>
      </c>
    </row>
    <row r="238" spans="1:15" s="102" customFormat="1" ht="15">
      <c r="A238" s="108" t="s">
        <v>45</v>
      </c>
      <c r="B238" s="24" t="s">
        <v>266</v>
      </c>
      <c r="C238" s="24" t="s">
        <v>24</v>
      </c>
      <c r="D238" s="24" t="s">
        <v>22</v>
      </c>
      <c r="E238" s="24"/>
      <c r="F238" s="24"/>
      <c r="G238" s="503">
        <f aca="true" t="shared" si="69" ref="G238:M238">G239+G241</f>
        <v>0</v>
      </c>
      <c r="H238" s="503">
        <f t="shared" si="69"/>
        <v>526.1</v>
      </c>
      <c r="I238" s="503">
        <f t="shared" si="69"/>
        <v>0</v>
      </c>
      <c r="J238" s="504">
        <f t="shared" si="69"/>
        <v>700</v>
      </c>
      <c r="K238" s="504">
        <f t="shared" si="69"/>
        <v>0</v>
      </c>
      <c r="L238" s="504">
        <f t="shared" si="69"/>
        <v>700</v>
      </c>
      <c r="M238" s="505">
        <f t="shared" si="69"/>
        <v>0</v>
      </c>
      <c r="N238" s="86">
        <f>N239+N241</f>
        <v>700</v>
      </c>
      <c r="O238" s="15">
        <f t="shared" si="58"/>
        <v>0</v>
      </c>
    </row>
    <row r="239" spans="1:15" ht="38.25">
      <c r="A239" s="537" t="s">
        <v>296</v>
      </c>
      <c r="B239" s="25" t="s">
        <v>266</v>
      </c>
      <c r="C239" s="25" t="s">
        <v>24</v>
      </c>
      <c r="D239" s="25" t="s">
        <v>22</v>
      </c>
      <c r="E239" s="25" t="s">
        <v>297</v>
      </c>
      <c r="F239" s="25"/>
      <c r="G239" s="135">
        <f aca="true" t="shared" si="70" ref="G239:N239">G240</f>
        <v>0</v>
      </c>
      <c r="H239" s="135">
        <f t="shared" si="70"/>
        <v>316.5</v>
      </c>
      <c r="I239" s="135">
        <f t="shared" si="70"/>
        <v>0</v>
      </c>
      <c r="J239" s="26">
        <f t="shared" si="70"/>
        <v>300</v>
      </c>
      <c r="K239" s="26">
        <f t="shared" si="70"/>
        <v>0</v>
      </c>
      <c r="L239" s="26">
        <f t="shared" si="70"/>
        <v>300</v>
      </c>
      <c r="M239" s="40">
        <f t="shared" si="70"/>
        <v>0</v>
      </c>
      <c r="N239" s="41">
        <f t="shared" si="70"/>
        <v>300</v>
      </c>
      <c r="O239" s="15">
        <f t="shared" si="58"/>
        <v>0</v>
      </c>
    </row>
    <row r="240" spans="1:15" ht="30">
      <c r="A240" s="105" t="s">
        <v>133</v>
      </c>
      <c r="B240" s="25" t="s">
        <v>266</v>
      </c>
      <c r="C240" s="25" t="s">
        <v>24</v>
      </c>
      <c r="D240" s="25" t="s">
        <v>22</v>
      </c>
      <c r="E240" s="25" t="s">
        <v>297</v>
      </c>
      <c r="F240" s="25" t="s">
        <v>131</v>
      </c>
      <c r="G240" s="135"/>
      <c r="H240" s="524">
        <v>316.5</v>
      </c>
      <c r="I240" s="135"/>
      <c r="J240" s="26">
        <v>300</v>
      </c>
      <c r="K240" s="26"/>
      <c r="L240" s="26">
        <f>J240+K240</f>
        <v>300</v>
      </c>
      <c r="M240" s="40"/>
      <c r="N240" s="29">
        <f>L240+M240</f>
        <v>300</v>
      </c>
      <c r="O240" s="15">
        <f t="shared" si="58"/>
        <v>0</v>
      </c>
    </row>
    <row r="241" spans="1:15" ht="43.5" customHeight="1">
      <c r="A241" s="109" t="s">
        <v>298</v>
      </c>
      <c r="B241" s="25" t="s">
        <v>266</v>
      </c>
      <c r="C241" s="25" t="s">
        <v>24</v>
      </c>
      <c r="D241" s="25" t="s">
        <v>22</v>
      </c>
      <c r="E241" s="25" t="s">
        <v>299</v>
      </c>
      <c r="F241" s="25"/>
      <c r="G241" s="135">
        <f aca="true" t="shared" si="71" ref="G241:N241">G242</f>
        <v>0</v>
      </c>
      <c r="H241" s="135">
        <f t="shared" si="71"/>
        <v>209.6</v>
      </c>
      <c r="I241" s="135">
        <f t="shared" si="71"/>
        <v>0</v>
      </c>
      <c r="J241" s="26">
        <f t="shared" si="71"/>
        <v>400</v>
      </c>
      <c r="K241" s="26">
        <f t="shared" si="71"/>
        <v>0</v>
      </c>
      <c r="L241" s="26">
        <f t="shared" si="71"/>
        <v>400</v>
      </c>
      <c r="M241" s="40">
        <f t="shared" si="71"/>
        <v>0</v>
      </c>
      <c r="N241" s="41">
        <f t="shared" si="71"/>
        <v>400</v>
      </c>
      <c r="O241" s="15">
        <f t="shared" si="58"/>
        <v>0</v>
      </c>
    </row>
    <row r="242" spans="1:15" ht="30.75" thickBot="1">
      <c r="A242" s="105" t="s">
        <v>133</v>
      </c>
      <c r="B242" s="25" t="s">
        <v>266</v>
      </c>
      <c r="C242" s="25" t="s">
        <v>24</v>
      </c>
      <c r="D242" s="25" t="s">
        <v>22</v>
      </c>
      <c r="E242" s="25" t="s">
        <v>299</v>
      </c>
      <c r="F242" s="25" t="s">
        <v>131</v>
      </c>
      <c r="G242" s="135"/>
      <c r="H242" s="524">
        <v>209.6</v>
      </c>
      <c r="I242" s="135"/>
      <c r="J242" s="26">
        <f>200+200</f>
        <v>400</v>
      </c>
      <c r="K242" s="26"/>
      <c r="L242" s="26">
        <f>J242+K242</f>
        <v>400</v>
      </c>
      <c r="M242" s="76"/>
      <c r="N242" s="92">
        <f>L242+M242</f>
        <v>400</v>
      </c>
      <c r="O242" s="15">
        <f t="shared" si="58"/>
        <v>0</v>
      </c>
    </row>
    <row r="243" spans="1:15" ht="15">
      <c r="A243" s="162" t="s">
        <v>48</v>
      </c>
      <c r="B243" s="32" t="s">
        <v>266</v>
      </c>
      <c r="C243" s="32" t="s">
        <v>26</v>
      </c>
      <c r="D243" s="32"/>
      <c r="E243" s="32"/>
      <c r="F243" s="32"/>
      <c r="G243" s="520" t="e">
        <f aca="true" t="shared" si="72" ref="G243:N243">G244+G248</f>
        <v>#REF!</v>
      </c>
      <c r="H243" s="520" t="e">
        <f t="shared" si="72"/>
        <v>#REF!</v>
      </c>
      <c r="I243" s="520" t="e">
        <f t="shared" si="72"/>
        <v>#REF!</v>
      </c>
      <c r="J243" s="622">
        <f t="shared" si="72"/>
        <v>2637.99608</v>
      </c>
      <c r="K243" s="622">
        <f t="shared" si="72"/>
        <v>9159.92058</v>
      </c>
      <c r="L243" s="622">
        <f t="shared" si="72"/>
        <v>11797.916659999999</v>
      </c>
      <c r="M243" s="38" t="e">
        <f t="shared" si="72"/>
        <v>#REF!</v>
      </c>
      <c r="N243" s="39" t="e">
        <f t="shared" si="72"/>
        <v>#REF!</v>
      </c>
      <c r="O243" s="15">
        <f t="shared" si="58"/>
        <v>0</v>
      </c>
    </row>
    <row r="244" spans="1:15" s="102" customFormat="1" ht="17.25" customHeight="1">
      <c r="A244" s="110" t="s">
        <v>50</v>
      </c>
      <c r="B244" s="24" t="s">
        <v>266</v>
      </c>
      <c r="C244" s="24" t="s">
        <v>26</v>
      </c>
      <c r="D244" s="24" t="s">
        <v>21</v>
      </c>
      <c r="E244" s="24"/>
      <c r="F244" s="24"/>
      <c r="G244" s="503" t="e">
        <f>G245</f>
        <v>#REF!</v>
      </c>
      <c r="H244" s="192" t="e">
        <f>H245+#REF!</f>
        <v>#REF!</v>
      </c>
      <c r="I244" s="192" t="e">
        <f>I245+#REF!</f>
        <v>#REF!</v>
      </c>
      <c r="J244" s="504">
        <f>J245</f>
        <v>485.93708000000004</v>
      </c>
      <c r="K244" s="504">
        <f>K245</f>
        <v>9.92058</v>
      </c>
      <c r="L244" s="504">
        <f>L245</f>
        <v>495.85766</v>
      </c>
      <c r="M244" s="65" t="e">
        <f>M245+#REF!</f>
        <v>#REF!</v>
      </c>
      <c r="N244" s="111" t="e">
        <f>N245+#REF!</f>
        <v>#REF!</v>
      </c>
      <c r="O244" s="15">
        <f t="shared" si="58"/>
        <v>0</v>
      </c>
    </row>
    <row r="245" spans="1:16" ht="30">
      <c r="A245" s="112" t="s">
        <v>1021</v>
      </c>
      <c r="B245" s="25" t="s">
        <v>266</v>
      </c>
      <c r="C245" s="25" t="s">
        <v>26</v>
      </c>
      <c r="D245" s="25" t="s">
        <v>21</v>
      </c>
      <c r="E245" s="25" t="s">
        <v>1011</v>
      </c>
      <c r="F245" s="25"/>
      <c r="G245" s="135" t="e">
        <f>#REF!</f>
        <v>#REF!</v>
      </c>
      <c r="H245" s="135" t="e">
        <f>#REF!</f>
        <v>#REF!</v>
      </c>
      <c r="I245" s="135" t="e">
        <f>#REF!</f>
        <v>#REF!</v>
      </c>
      <c r="J245" s="26">
        <f>SUM(J246:J247)</f>
        <v>485.93708000000004</v>
      </c>
      <c r="K245" s="26">
        <f>SUM(K246:K247)</f>
        <v>9.92058</v>
      </c>
      <c r="L245" s="26">
        <f>SUM(L246:L247)</f>
        <v>495.85766</v>
      </c>
      <c r="M245" s="40" t="e">
        <f>#REF!</f>
        <v>#REF!</v>
      </c>
      <c r="N245" s="41" t="e">
        <f>#REF!</f>
        <v>#REF!</v>
      </c>
      <c r="O245" s="15">
        <f t="shared" si="58"/>
        <v>0</v>
      </c>
      <c r="P245" s="112"/>
    </row>
    <row r="246" spans="1:15" ht="15">
      <c r="A246" s="112" t="s">
        <v>6</v>
      </c>
      <c r="B246" s="25" t="s">
        <v>266</v>
      </c>
      <c r="C246" s="25" t="s">
        <v>26</v>
      </c>
      <c r="D246" s="25" t="s">
        <v>21</v>
      </c>
      <c r="E246" s="25" t="s">
        <v>1011</v>
      </c>
      <c r="F246" s="25" t="s">
        <v>330</v>
      </c>
      <c r="G246" s="135"/>
      <c r="H246" s="135"/>
      <c r="I246" s="135"/>
      <c r="J246" s="26">
        <v>232.60672</v>
      </c>
      <c r="K246" s="26"/>
      <c r="L246" s="26">
        <f>J246+K246</f>
        <v>232.60672</v>
      </c>
      <c r="M246" s="40"/>
      <c r="N246" s="41"/>
      <c r="O246" s="15">
        <f t="shared" si="58"/>
        <v>0</v>
      </c>
    </row>
    <row r="247" spans="1:15" ht="30">
      <c r="A247" s="105" t="s">
        <v>133</v>
      </c>
      <c r="B247" s="25" t="s">
        <v>266</v>
      </c>
      <c r="C247" s="25" t="s">
        <v>26</v>
      </c>
      <c r="D247" s="25" t="s">
        <v>21</v>
      </c>
      <c r="E247" s="25" t="s">
        <v>1011</v>
      </c>
      <c r="F247" s="25" t="s">
        <v>140</v>
      </c>
      <c r="G247" s="135"/>
      <c r="H247" s="135"/>
      <c r="I247" s="135"/>
      <c r="J247" s="26">
        <v>253.33036</v>
      </c>
      <c r="K247" s="26">
        <v>9.92058</v>
      </c>
      <c r="L247" s="26">
        <f>J247+K247</f>
        <v>263.25094</v>
      </c>
      <c r="M247" s="40"/>
      <c r="N247" s="41"/>
      <c r="O247" s="15">
        <f t="shared" si="58"/>
        <v>0</v>
      </c>
    </row>
    <row r="248" spans="1:15" s="102" customFormat="1" ht="24" customHeight="1">
      <c r="A248" s="101" t="s">
        <v>56</v>
      </c>
      <c r="B248" s="24" t="s">
        <v>266</v>
      </c>
      <c r="C248" s="24" t="s">
        <v>26</v>
      </c>
      <c r="D248" s="24" t="s">
        <v>36</v>
      </c>
      <c r="E248" s="24"/>
      <c r="F248" s="24"/>
      <c r="G248" s="503">
        <f>G255</f>
        <v>0</v>
      </c>
      <c r="H248" s="503">
        <f>H255</f>
        <v>235.5</v>
      </c>
      <c r="I248" s="503">
        <f>I255</f>
        <v>0</v>
      </c>
      <c r="J248" s="504">
        <f>J255+J249+J253</f>
        <v>2152.0589999999997</v>
      </c>
      <c r="K248" s="504">
        <f>K255+K249+K253</f>
        <v>9150</v>
      </c>
      <c r="L248" s="504">
        <f>L255+L249+L253</f>
        <v>11302.059</v>
      </c>
      <c r="M248" s="505">
        <f>M255</f>
        <v>0</v>
      </c>
      <c r="N248" s="86">
        <f>N255</f>
        <v>1050</v>
      </c>
      <c r="O248" s="15">
        <f t="shared" si="58"/>
        <v>0</v>
      </c>
    </row>
    <row r="249" spans="1:15" ht="33" customHeight="1">
      <c r="A249" s="538" t="s">
        <v>1022</v>
      </c>
      <c r="B249" s="25" t="s">
        <v>266</v>
      </c>
      <c r="C249" s="25" t="s">
        <v>26</v>
      </c>
      <c r="D249" s="25" t="s">
        <v>36</v>
      </c>
      <c r="E249" s="25" t="s">
        <v>1017</v>
      </c>
      <c r="F249" s="25"/>
      <c r="G249" s="135"/>
      <c r="H249" s="135"/>
      <c r="I249" s="135"/>
      <c r="J249" s="26">
        <f>J250+J251</f>
        <v>33.228</v>
      </c>
      <c r="K249" s="26">
        <f>K250+K251</f>
        <v>9050</v>
      </c>
      <c r="L249" s="26">
        <f>L250+L251</f>
        <v>9083.228</v>
      </c>
      <c r="M249" s="40"/>
      <c r="N249" s="41"/>
      <c r="O249" s="15">
        <f t="shared" si="58"/>
        <v>0</v>
      </c>
    </row>
    <row r="250" spans="1:15" ht="62.25" customHeight="1">
      <c r="A250" s="100" t="s">
        <v>302</v>
      </c>
      <c r="B250" s="25" t="s">
        <v>266</v>
      </c>
      <c r="C250" s="25" t="s">
        <v>26</v>
      </c>
      <c r="D250" s="25" t="s">
        <v>36</v>
      </c>
      <c r="E250" s="25" t="s">
        <v>1018</v>
      </c>
      <c r="F250" s="25" t="s">
        <v>301</v>
      </c>
      <c r="G250" s="135"/>
      <c r="H250" s="135"/>
      <c r="I250" s="135"/>
      <c r="J250" s="26">
        <v>33.228</v>
      </c>
      <c r="K250" s="26">
        <f>6000+2300+750</f>
        <v>9050</v>
      </c>
      <c r="L250" s="26">
        <f>J250+K250</f>
        <v>9083.228</v>
      </c>
      <c r="M250" s="40"/>
      <c r="N250" s="41"/>
      <c r="O250" s="15">
        <f t="shared" si="58"/>
        <v>0</v>
      </c>
    </row>
    <row r="251" spans="1:15" s="102" customFormat="1" ht="26.25">
      <c r="A251" s="538" t="s">
        <v>1022</v>
      </c>
      <c r="B251" s="25" t="s">
        <v>266</v>
      </c>
      <c r="C251" s="25" t="s">
        <v>26</v>
      </c>
      <c r="D251" s="25" t="s">
        <v>36</v>
      </c>
      <c r="E251" s="25" t="s">
        <v>303</v>
      </c>
      <c r="F251" s="25"/>
      <c r="G251" s="503"/>
      <c r="H251" s="503"/>
      <c r="I251" s="503"/>
      <c r="J251" s="26">
        <v>0</v>
      </c>
      <c r="K251" s="26">
        <f>K252</f>
        <v>0</v>
      </c>
      <c r="L251" s="26">
        <f>L252</f>
        <v>0</v>
      </c>
      <c r="M251" s="505"/>
      <c r="N251" s="86"/>
      <c r="O251" s="15">
        <f t="shared" si="58"/>
        <v>0</v>
      </c>
    </row>
    <row r="252" spans="1:15" s="102" customFormat="1" ht="60">
      <c r="A252" s="57" t="s">
        <v>302</v>
      </c>
      <c r="B252" s="25" t="s">
        <v>266</v>
      </c>
      <c r="C252" s="25" t="s">
        <v>26</v>
      </c>
      <c r="D252" s="25" t="s">
        <v>36</v>
      </c>
      <c r="E252" s="25" t="s">
        <v>303</v>
      </c>
      <c r="F252" s="25" t="s">
        <v>301</v>
      </c>
      <c r="G252" s="503"/>
      <c r="H252" s="503"/>
      <c r="I252" s="503"/>
      <c r="J252" s="26">
        <v>0</v>
      </c>
      <c r="K252" s="26"/>
      <c r="L252" s="26">
        <f>J252+K252</f>
        <v>0</v>
      </c>
      <c r="M252" s="505"/>
      <c r="N252" s="86"/>
      <c r="O252" s="15">
        <f t="shared" si="58"/>
        <v>0</v>
      </c>
    </row>
    <row r="253" spans="1:15" s="102" customFormat="1" ht="60">
      <c r="A253" s="57" t="s">
        <v>1068</v>
      </c>
      <c r="B253" s="25" t="s">
        <v>266</v>
      </c>
      <c r="C253" s="25" t="s">
        <v>26</v>
      </c>
      <c r="D253" s="25" t="s">
        <v>36</v>
      </c>
      <c r="E253" s="25" t="s">
        <v>1067</v>
      </c>
      <c r="F253" s="25"/>
      <c r="G253" s="503"/>
      <c r="H253" s="503"/>
      <c r="I253" s="503"/>
      <c r="J253" s="26">
        <f>J254</f>
        <v>1168.831</v>
      </c>
      <c r="K253" s="26">
        <f>K254</f>
        <v>0</v>
      </c>
      <c r="L253" s="26">
        <f>L254</f>
        <v>1168.831</v>
      </c>
      <c r="M253" s="505"/>
      <c r="N253" s="86"/>
      <c r="O253" s="15">
        <f t="shared" si="58"/>
        <v>0</v>
      </c>
    </row>
    <row r="254" spans="1:15" s="102" customFormat="1" ht="60">
      <c r="A254" s="57" t="s">
        <v>1068</v>
      </c>
      <c r="B254" s="25" t="s">
        <v>266</v>
      </c>
      <c r="C254" s="25" t="s">
        <v>26</v>
      </c>
      <c r="D254" s="25" t="s">
        <v>36</v>
      </c>
      <c r="E254" s="25" t="s">
        <v>1067</v>
      </c>
      <c r="F254" s="25" t="s">
        <v>301</v>
      </c>
      <c r="G254" s="503"/>
      <c r="H254" s="503"/>
      <c r="I254" s="503"/>
      <c r="J254" s="26">
        <v>1168.831</v>
      </c>
      <c r="K254" s="26"/>
      <c r="L254" s="26">
        <f>J254+K254</f>
        <v>1168.831</v>
      </c>
      <c r="M254" s="505"/>
      <c r="N254" s="86"/>
      <c r="O254" s="15">
        <f t="shared" si="58"/>
        <v>0</v>
      </c>
    </row>
    <row r="255" spans="1:15" ht="39">
      <c r="A255" s="114" t="s">
        <v>304</v>
      </c>
      <c r="B255" s="115" t="s">
        <v>266</v>
      </c>
      <c r="C255" s="115" t="s">
        <v>26</v>
      </c>
      <c r="D255" s="115" t="s">
        <v>36</v>
      </c>
      <c r="E255" s="115" t="s">
        <v>305</v>
      </c>
      <c r="F255" s="115"/>
      <c r="G255" s="62">
        <f aca="true" t="shared" si="73" ref="G255:N255">G256</f>
        <v>0</v>
      </c>
      <c r="H255" s="62">
        <f t="shared" si="73"/>
        <v>235.5</v>
      </c>
      <c r="I255" s="62">
        <f t="shared" si="73"/>
        <v>0</v>
      </c>
      <c r="J255" s="26">
        <f t="shared" si="73"/>
        <v>950</v>
      </c>
      <c r="K255" s="26">
        <f t="shared" si="73"/>
        <v>100</v>
      </c>
      <c r="L255" s="26">
        <f t="shared" si="73"/>
        <v>1050</v>
      </c>
      <c r="M255" s="40">
        <f t="shared" si="73"/>
        <v>0</v>
      </c>
      <c r="N255" s="41">
        <f t="shared" si="73"/>
        <v>1050</v>
      </c>
      <c r="O255" s="15">
        <f t="shared" si="58"/>
        <v>0</v>
      </c>
    </row>
    <row r="256" spans="1:15" ht="30">
      <c r="A256" s="105" t="s">
        <v>133</v>
      </c>
      <c r="B256" s="115" t="s">
        <v>266</v>
      </c>
      <c r="C256" s="115" t="s">
        <v>26</v>
      </c>
      <c r="D256" s="115" t="s">
        <v>36</v>
      </c>
      <c r="E256" s="115" t="s">
        <v>305</v>
      </c>
      <c r="F256" s="115" t="s">
        <v>131</v>
      </c>
      <c r="G256" s="62"/>
      <c r="H256" s="61">
        <v>235.5</v>
      </c>
      <c r="I256" s="62"/>
      <c r="J256" s="26">
        <v>950</v>
      </c>
      <c r="K256" s="26">
        <f>100</f>
        <v>100</v>
      </c>
      <c r="L256" s="26">
        <f>J256+K256</f>
        <v>1050</v>
      </c>
      <c r="M256" s="40"/>
      <c r="N256" s="29">
        <f>L256+M256</f>
        <v>1050</v>
      </c>
      <c r="O256" s="15">
        <f t="shared" si="58"/>
        <v>0</v>
      </c>
    </row>
    <row r="257" spans="1:15" ht="29.25">
      <c r="A257" s="31" t="s">
        <v>306</v>
      </c>
      <c r="B257" s="116" t="s">
        <v>266</v>
      </c>
      <c r="C257" s="116" t="s">
        <v>28</v>
      </c>
      <c r="D257" s="116"/>
      <c r="E257" s="116"/>
      <c r="F257" s="116"/>
      <c r="G257" s="117"/>
      <c r="H257" s="117">
        <f>H263</f>
        <v>0</v>
      </c>
      <c r="I257" s="117">
        <f>I263</f>
        <v>31353.699999999997</v>
      </c>
      <c r="J257" s="626">
        <f>J263+J258</f>
        <v>1326</v>
      </c>
      <c r="K257" s="626">
        <f>K263+K258</f>
        <v>40</v>
      </c>
      <c r="L257" s="626">
        <f>L263+L258</f>
        <v>1366</v>
      </c>
      <c r="M257" s="130">
        <f>M263+M258</f>
        <v>0</v>
      </c>
      <c r="N257" s="118">
        <f>N263+N258</f>
        <v>660</v>
      </c>
      <c r="O257" s="15">
        <f t="shared" si="58"/>
        <v>0</v>
      </c>
    </row>
    <row r="258" spans="1:15" ht="15">
      <c r="A258" s="98" t="s">
        <v>60</v>
      </c>
      <c r="B258" s="24" t="s">
        <v>266</v>
      </c>
      <c r="C258" s="24" t="s">
        <v>28</v>
      </c>
      <c r="D258" s="24" t="s">
        <v>22</v>
      </c>
      <c r="E258" s="24"/>
      <c r="F258" s="24"/>
      <c r="G258" s="120"/>
      <c r="H258" s="120"/>
      <c r="I258" s="120"/>
      <c r="J258" s="504">
        <f>J261+J259</f>
        <v>706</v>
      </c>
      <c r="K258" s="504">
        <f>K261+K259</f>
        <v>0</v>
      </c>
      <c r="L258" s="504">
        <f>L261+L259</f>
        <v>706</v>
      </c>
      <c r="M258" s="119"/>
      <c r="N258" s="54"/>
      <c r="O258" s="15">
        <f t="shared" si="58"/>
        <v>0</v>
      </c>
    </row>
    <row r="259" spans="1:15" ht="75">
      <c r="A259" s="99" t="s">
        <v>307</v>
      </c>
      <c r="B259" s="115" t="s">
        <v>266</v>
      </c>
      <c r="C259" s="115" t="s">
        <v>28</v>
      </c>
      <c r="D259" s="115" t="s">
        <v>22</v>
      </c>
      <c r="E259" s="115" t="s">
        <v>308</v>
      </c>
      <c r="F259" s="115"/>
      <c r="G259" s="122"/>
      <c r="H259" s="122">
        <f aca="true" t="shared" si="74" ref="H259:N259">H260</f>
        <v>0</v>
      </c>
      <c r="I259" s="122">
        <f t="shared" si="74"/>
        <v>23145.3</v>
      </c>
      <c r="J259" s="26">
        <f t="shared" si="74"/>
        <v>400</v>
      </c>
      <c r="K259" s="26">
        <f t="shared" si="74"/>
        <v>0</v>
      </c>
      <c r="L259" s="26">
        <f t="shared" si="74"/>
        <v>400</v>
      </c>
      <c r="M259" s="121">
        <f t="shared" si="74"/>
        <v>0</v>
      </c>
      <c r="N259" s="41">
        <f t="shared" si="74"/>
        <v>400</v>
      </c>
      <c r="O259" s="15">
        <f t="shared" si="58"/>
        <v>0</v>
      </c>
    </row>
    <row r="260" spans="1:15" ht="15">
      <c r="A260" s="99" t="s">
        <v>6</v>
      </c>
      <c r="B260" s="115" t="s">
        <v>266</v>
      </c>
      <c r="C260" s="115" t="s">
        <v>28</v>
      </c>
      <c r="D260" s="115" t="s">
        <v>22</v>
      </c>
      <c r="E260" s="115" t="s">
        <v>308</v>
      </c>
      <c r="F260" s="115" t="s">
        <v>309</v>
      </c>
      <c r="G260" s="122"/>
      <c r="H260" s="122"/>
      <c r="I260" s="122">
        <v>23145.3</v>
      </c>
      <c r="J260" s="26">
        <v>400</v>
      </c>
      <c r="K260" s="26"/>
      <c r="L260" s="26">
        <f>J260+K260</f>
        <v>400</v>
      </c>
      <c r="M260" s="121"/>
      <c r="N260" s="54">
        <f>L260+M260</f>
        <v>400</v>
      </c>
      <c r="O260" s="15">
        <f t="shared" si="58"/>
        <v>0</v>
      </c>
    </row>
    <row r="261" spans="1:15" ht="45">
      <c r="A261" s="105" t="s">
        <v>908</v>
      </c>
      <c r="B261" s="25" t="s">
        <v>266</v>
      </c>
      <c r="C261" s="25" t="s">
        <v>28</v>
      </c>
      <c r="D261" s="25" t="s">
        <v>22</v>
      </c>
      <c r="E261" s="25" t="s">
        <v>904</v>
      </c>
      <c r="F261" s="25"/>
      <c r="G261" s="171"/>
      <c r="H261" s="171"/>
      <c r="I261" s="171"/>
      <c r="J261" s="26">
        <f>J262</f>
        <v>306</v>
      </c>
      <c r="K261" s="26">
        <f>K262</f>
        <v>0</v>
      </c>
      <c r="L261" s="26">
        <f>L262</f>
        <v>306</v>
      </c>
      <c r="M261" s="119"/>
      <c r="N261" s="54"/>
      <c r="O261" s="15">
        <f t="shared" si="58"/>
        <v>0</v>
      </c>
    </row>
    <row r="262" spans="1:15" ht="15">
      <c r="A262" s="99" t="s">
        <v>6</v>
      </c>
      <c r="B262" s="25" t="s">
        <v>266</v>
      </c>
      <c r="C262" s="25" t="s">
        <v>28</v>
      </c>
      <c r="D262" s="25" t="s">
        <v>22</v>
      </c>
      <c r="E262" s="25" t="s">
        <v>904</v>
      </c>
      <c r="F262" s="25" t="s">
        <v>330</v>
      </c>
      <c r="G262" s="171"/>
      <c r="H262" s="171"/>
      <c r="I262" s="171"/>
      <c r="J262" s="26">
        <v>306</v>
      </c>
      <c r="K262" s="26"/>
      <c r="L262" s="26">
        <f>J262+K262</f>
        <v>306</v>
      </c>
      <c r="M262" s="119"/>
      <c r="N262" s="54"/>
      <c r="O262" s="15">
        <f t="shared" si="58"/>
        <v>0</v>
      </c>
    </row>
    <row r="263" spans="1:15" ht="15">
      <c r="A263" s="23" t="s">
        <v>61</v>
      </c>
      <c r="B263" s="24" t="s">
        <v>266</v>
      </c>
      <c r="C263" s="24" t="s">
        <v>28</v>
      </c>
      <c r="D263" s="24" t="s">
        <v>24</v>
      </c>
      <c r="E263" s="24"/>
      <c r="F263" s="24"/>
      <c r="G263" s="120"/>
      <c r="H263" s="120">
        <f>H264+H266</f>
        <v>0</v>
      </c>
      <c r="I263" s="120">
        <f>I264+I266</f>
        <v>31353.699999999997</v>
      </c>
      <c r="J263" s="504">
        <f>J264+J266</f>
        <v>620</v>
      </c>
      <c r="K263" s="504">
        <f>K266+K264</f>
        <v>40</v>
      </c>
      <c r="L263" s="504">
        <f>L266+L264</f>
        <v>660</v>
      </c>
      <c r="M263" s="121">
        <f>M266+M264</f>
        <v>0</v>
      </c>
      <c r="N263" s="41">
        <f>N266+N264</f>
        <v>660</v>
      </c>
      <c r="O263" s="15">
        <f t="shared" si="58"/>
        <v>0</v>
      </c>
    </row>
    <row r="264" spans="1:15" ht="75">
      <c r="A264" s="99" t="s">
        <v>307</v>
      </c>
      <c r="B264" s="115" t="s">
        <v>266</v>
      </c>
      <c r="C264" s="115" t="s">
        <v>28</v>
      </c>
      <c r="D264" s="115" t="s">
        <v>24</v>
      </c>
      <c r="E264" s="115" t="s">
        <v>308</v>
      </c>
      <c r="F264" s="115"/>
      <c r="G264" s="122"/>
      <c r="H264" s="122">
        <f aca="true" t="shared" si="75" ref="H264:N264">H265</f>
        <v>0</v>
      </c>
      <c r="I264" s="122">
        <f t="shared" si="75"/>
        <v>23145.3</v>
      </c>
      <c r="J264" s="26">
        <f t="shared" si="75"/>
        <v>620</v>
      </c>
      <c r="K264" s="26">
        <f t="shared" si="75"/>
        <v>40</v>
      </c>
      <c r="L264" s="26">
        <f t="shared" si="75"/>
        <v>660</v>
      </c>
      <c r="M264" s="121">
        <f t="shared" si="75"/>
        <v>0</v>
      </c>
      <c r="N264" s="41">
        <f t="shared" si="75"/>
        <v>660</v>
      </c>
      <c r="O264" s="15">
        <f t="shared" si="58"/>
        <v>0</v>
      </c>
    </row>
    <row r="265" spans="1:15" ht="15">
      <c r="A265" s="99" t="s">
        <v>6</v>
      </c>
      <c r="B265" s="115" t="s">
        <v>266</v>
      </c>
      <c r="C265" s="115" t="s">
        <v>28</v>
      </c>
      <c r="D265" s="115" t="s">
        <v>24</v>
      </c>
      <c r="E265" s="115" t="s">
        <v>308</v>
      </c>
      <c r="F265" s="115" t="s">
        <v>309</v>
      </c>
      <c r="G265" s="122"/>
      <c r="H265" s="122"/>
      <c r="I265" s="122">
        <v>23145.3</v>
      </c>
      <c r="J265" s="26">
        <v>620</v>
      </c>
      <c r="K265" s="26">
        <v>40</v>
      </c>
      <c r="L265" s="26">
        <f>J265+K265</f>
        <v>660</v>
      </c>
      <c r="M265" s="121"/>
      <c r="N265" s="54">
        <f>L265+M265</f>
        <v>660</v>
      </c>
      <c r="O265" s="15">
        <f t="shared" si="58"/>
        <v>0</v>
      </c>
    </row>
    <row r="266" spans="1:15" ht="72.75" customHeight="1" hidden="1">
      <c r="A266" s="123" t="s">
        <v>310</v>
      </c>
      <c r="B266" s="124" t="s">
        <v>266</v>
      </c>
      <c r="C266" s="124" t="s">
        <v>28</v>
      </c>
      <c r="D266" s="124" t="s">
        <v>21</v>
      </c>
      <c r="E266" s="124" t="s">
        <v>311</v>
      </c>
      <c r="F266" s="124"/>
      <c r="G266" s="125"/>
      <c r="H266" s="125">
        <f aca="true" t="shared" si="76" ref="H266:N266">H267</f>
        <v>0</v>
      </c>
      <c r="I266" s="125">
        <f t="shared" si="76"/>
        <v>8208.4</v>
      </c>
      <c r="J266" s="627">
        <f t="shared" si="76"/>
        <v>0</v>
      </c>
      <c r="K266" s="627">
        <f t="shared" si="76"/>
        <v>0</v>
      </c>
      <c r="L266" s="627">
        <f t="shared" si="76"/>
        <v>0</v>
      </c>
      <c r="M266" s="40">
        <f t="shared" si="76"/>
        <v>0</v>
      </c>
      <c r="N266" s="41">
        <f t="shared" si="76"/>
        <v>0</v>
      </c>
      <c r="O266" s="15">
        <f t="shared" si="58"/>
        <v>0</v>
      </c>
    </row>
    <row r="267" spans="1:15" ht="15.75" customHeight="1" hidden="1">
      <c r="A267" s="123" t="s">
        <v>312</v>
      </c>
      <c r="B267" s="124" t="s">
        <v>266</v>
      </c>
      <c r="C267" s="124" t="s">
        <v>28</v>
      </c>
      <c r="D267" s="124" t="s">
        <v>21</v>
      </c>
      <c r="E267" s="124" t="s">
        <v>313</v>
      </c>
      <c r="F267" s="124" t="s">
        <v>301</v>
      </c>
      <c r="G267" s="125"/>
      <c r="H267" s="125"/>
      <c r="I267" s="125">
        <v>8208.4</v>
      </c>
      <c r="J267" s="627"/>
      <c r="K267" s="627"/>
      <c r="L267" s="627">
        <f>J267+K267</f>
        <v>0</v>
      </c>
      <c r="M267" s="27"/>
      <c r="N267" s="54">
        <f>L267+M267</f>
        <v>0</v>
      </c>
      <c r="O267" s="15">
        <f t="shared" si="58"/>
        <v>0</v>
      </c>
    </row>
    <row r="268" spans="1:15" ht="15">
      <c r="A268" s="126" t="s">
        <v>63</v>
      </c>
      <c r="B268" s="32" t="s">
        <v>266</v>
      </c>
      <c r="C268" s="32" t="s">
        <v>32</v>
      </c>
      <c r="D268" s="32"/>
      <c r="E268" s="32"/>
      <c r="F268" s="32"/>
      <c r="G268" s="520">
        <f aca="true" t="shared" si="77" ref="G268:N271">G269</f>
        <v>-54.4</v>
      </c>
      <c r="H268" s="520">
        <f t="shared" si="77"/>
        <v>44.5</v>
      </c>
      <c r="I268" s="520">
        <f t="shared" si="77"/>
        <v>0</v>
      </c>
      <c r="J268" s="622">
        <f t="shared" si="77"/>
        <v>115.6</v>
      </c>
      <c r="K268" s="622">
        <f t="shared" si="77"/>
        <v>0</v>
      </c>
      <c r="L268" s="622">
        <f t="shared" si="77"/>
        <v>115.6</v>
      </c>
      <c r="M268" s="38">
        <f t="shared" si="77"/>
        <v>0</v>
      </c>
      <c r="N268" s="39">
        <f t="shared" si="77"/>
        <v>27667.136</v>
      </c>
      <c r="O268" s="15">
        <f t="shared" si="58"/>
        <v>0</v>
      </c>
    </row>
    <row r="269" spans="1:15" s="102" customFormat="1" ht="29.25">
      <c r="A269" s="101" t="s">
        <v>314</v>
      </c>
      <c r="B269" s="24" t="s">
        <v>266</v>
      </c>
      <c r="C269" s="24" t="s">
        <v>32</v>
      </c>
      <c r="D269" s="24" t="s">
        <v>28</v>
      </c>
      <c r="E269" s="24"/>
      <c r="F269" s="24"/>
      <c r="G269" s="192">
        <f>G270+G285</f>
        <v>-54.4</v>
      </c>
      <c r="H269" s="192">
        <f>H270+H285</f>
        <v>44.5</v>
      </c>
      <c r="I269" s="192">
        <f>I270+I285</f>
        <v>0</v>
      </c>
      <c r="J269" s="504">
        <f>J270+J273</f>
        <v>115.6</v>
      </c>
      <c r="K269" s="504">
        <f>K270+K273</f>
        <v>0</v>
      </c>
      <c r="L269" s="504">
        <f>L270+L273</f>
        <v>115.6</v>
      </c>
      <c r="M269" s="65">
        <f>M270+M285</f>
        <v>0</v>
      </c>
      <c r="N269" s="111">
        <f>N270+N285</f>
        <v>27667.136</v>
      </c>
      <c r="O269" s="15">
        <f aca="true" t="shared" si="78" ref="O269:O332">J269+K269-L269</f>
        <v>0</v>
      </c>
    </row>
    <row r="270" spans="1:15" ht="30">
      <c r="A270" s="100" t="s">
        <v>126</v>
      </c>
      <c r="B270" s="25" t="s">
        <v>266</v>
      </c>
      <c r="C270" s="25" t="s">
        <v>32</v>
      </c>
      <c r="D270" s="25" t="s">
        <v>28</v>
      </c>
      <c r="E270" s="25" t="s">
        <v>127</v>
      </c>
      <c r="F270" s="25"/>
      <c r="G270" s="135">
        <f t="shared" si="77"/>
        <v>-54.4</v>
      </c>
      <c r="H270" s="135">
        <f t="shared" si="77"/>
        <v>44.5</v>
      </c>
      <c r="I270" s="135">
        <f t="shared" si="77"/>
        <v>0</v>
      </c>
      <c r="J270" s="26">
        <f t="shared" si="77"/>
        <v>0</v>
      </c>
      <c r="K270" s="26">
        <f t="shared" si="77"/>
        <v>0</v>
      </c>
      <c r="L270" s="26">
        <f t="shared" si="77"/>
        <v>0</v>
      </c>
      <c r="M270" s="40">
        <f t="shared" si="77"/>
        <v>0</v>
      </c>
      <c r="N270" s="41">
        <f t="shared" si="77"/>
        <v>0</v>
      </c>
      <c r="O270" s="15">
        <f t="shared" si="78"/>
        <v>0</v>
      </c>
    </row>
    <row r="271" spans="1:15" ht="30">
      <c r="A271" s="127" t="s">
        <v>143</v>
      </c>
      <c r="B271" s="25" t="s">
        <v>266</v>
      </c>
      <c r="C271" s="25" t="s">
        <v>32</v>
      </c>
      <c r="D271" s="25" t="s">
        <v>28</v>
      </c>
      <c r="E271" s="25" t="s">
        <v>129</v>
      </c>
      <c r="F271" s="25"/>
      <c r="G271" s="135">
        <f t="shared" si="77"/>
        <v>-54.4</v>
      </c>
      <c r="H271" s="135">
        <f t="shared" si="77"/>
        <v>44.5</v>
      </c>
      <c r="I271" s="135">
        <f t="shared" si="77"/>
        <v>0</v>
      </c>
      <c r="J271" s="26">
        <f t="shared" si="77"/>
        <v>0</v>
      </c>
      <c r="K271" s="26">
        <f t="shared" si="77"/>
        <v>0</v>
      </c>
      <c r="L271" s="26">
        <f t="shared" si="77"/>
        <v>0</v>
      </c>
      <c r="M271" s="40">
        <f t="shared" si="77"/>
        <v>0</v>
      </c>
      <c r="N271" s="41">
        <f t="shared" si="77"/>
        <v>0</v>
      </c>
      <c r="O271" s="15">
        <f t="shared" si="78"/>
        <v>0</v>
      </c>
    </row>
    <row r="272" spans="1:18" ht="30">
      <c r="A272" s="100" t="s">
        <v>139</v>
      </c>
      <c r="B272" s="25" t="s">
        <v>266</v>
      </c>
      <c r="C272" s="25" t="s">
        <v>32</v>
      </c>
      <c r="D272" s="25" t="s">
        <v>28</v>
      </c>
      <c r="E272" s="25" t="s">
        <v>129</v>
      </c>
      <c r="F272" s="25" t="s">
        <v>131</v>
      </c>
      <c r="G272" s="135">
        <f>-54.4</f>
        <v>-54.4</v>
      </c>
      <c r="H272" s="524">
        <v>44.5</v>
      </c>
      <c r="I272" s="135"/>
      <c r="J272" s="26">
        <v>0</v>
      </c>
      <c r="K272" s="26"/>
      <c r="L272" s="26">
        <f>J272+K272</f>
        <v>0</v>
      </c>
      <c r="M272" s="40"/>
      <c r="N272" s="29">
        <f>L272+M272</f>
        <v>0</v>
      </c>
      <c r="O272" s="15">
        <f t="shared" si="78"/>
        <v>0</v>
      </c>
      <c r="P272" s="128">
        <f>L272-O272</f>
        <v>0</v>
      </c>
      <c r="R272" s="11" t="s">
        <v>315</v>
      </c>
    </row>
    <row r="273" spans="1:15" ht="27" customHeight="1">
      <c r="A273" s="99" t="s">
        <v>307</v>
      </c>
      <c r="B273" s="25" t="s">
        <v>266</v>
      </c>
      <c r="C273" s="25" t="s">
        <v>32</v>
      </c>
      <c r="D273" s="25" t="s">
        <v>28</v>
      </c>
      <c r="E273" s="25" t="s">
        <v>308</v>
      </c>
      <c r="F273" s="25"/>
      <c r="G273" s="135">
        <f aca="true" t="shared" si="79" ref="G273:N273">G274</f>
        <v>0</v>
      </c>
      <c r="H273" s="135">
        <f t="shared" si="79"/>
        <v>3469.8</v>
      </c>
      <c r="I273" s="135">
        <f t="shared" si="79"/>
        <v>0</v>
      </c>
      <c r="J273" s="26">
        <f t="shared" si="79"/>
        <v>115.6</v>
      </c>
      <c r="K273" s="26">
        <f t="shared" si="79"/>
        <v>0</v>
      </c>
      <c r="L273" s="26">
        <f t="shared" si="79"/>
        <v>115.6</v>
      </c>
      <c r="M273" s="40">
        <f t="shared" si="79"/>
        <v>0</v>
      </c>
      <c r="N273" s="41">
        <f t="shared" si="79"/>
        <v>115.6</v>
      </c>
      <c r="O273" s="15">
        <f t="shared" si="78"/>
        <v>0</v>
      </c>
    </row>
    <row r="274" spans="1:15" ht="15">
      <c r="A274" s="99" t="s">
        <v>6</v>
      </c>
      <c r="B274" s="25" t="s">
        <v>266</v>
      </c>
      <c r="C274" s="25" t="s">
        <v>32</v>
      </c>
      <c r="D274" s="25" t="s">
        <v>28</v>
      </c>
      <c r="E274" s="25" t="s">
        <v>308</v>
      </c>
      <c r="F274" s="25" t="s">
        <v>309</v>
      </c>
      <c r="G274" s="135"/>
      <c r="H274" s="524">
        <v>3469.8</v>
      </c>
      <c r="I274" s="135"/>
      <c r="J274" s="26">
        <f>115.6</f>
        <v>115.6</v>
      </c>
      <c r="K274" s="26"/>
      <c r="L274" s="26">
        <f>J274+K274</f>
        <v>115.6</v>
      </c>
      <c r="M274" s="40"/>
      <c r="N274" s="29">
        <f>L274+M274</f>
        <v>115.6</v>
      </c>
      <c r="O274" s="15">
        <f t="shared" si="78"/>
        <v>0</v>
      </c>
    </row>
    <row r="275" spans="1:16" ht="15">
      <c r="A275" s="129" t="s">
        <v>316</v>
      </c>
      <c r="B275" s="116" t="s">
        <v>266</v>
      </c>
      <c r="C275" s="116" t="s">
        <v>53</v>
      </c>
      <c r="D275" s="116"/>
      <c r="E275" s="116"/>
      <c r="F275" s="116"/>
      <c r="G275" s="539"/>
      <c r="H275" s="540"/>
      <c r="I275" s="539"/>
      <c r="J275" s="626">
        <f aca="true" t="shared" si="80" ref="J275:L277">J276</f>
        <v>476.3785</v>
      </c>
      <c r="K275" s="626">
        <f t="shared" si="80"/>
        <v>500</v>
      </c>
      <c r="L275" s="626">
        <f t="shared" si="80"/>
        <v>976.3785</v>
      </c>
      <c r="M275" s="40"/>
      <c r="N275" s="29"/>
      <c r="O275" s="15">
        <f t="shared" si="78"/>
        <v>0</v>
      </c>
      <c r="P275" s="42"/>
    </row>
    <row r="276" spans="1:16" ht="15">
      <c r="A276" s="98" t="s">
        <v>72</v>
      </c>
      <c r="B276" s="24" t="s">
        <v>266</v>
      </c>
      <c r="C276" s="24" t="s">
        <v>53</v>
      </c>
      <c r="D276" s="24" t="s">
        <v>21</v>
      </c>
      <c r="E276" s="24"/>
      <c r="F276" s="24"/>
      <c r="G276" s="503"/>
      <c r="H276" s="192"/>
      <c r="I276" s="503"/>
      <c r="J276" s="504">
        <f>J277+J279+J281</f>
        <v>476.3785</v>
      </c>
      <c r="K276" s="504">
        <f>K277+K279+K281</f>
        <v>500</v>
      </c>
      <c r="L276" s="504">
        <f>L277+L279+L281</f>
        <v>976.3785</v>
      </c>
      <c r="M276" s="40"/>
      <c r="N276" s="29"/>
      <c r="O276" s="15">
        <f t="shared" si="78"/>
        <v>0</v>
      </c>
      <c r="P276" s="42"/>
    </row>
    <row r="277" spans="1:16" ht="75">
      <c r="A277" s="99" t="s">
        <v>307</v>
      </c>
      <c r="B277" s="25" t="s">
        <v>266</v>
      </c>
      <c r="C277" s="25" t="s">
        <v>53</v>
      </c>
      <c r="D277" s="25" t="s">
        <v>21</v>
      </c>
      <c r="E277" s="25" t="s">
        <v>308</v>
      </c>
      <c r="F277" s="25"/>
      <c r="G277" s="135"/>
      <c r="H277" s="524"/>
      <c r="I277" s="135"/>
      <c r="J277" s="26">
        <f t="shared" si="80"/>
        <v>476.3785</v>
      </c>
      <c r="K277" s="26">
        <f t="shared" si="80"/>
        <v>500</v>
      </c>
      <c r="L277" s="26">
        <f t="shared" si="80"/>
        <v>976.3785</v>
      </c>
      <c r="M277" s="40"/>
      <c r="N277" s="29"/>
      <c r="O277" s="15">
        <f t="shared" si="78"/>
        <v>0</v>
      </c>
      <c r="P277" s="42"/>
    </row>
    <row r="278" spans="1:16" ht="15">
      <c r="A278" s="99" t="s">
        <v>6</v>
      </c>
      <c r="B278" s="25" t="s">
        <v>266</v>
      </c>
      <c r="C278" s="25" t="s">
        <v>53</v>
      </c>
      <c r="D278" s="25" t="s">
        <v>21</v>
      </c>
      <c r="E278" s="25" t="s">
        <v>308</v>
      </c>
      <c r="F278" s="25" t="s">
        <v>309</v>
      </c>
      <c r="G278" s="135"/>
      <c r="H278" s="524"/>
      <c r="I278" s="135"/>
      <c r="J278" s="26">
        <f>476.3785</f>
        <v>476.3785</v>
      </c>
      <c r="K278" s="26">
        <v>500</v>
      </c>
      <c r="L278" s="26">
        <f>J278+K278</f>
        <v>976.3785</v>
      </c>
      <c r="M278" s="40"/>
      <c r="N278" s="29"/>
      <c r="O278" s="15">
        <f t="shared" si="78"/>
        <v>0</v>
      </c>
      <c r="P278" s="42"/>
    </row>
    <row r="279" spans="1:16" ht="30" hidden="1">
      <c r="A279" s="131" t="s">
        <v>143</v>
      </c>
      <c r="B279" s="44" t="s">
        <v>266</v>
      </c>
      <c r="C279" s="44" t="s">
        <v>53</v>
      </c>
      <c r="D279" s="44" t="s">
        <v>21</v>
      </c>
      <c r="E279" s="44" t="s">
        <v>317</v>
      </c>
      <c r="F279" s="44"/>
      <c r="G279" s="135"/>
      <c r="H279" s="524"/>
      <c r="I279" s="135"/>
      <c r="J279" s="26">
        <f>J280</f>
        <v>0</v>
      </c>
      <c r="K279" s="26">
        <f>K280</f>
        <v>0</v>
      </c>
      <c r="L279" s="26">
        <f>L280</f>
        <v>0</v>
      </c>
      <c r="M279" s="40"/>
      <c r="N279" s="29"/>
      <c r="O279" s="15">
        <f t="shared" si="78"/>
        <v>0</v>
      </c>
      <c r="P279" s="42">
        <f>K278+K280+K282-150</f>
        <v>350</v>
      </c>
    </row>
    <row r="280" spans="1:16" ht="30" hidden="1">
      <c r="A280" s="131" t="s">
        <v>139</v>
      </c>
      <c r="B280" s="44" t="s">
        <v>266</v>
      </c>
      <c r="C280" s="44" t="s">
        <v>53</v>
      </c>
      <c r="D280" s="44" t="s">
        <v>21</v>
      </c>
      <c r="E280" s="44" t="s">
        <v>317</v>
      </c>
      <c r="F280" s="44" t="s">
        <v>309</v>
      </c>
      <c r="G280" s="135"/>
      <c r="H280" s="524"/>
      <c r="I280" s="135"/>
      <c r="J280" s="26"/>
      <c r="K280" s="26"/>
      <c r="L280" s="26">
        <f>J280+K280</f>
        <v>0</v>
      </c>
      <c r="M280" s="40"/>
      <c r="N280" s="29"/>
      <c r="O280" s="15">
        <f t="shared" si="78"/>
        <v>0</v>
      </c>
      <c r="P280" s="42"/>
    </row>
    <row r="281" spans="1:16" ht="30" hidden="1">
      <c r="A281" s="131" t="s">
        <v>143</v>
      </c>
      <c r="B281" s="44" t="s">
        <v>266</v>
      </c>
      <c r="C281" s="44" t="s">
        <v>53</v>
      </c>
      <c r="D281" s="44" t="s">
        <v>21</v>
      </c>
      <c r="E281" s="44" t="s">
        <v>318</v>
      </c>
      <c r="F281" s="44"/>
      <c r="G281" s="135"/>
      <c r="H281" s="524"/>
      <c r="I281" s="135"/>
      <c r="J281" s="26">
        <f>J282</f>
        <v>0</v>
      </c>
      <c r="K281" s="26">
        <f>K282</f>
        <v>0</v>
      </c>
      <c r="L281" s="26">
        <f>L282</f>
        <v>0</v>
      </c>
      <c r="M281" s="40"/>
      <c r="N281" s="29"/>
      <c r="O281" s="15">
        <f t="shared" si="78"/>
        <v>0</v>
      </c>
      <c r="P281" s="42"/>
    </row>
    <row r="282" spans="1:16" ht="30" hidden="1">
      <c r="A282" s="131" t="s">
        <v>139</v>
      </c>
      <c r="B282" s="44" t="s">
        <v>266</v>
      </c>
      <c r="C282" s="44" t="s">
        <v>53</v>
      </c>
      <c r="D282" s="44" t="s">
        <v>21</v>
      </c>
      <c r="E282" s="44" t="s">
        <v>318</v>
      </c>
      <c r="F282" s="44" t="s">
        <v>309</v>
      </c>
      <c r="G282" s="135"/>
      <c r="H282" s="524"/>
      <c r="I282" s="135"/>
      <c r="J282" s="26"/>
      <c r="K282" s="26"/>
      <c r="L282" s="26">
        <f>J282+K282</f>
        <v>0</v>
      </c>
      <c r="M282" s="40"/>
      <c r="N282" s="29"/>
      <c r="O282" s="15">
        <f t="shared" si="78"/>
        <v>0</v>
      </c>
      <c r="P282" s="42">
        <f>K278+K280+K282-150</f>
        <v>350</v>
      </c>
    </row>
    <row r="283" spans="1:15" ht="15">
      <c r="A283" s="31" t="s">
        <v>134</v>
      </c>
      <c r="B283" s="32" t="s">
        <v>266</v>
      </c>
      <c r="C283" s="32" t="s">
        <v>47</v>
      </c>
      <c r="D283" s="25"/>
      <c r="E283" s="25"/>
      <c r="F283" s="25"/>
      <c r="G283" s="524" t="e">
        <f>G284+G301+G342+G325</f>
        <v>#REF!</v>
      </c>
      <c r="H283" s="524">
        <f>H284+H301+H342+H325</f>
        <v>40695.8</v>
      </c>
      <c r="I283" s="524">
        <f>I284+I301+I342+I325</f>
        <v>0</v>
      </c>
      <c r="J283" s="26">
        <f aca="true" t="shared" si="81" ref="J283:L285">J284</f>
        <v>26945.319</v>
      </c>
      <c r="K283" s="26">
        <f t="shared" si="81"/>
        <v>721.817</v>
      </c>
      <c r="L283" s="26">
        <f t="shared" si="81"/>
        <v>27667.136</v>
      </c>
      <c r="M283" s="40"/>
      <c r="N283" s="29"/>
      <c r="O283" s="15">
        <f t="shared" si="78"/>
        <v>0</v>
      </c>
    </row>
    <row r="284" spans="1:15" ht="29.25">
      <c r="A284" s="23" t="s">
        <v>78</v>
      </c>
      <c r="B284" s="24" t="s">
        <v>266</v>
      </c>
      <c r="C284" s="24" t="s">
        <v>47</v>
      </c>
      <c r="D284" s="24" t="s">
        <v>21</v>
      </c>
      <c r="E284" s="25"/>
      <c r="F284" s="25"/>
      <c r="G284" s="522">
        <f>G288+G292+G285</f>
        <v>528</v>
      </c>
      <c r="H284" s="522">
        <f>H288+H292+H285</f>
        <v>38359.8</v>
      </c>
      <c r="I284" s="522">
        <f>I288+I292+I285</f>
        <v>0</v>
      </c>
      <c r="J284" s="622">
        <f t="shared" si="81"/>
        <v>26945.319</v>
      </c>
      <c r="K284" s="622">
        <f t="shared" si="81"/>
        <v>721.817</v>
      </c>
      <c r="L284" s="622">
        <f t="shared" si="81"/>
        <v>27667.136</v>
      </c>
      <c r="M284" s="40"/>
      <c r="N284" s="29"/>
      <c r="O284" s="15">
        <f t="shared" si="78"/>
        <v>0</v>
      </c>
    </row>
    <row r="285" spans="1:15" ht="58.5" customHeight="1">
      <c r="A285" s="132" t="s">
        <v>155</v>
      </c>
      <c r="B285" s="25" t="s">
        <v>266</v>
      </c>
      <c r="C285" s="25" t="s">
        <v>47</v>
      </c>
      <c r="D285" s="25" t="s">
        <v>21</v>
      </c>
      <c r="E285" s="25" t="s">
        <v>156</v>
      </c>
      <c r="F285" s="25"/>
      <c r="G285" s="135"/>
      <c r="H285" s="524"/>
      <c r="I285" s="135"/>
      <c r="J285" s="26">
        <f t="shared" si="81"/>
        <v>26945.319</v>
      </c>
      <c r="K285" s="26">
        <f t="shared" si="81"/>
        <v>721.817</v>
      </c>
      <c r="L285" s="26">
        <f t="shared" si="81"/>
        <v>27667.136</v>
      </c>
      <c r="M285" s="28">
        <f>M286</f>
        <v>0</v>
      </c>
      <c r="N285" s="29">
        <f>N286</f>
        <v>27667.136</v>
      </c>
      <c r="O285" s="15">
        <f t="shared" si="78"/>
        <v>0</v>
      </c>
    </row>
    <row r="286" spans="1:15" ht="45.75" customHeight="1">
      <c r="A286" s="132" t="s">
        <v>157</v>
      </c>
      <c r="B286" s="25" t="s">
        <v>266</v>
      </c>
      <c r="C286" s="25" t="s">
        <v>47</v>
      </c>
      <c r="D286" s="25" t="s">
        <v>21</v>
      </c>
      <c r="E286" s="25" t="s">
        <v>156</v>
      </c>
      <c r="F286" s="25" t="s">
        <v>158</v>
      </c>
      <c r="G286" s="135"/>
      <c r="H286" s="524"/>
      <c r="I286" s="135"/>
      <c r="J286" s="26">
        <v>26945.319</v>
      </c>
      <c r="K286" s="26">
        <v>721.817</v>
      </c>
      <c r="L286" s="26">
        <f>J286+K286</f>
        <v>27667.136</v>
      </c>
      <c r="M286" s="28"/>
      <c r="N286" s="29">
        <f>L286+M286</f>
        <v>27667.136</v>
      </c>
      <c r="O286" s="15">
        <f t="shared" si="78"/>
        <v>0</v>
      </c>
    </row>
    <row r="287" spans="1:15" ht="15">
      <c r="A287" s="31" t="s">
        <v>82</v>
      </c>
      <c r="B287" s="32" t="s">
        <v>266</v>
      </c>
      <c r="C287" s="32" t="s">
        <v>34</v>
      </c>
      <c r="D287" s="32"/>
      <c r="E287" s="32"/>
      <c r="F287" s="32"/>
      <c r="G287" s="520" t="e">
        <f>G288+G293+G301+G306</f>
        <v>#REF!</v>
      </c>
      <c r="H287" s="520" t="e">
        <f>H288+H293+H301+H306</f>
        <v>#REF!</v>
      </c>
      <c r="I287" s="520" t="e">
        <f>I288+I293+I301+I306</f>
        <v>#REF!</v>
      </c>
      <c r="J287" s="622">
        <f>J288+J293+J301</f>
        <v>79.444</v>
      </c>
      <c r="K287" s="622">
        <f>K288+K293+K301</f>
        <v>0</v>
      </c>
      <c r="L287" s="622">
        <f>L288+L293+L301</f>
        <v>79.444</v>
      </c>
      <c r="M287" s="38" t="e">
        <f>M288+M293+M301+M306</f>
        <v>#REF!</v>
      </c>
      <c r="N287" s="39" t="e">
        <f>N288+N293+N301+N306</f>
        <v>#REF!</v>
      </c>
      <c r="O287" s="15">
        <f t="shared" si="78"/>
        <v>0</v>
      </c>
    </row>
    <row r="288" spans="1:15" s="102" customFormat="1" ht="15">
      <c r="A288" s="98" t="s">
        <v>319</v>
      </c>
      <c r="B288" s="24" t="s">
        <v>266</v>
      </c>
      <c r="C288" s="24" t="s">
        <v>34</v>
      </c>
      <c r="D288" s="24" t="s">
        <v>21</v>
      </c>
      <c r="E288" s="24"/>
      <c r="F288" s="24"/>
      <c r="G288" s="503">
        <f aca="true" t="shared" si="82" ref="G288:M288">G289+G291</f>
        <v>264</v>
      </c>
      <c r="H288" s="503">
        <f t="shared" si="82"/>
        <v>20914.8</v>
      </c>
      <c r="I288" s="503">
        <f t="shared" si="82"/>
        <v>0</v>
      </c>
      <c r="J288" s="504">
        <f t="shared" si="82"/>
        <v>79.444</v>
      </c>
      <c r="K288" s="504">
        <f t="shared" si="82"/>
        <v>0</v>
      </c>
      <c r="L288" s="504">
        <f t="shared" si="82"/>
        <v>79.444</v>
      </c>
      <c r="M288" s="505">
        <f t="shared" si="82"/>
        <v>8.4</v>
      </c>
      <c r="N288" s="86">
        <f>N289+N291</f>
        <v>87.84400000000001</v>
      </c>
      <c r="O288" s="15">
        <f t="shared" si="78"/>
        <v>0</v>
      </c>
    </row>
    <row r="289" spans="1:15" ht="27" customHeight="1">
      <c r="A289" s="99" t="s">
        <v>307</v>
      </c>
      <c r="B289" s="25" t="s">
        <v>266</v>
      </c>
      <c r="C289" s="25" t="s">
        <v>34</v>
      </c>
      <c r="D289" s="25" t="s">
        <v>21</v>
      </c>
      <c r="E289" s="25" t="s">
        <v>308</v>
      </c>
      <c r="F289" s="25"/>
      <c r="G289" s="135">
        <f aca="true" t="shared" si="83" ref="G289:N289">G290</f>
        <v>0</v>
      </c>
      <c r="H289" s="135">
        <f t="shared" si="83"/>
        <v>3469.8</v>
      </c>
      <c r="I289" s="135">
        <f t="shared" si="83"/>
        <v>0</v>
      </c>
      <c r="J289" s="26">
        <f t="shared" si="83"/>
        <v>79.444</v>
      </c>
      <c r="K289" s="26">
        <f t="shared" si="83"/>
        <v>0</v>
      </c>
      <c r="L289" s="26">
        <f t="shared" si="83"/>
        <v>79.444</v>
      </c>
      <c r="M289" s="40">
        <f t="shared" si="83"/>
        <v>0</v>
      </c>
      <c r="N289" s="41">
        <f t="shared" si="83"/>
        <v>79.444</v>
      </c>
      <c r="O289" s="15">
        <f t="shared" si="78"/>
        <v>0</v>
      </c>
    </row>
    <row r="290" spans="1:15" ht="15">
      <c r="A290" s="99" t="s">
        <v>6</v>
      </c>
      <c r="B290" s="25" t="s">
        <v>266</v>
      </c>
      <c r="C290" s="25" t="s">
        <v>34</v>
      </c>
      <c r="D290" s="25" t="s">
        <v>21</v>
      </c>
      <c r="E290" s="25" t="s">
        <v>308</v>
      </c>
      <c r="F290" s="25" t="s">
        <v>309</v>
      </c>
      <c r="G290" s="135"/>
      <c r="H290" s="524">
        <v>3469.8</v>
      </c>
      <c r="I290" s="135"/>
      <c r="J290" s="26">
        <v>79.444</v>
      </c>
      <c r="K290" s="26"/>
      <c r="L290" s="26">
        <f>J290+K290</f>
        <v>79.444</v>
      </c>
      <c r="M290" s="40"/>
      <c r="N290" s="29">
        <f>L290+M290</f>
        <v>79.444</v>
      </c>
      <c r="O290" s="15">
        <f t="shared" si="78"/>
        <v>0</v>
      </c>
    </row>
    <row r="291" spans="1:15" ht="45" hidden="1">
      <c r="A291" s="100" t="s">
        <v>320</v>
      </c>
      <c r="B291" s="25" t="s">
        <v>266</v>
      </c>
      <c r="C291" s="25" t="s">
        <v>34</v>
      </c>
      <c r="D291" s="25" t="s">
        <v>21</v>
      </c>
      <c r="E291" s="25" t="s">
        <v>321</v>
      </c>
      <c r="F291" s="25"/>
      <c r="G291" s="135">
        <f aca="true" t="shared" si="84" ref="G291:N291">G292</f>
        <v>264</v>
      </c>
      <c r="H291" s="135">
        <f t="shared" si="84"/>
        <v>17445</v>
      </c>
      <c r="I291" s="135">
        <f t="shared" si="84"/>
        <v>0</v>
      </c>
      <c r="J291" s="26">
        <f t="shared" si="84"/>
        <v>0</v>
      </c>
      <c r="K291" s="26">
        <f t="shared" si="84"/>
        <v>0</v>
      </c>
      <c r="L291" s="26">
        <f t="shared" si="84"/>
        <v>0</v>
      </c>
      <c r="M291" s="40">
        <f t="shared" si="84"/>
        <v>8.4</v>
      </c>
      <c r="N291" s="41">
        <f t="shared" si="84"/>
        <v>8.4</v>
      </c>
      <c r="O291" s="15">
        <f t="shared" si="78"/>
        <v>0</v>
      </c>
    </row>
    <row r="292" spans="1:15" ht="15" hidden="1">
      <c r="A292" s="100" t="s">
        <v>322</v>
      </c>
      <c r="B292" s="25" t="s">
        <v>266</v>
      </c>
      <c r="C292" s="25" t="s">
        <v>34</v>
      </c>
      <c r="D292" s="25" t="s">
        <v>21</v>
      </c>
      <c r="E292" s="25" t="s">
        <v>321</v>
      </c>
      <c r="F292" s="25" t="s">
        <v>323</v>
      </c>
      <c r="G292" s="135">
        <v>264</v>
      </c>
      <c r="H292" s="524">
        <v>17445</v>
      </c>
      <c r="I292" s="135"/>
      <c r="J292" s="26"/>
      <c r="K292" s="26"/>
      <c r="L292" s="26">
        <f>J292+K292</f>
        <v>0</v>
      </c>
      <c r="M292" s="40">
        <f>8.4</f>
        <v>8.4</v>
      </c>
      <c r="N292" s="29">
        <f>L292+M292</f>
        <v>8.4</v>
      </c>
      <c r="O292" s="15">
        <f t="shared" si="78"/>
        <v>0</v>
      </c>
    </row>
    <row r="293" spans="1:15" s="102" customFormat="1" ht="57.75" hidden="1">
      <c r="A293" s="133" t="s">
        <v>324</v>
      </c>
      <c r="B293" s="24" t="s">
        <v>266</v>
      </c>
      <c r="C293" s="24" t="s">
        <v>34</v>
      </c>
      <c r="D293" s="24" t="s">
        <v>22</v>
      </c>
      <c r="E293" s="24"/>
      <c r="F293" s="24"/>
      <c r="G293" s="503">
        <f aca="true" t="shared" si="85" ref="G293:N293">G294</f>
        <v>0</v>
      </c>
      <c r="H293" s="503">
        <f t="shared" si="85"/>
        <v>9363.8</v>
      </c>
      <c r="I293" s="503">
        <f t="shared" si="85"/>
        <v>0</v>
      </c>
      <c r="J293" s="504">
        <f t="shared" si="85"/>
        <v>0</v>
      </c>
      <c r="K293" s="504">
        <f>K294</f>
        <v>0</v>
      </c>
      <c r="L293" s="504">
        <f t="shared" si="85"/>
        <v>0</v>
      </c>
      <c r="M293" s="505">
        <f t="shared" si="85"/>
        <v>-768</v>
      </c>
      <c r="N293" s="86">
        <f t="shared" si="85"/>
        <v>-768</v>
      </c>
      <c r="O293" s="15">
        <f t="shared" si="78"/>
        <v>0</v>
      </c>
    </row>
    <row r="294" spans="1:15" ht="105" hidden="1">
      <c r="A294" s="132" t="s">
        <v>325</v>
      </c>
      <c r="B294" s="25" t="s">
        <v>266</v>
      </c>
      <c r="C294" s="25" t="s">
        <v>34</v>
      </c>
      <c r="D294" s="25" t="s">
        <v>22</v>
      </c>
      <c r="E294" s="25" t="s">
        <v>326</v>
      </c>
      <c r="F294" s="25"/>
      <c r="G294" s="135">
        <f aca="true" t="shared" si="86" ref="G294:M294">G297+G299+G295</f>
        <v>0</v>
      </c>
      <c r="H294" s="135">
        <f t="shared" si="86"/>
        <v>9363.8</v>
      </c>
      <c r="I294" s="135">
        <f t="shared" si="86"/>
        <v>0</v>
      </c>
      <c r="J294" s="26">
        <f t="shared" si="86"/>
        <v>0</v>
      </c>
      <c r="K294" s="26">
        <f t="shared" si="86"/>
        <v>0</v>
      </c>
      <c r="L294" s="26">
        <f t="shared" si="86"/>
        <v>0</v>
      </c>
      <c r="M294" s="40">
        <f t="shared" si="86"/>
        <v>-768</v>
      </c>
      <c r="N294" s="41">
        <f>N297+N299+N295</f>
        <v>-768</v>
      </c>
      <c r="O294" s="15">
        <f t="shared" si="78"/>
        <v>0</v>
      </c>
    </row>
    <row r="295" spans="1:15" ht="48" customHeight="1" hidden="1">
      <c r="A295" s="132" t="s">
        <v>327</v>
      </c>
      <c r="B295" s="25" t="s">
        <v>266</v>
      </c>
      <c r="C295" s="25" t="s">
        <v>34</v>
      </c>
      <c r="D295" s="25" t="s">
        <v>22</v>
      </c>
      <c r="E295" s="25" t="s">
        <v>328</v>
      </c>
      <c r="F295" s="25"/>
      <c r="G295" s="135">
        <f aca="true" t="shared" si="87" ref="G295:N295">G296</f>
        <v>0</v>
      </c>
      <c r="H295" s="135">
        <f t="shared" si="87"/>
        <v>4300</v>
      </c>
      <c r="I295" s="135">
        <f t="shared" si="87"/>
        <v>0</v>
      </c>
      <c r="J295" s="26">
        <f t="shared" si="87"/>
        <v>0</v>
      </c>
      <c r="K295" s="26">
        <f>K296</f>
        <v>0</v>
      </c>
      <c r="L295" s="26">
        <f t="shared" si="87"/>
        <v>0</v>
      </c>
      <c r="M295" s="40">
        <f t="shared" si="87"/>
        <v>-768</v>
      </c>
      <c r="N295" s="41">
        <f t="shared" si="87"/>
        <v>-768</v>
      </c>
      <c r="O295" s="15">
        <f t="shared" si="78"/>
        <v>0</v>
      </c>
    </row>
    <row r="296" spans="1:15" ht="33" customHeight="1" hidden="1">
      <c r="A296" s="132" t="s">
        <v>329</v>
      </c>
      <c r="B296" s="25" t="s">
        <v>266</v>
      </c>
      <c r="C296" s="25" t="s">
        <v>34</v>
      </c>
      <c r="D296" s="25" t="s">
        <v>22</v>
      </c>
      <c r="E296" s="25" t="s">
        <v>328</v>
      </c>
      <c r="F296" s="25" t="s">
        <v>330</v>
      </c>
      <c r="G296" s="135"/>
      <c r="H296" s="524">
        <v>4300</v>
      </c>
      <c r="I296" s="135"/>
      <c r="J296" s="26"/>
      <c r="K296" s="26"/>
      <c r="L296" s="26">
        <f>J296+K296</f>
        <v>0</v>
      </c>
      <c r="M296" s="40">
        <f>-768</f>
        <v>-768</v>
      </c>
      <c r="N296" s="29">
        <f>L296+M296</f>
        <v>-768</v>
      </c>
      <c r="O296" s="15">
        <f t="shared" si="78"/>
        <v>0</v>
      </c>
    </row>
    <row r="297" spans="1:15" ht="18.75" customHeight="1" hidden="1">
      <c r="A297" s="132" t="s">
        <v>331</v>
      </c>
      <c r="B297" s="25" t="s">
        <v>266</v>
      </c>
      <c r="C297" s="25" t="s">
        <v>34</v>
      </c>
      <c r="D297" s="25" t="s">
        <v>22</v>
      </c>
      <c r="E297" s="25" t="s">
        <v>332</v>
      </c>
      <c r="F297" s="25"/>
      <c r="G297" s="135">
        <f aca="true" t="shared" si="88" ref="G297:N297">G298</f>
        <v>0</v>
      </c>
      <c r="H297" s="135">
        <f t="shared" si="88"/>
        <v>3301.5</v>
      </c>
      <c r="I297" s="135">
        <f t="shared" si="88"/>
        <v>0</v>
      </c>
      <c r="J297" s="26">
        <f t="shared" si="88"/>
        <v>0</v>
      </c>
      <c r="K297" s="26">
        <f t="shared" si="88"/>
        <v>0</v>
      </c>
      <c r="L297" s="26">
        <f t="shared" si="88"/>
        <v>0</v>
      </c>
      <c r="M297" s="40">
        <f t="shared" si="88"/>
        <v>0</v>
      </c>
      <c r="N297" s="41">
        <f t="shared" si="88"/>
        <v>0</v>
      </c>
      <c r="O297" s="15">
        <f t="shared" si="78"/>
        <v>0</v>
      </c>
    </row>
    <row r="298" spans="1:15" ht="23.25" customHeight="1" hidden="1">
      <c r="A298" s="132" t="s">
        <v>329</v>
      </c>
      <c r="B298" s="25" t="s">
        <v>266</v>
      </c>
      <c r="C298" s="25" t="s">
        <v>34</v>
      </c>
      <c r="D298" s="25" t="s">
        <v>22</v>
      </c>
      <c r="E298" s="25" t="s">
        <v>332</v>
      </c>
      <c r="F298" s="25" t="s">
        <v>330</v>
      </c>
      <c r="G298" s="135"/>
      <c r="H298" s="62">
        <v>3301.5</v>
      </c>
      <c r="I298" s="62"/>
      <c r="J298" s="26"/>
      <c r="K298" s="26"/>
      <c r="L298" s="26">
        <f>J298+K298</f>
        <v>0</v>
      </c>
      <c r="M298" s="40"/>
      <c r="N298" s="29">
        <f>L298+M298</f>
        <v>0</v>
      </c>
      <c r="O298" s="15">
        <f t="shared" si="78"/>
        <v>0</v>
      </c>
    </row>
    <row r="299" spans="1:15" ht="75" hidden="1">
      <c r="A299" s="132" t="s">
        <v>333</v>
      </c>
      <c r="B299" s="25" t="s">
        <v>266</v>
      </c>
      <c r="C299" s="25" t="s">
        <v>34</v>
      </c>
      <c r="D299" s="25" t="s">
        <v>22</v>
      </c>
      <c r="E299" s="25" t="s">
        <v>334</v>
      </c>
      <c r="F299" s="25"/>
      <c r="G299" s="135">
        <f aca="true" t="shared" si="89" ref="G299:N299">G300</f>
        <v>0</v>
      </c>
      <c r="H299" s="135">
        <f t="shared" si="89"/>
        <v>1762.3</v>
      </c>
      <c r="I299" s="135">
        <f t="shared" si="89"/>
        <v>0</v>
      </c>
      <c r="J299" s="26">
        <f t="shared" si="89"/>
        <v>0</v>
      </c>
      <c r="K299" s="26">
        <f t="shared" si="89"/>
        <v>0</v>
      </c>
      <c r="L299" s="26">
        <f t="shared" si="89"/>
        <v>0</v>
      </c>
      <c r="M299" s="40">
        <f t="shared" si="89"/>
        <v>0</v>
      </c>
      <c r="N299" s="41">
        <f t="shared" si="89"/>
        <v>0</v>
      </c>
      <c r="O299" s="15">
        <f t="shared" si="78"/>
        <v>0</v>
      </c>
    </row>
    <row r="300" spans="1:15" ht="15" hidden="1">
      <c r="A300" s="132" t="s">
        <v>329</v>
      </c>
      <c r="B300" s="25" t="s">
        <v>266</v>
      </c>
      <c r="C300" s="25" t="s">
        <v>34</v>
      </c>
      <c r="D300" s="25" t="s">
        <v>22</v>
      </c>
      <c r="E300" s="25" t="s">
        <v>334</v>
      </c>
      <c r="F300" s="25" t="s">
        <v>330</v>
      </c>
      <c r="G300" s="135"/>
      <c r="H300" s="62">
        <v>1762.3</v>
      </c>
      <c r="I300" s="62"/>
      <c r="J300" s="26"/>
      <c r="K300" s="26"/>
      <c r="L300" s="26">
        <f>J300+K300</f>
        <v>0</v>
      </c>
      <c r="M300" s="40"/>
      <c r="N300" s="29">
        <f>L300+M300</f>
        <v>0</v>
      </c>
      <c r="O300" s="15">
        <f t="shared" si="78"/>
        <v>0</v>
      </c>
    </row>
    <row r="301" spans="1:18" s="102" customFormat="1" ht="43.5" hidden="1">
      <c r="A301" s="133" t="s">
        <v>335</v>
      </c>
      <c r="B301" s="24" t="s">
        <v>266</v>
      </c>
      <c r="C301" s="24" t="s">
        <v>34</v>
      </c>
      <c r="D301" s="24" t="s">
        <v>24</v>
      </c>
      <c r="E301" s="24"/>
      <c r="F301" s="24"/>
      <c r="G301" s="503">
        <f aca="true" t="shared" si="90" ref="G301:N302">G302</f>
        <v>42.8</v>
      </c>
      <c r="H301" s="503">
        <f t="shared" si="90"/>
        <v>573.7</v>
      </c>
      <c r="I301" s="503">
        <f t="shared" si="90"/>
        <v>0</v>
      </c>
      <c r="J301" s="504">
        <f t="shared" si="90"/>
        <v>0</v>
      </c>
      <c r="K301" s="504">
        <f t="shared" si="90"/>
        <v>0</v>
      </c>
      <c r="L301" s="504">
        <f t="shared" si="90"/>
        <v>0</v>
      </c>
      <c r="M301" s="505">
        <f t="shared" si="90"/>
        <v>0</v>
      </c>
      <c r="N301" s="86">
        <f t="shared" si="90"/>
        <v>0</v>
      </c>
      <c r="O301" s="15">
        <f t="shared" si="78"/>
        <v>0</v>
      </c>
      <c r="R301" s="134"/>
    </row>
    <row r="302" spans="1:15" ht="24.75" customHeight="1" hidden="1">
      <c r="A302" s="132" t="s">
        <v>336</v>
      </c>
      <c r="B302" s="25" t="s">
        <v>266</v>
      </c>
      <c r="C302" s="25" t="s">
        <v>34</v>
      </c>
      <c r="D302" s="25" t="s">
        <v>24</v>
      </c>
      <c r="E302" s="25" t="s">
        <v>291</v>
      </c>
      <c r="F302" s="25"/>
      <c r="G302" s="135">
        <f t="shared" si="90"/>
        <v>42.8</v>
      </c>
      <c r="H302" s="135">
        <f t="shared" si="90"/>
        <v>573.7</v>
      </c>
      <c r="I302" s="135">
        <f t="shared" si="90"/>
        <v>0</v>
      </c>
      <c r="J302" s="26">
        <f t="shared" si="90"/>
        <v>0</v>
      </c>
      <c r="K302" s="26">
        <f t="shared" si="90"/>
        <v>0</v>
      </c>
      <c r="L302" s="26">
        <f t="shared" si="90"/>
        <v>0</v>
      </c>
      <c r="M302" s="40">
        <f t="shared" si="90"/>
        <v>0</v>
      </c>
      <c r="N302" s="41">
        <f t="shared" si="90"/>
        <v>0</v>
      </c>
      <c r="O302" s="15">
        <f t="shared" si="78"/>
        <v>0</v>
      </c>
    </row>
    <row r="303" spans="1:16" ht="23.25" customHeight="1" hidden="1" thickBot="1">
      <c r="A303" s="132" t="s">
        <v>337</v>
      </c>
      <c r="B303" s="25" t="s">
        <v>266</v>
      </c>
      <c r="C303" s="25" t="s">
        <v>34</v>
      </c>
      <c r="D303" s="25" t="s">
        <v>24</v>
      </c>
      <c r="E303" s="25" t="s">
        <v>291</v>
      </c>
      <c r="F303" s="25" t="s">
        <v>293</v>
      </c>
      <c r="G303" s="135">
        <v>42.8</v>
      </c>
      <c r="H303" s="135">
        <v>573.7</v>
      </c>
      <c r="I303" s="135"/>
      <c r="J303" s="26"/>
      <c r="K303" s="26"/>
      <c r="L303" s="26">
        <f>J303+K303</f>
        <v>0</v>
      </c>
      <c r="M303" s="76"/>
      <c r="N303" s="46">
        <f>L303+M303</f>
        <v>0</v>
      </c>
      <c r="O303" s="15">
        <f t="shared" si="78"/>
        <v>0</v>
      </c>
      <c r="P303" s="15">
        <f>K303</f>
        <v>0</v>
      </c>
    </row>
    <row r="304" spans="1:15" ht="29.25">
      <c r="A304" s="136" t="s">
        <v>33</v>
      </c>
      <c r="B304" s="116" t="s">
        <v>266</v>
      </c>
      <c r="C304" s="116" t="s">
        <v>37</v>
      </c>
      <c r="D304" s="116"/>
      <c r="E304" s="137"/>
      <c r="F304" s="137"/>
      <c r="G304" s="541" t="e">
        <f>#REF!</f>
        <v>#REF!</v>
      </c>
      <c r="H304" s="542" t="e">
        <f>#REF!+H306</f>
        <v>#REF!</v>
      </c>
      <c r="I304" s="542" t="e">
        <f>#REF!+I306</f>
        <v>#REF!</v>
      </c>
      <c r="J304" s="626">
        <f>J306</f>
        <v>162.07</v>
      </c>
      <c r="K304" s="626">
        <f>K306</f>
        <v>-1.62704</v>
      </c>
      <c r="L304" s="626">
        <f>L306</f>
        <v>160.44296</v>
      </c>
      <c r="M304" s="138"/>
      <c r="N304" s="46"/>
      <c r="O304" s="15">
        <f t="shared" si="78"/>
        <v>0</v>
      </c>
    </row>
    <row r="305" spans="1:15" ht="43.5">
      <c r="A305" s="133" t="s">
        <v>100</v>
      </c>
      <c r="B305" s="24" t="s">
        <v>266</v>
      </c>
      <c r="C305" s="24" t="s">
        <v>37</v>
      </c>
      <c r="D305" s="24" t="s">
        <v>21</v>
      </c>
      <c r="E305" s="25"/>
      <c r="F305" s="25"/>
      <c r="G305" s="135"/>
      <c r="H305" s="524"/>
      <c r="I305" s="524"/>
      <c r="J305" s="504">
        <f aca="true" t="shared" si="91" ref="J305:L306">J306</f>
        <v>162.07</v>
      </c>
      <c r="K305" s="504">
        <f t="shared" si="91"/>
        <v>-1.62704</v>
      </c>
      <c r="L305" s="504">
        <f t="shared" si="91"/>
        <v>160.44296</v>
      </c>
      <c r="M305" s="138"/>
      <c r="N305" s="46"/>
      <c r="O305" s="15">
        <f t="shared" si="78"/>
        <v>0</v>
      </c>
    </row>
    <row r="306" spans="1:15" ht="26.25" customHeight="1">
      <c r="A306" s="100" t="s">
        <v>279</v>
      </c>
      <c r="B306" s="25" t="s">
        <v>266</v>
      </c>
      <c r="C306" s="25" t="s">
        <v>37</v>
      </c>
      <c r="D306" s="25" t="s">
        <v>21</v>
      </c>
      <c r="E306" s="25" t="s">
        <v>280</v>
      </c>
      <c r="F306" s="25"/>
      <c r="G306" s="135" t="e">
        <f>#REF!</f>
        <v>#REF!</v>
      </c>
      <c r="H306" s="524" t="e">
        <f>#REF!+H307</f>
        <v>#REF!</v>
      </c>
      <c r="I306" s="524" t="e">
        <f>#REF!+I307</f>
        <v>#REF!</v>
      </c>
      <c r="J306" s="26">
        <f t="shared" si="91"/>
        <v>162.07</v>
      </c>
      <c r="K306" s="26">
        <f t="shared" si="91"/>
        <v>-1.62704</v>
      </c>
      <c r="L306" s="26">
        <f t="shared" si="91"/>
        <v>160.44296</v>
      </c>
      <c r="M306" s="139" t="e">
        <f>#REF!+M307</f>
        <v>#REF!</v>
      </c>
      <c r="N306" s="29" t="e">
        <f>#REF!+N307</f>
        <v>#REF!</v>
      </c>
      <c r="O306" s="15">
        <f t="shared" si="78"/>
        <v>0</v>
      </c>
    </row>
    <row r="307" spans="1:15" ht="29.25" customHeight="1">
      <c r="A307" s="100" t="s">
        <v>281</v>
      </c>
      <c r="B307" s="25" t="s">
        <v>266</v>
      </c>
      <c r="C307" s="25" t="s">
        <v>37</v>
      </c>
      <c r="D307" s="25" t="s">
        <v>21</v>
      </c>
      <c r="E307" s="25" t="s">
        <v>282</v>
      </c>
      <c r="F307" s="25"/>
      <c r="G307" s="135"/>
      <c r="H307" s="524">
        <f aca="true" t="shared" si="92" ref="H307:N307">H308</f>
        <v>0</v>
      </c>
      <c r="I307" s="524">
        <f t="shared" si="92"/>
        <v>0</v>
      </c>
      <c r="J307" s="26">
        <f t="shared" si="92"/>
        <v>162.07</v>
      </c>
      <c r="K307" s="26">
        <f t="shared" si="92"/>
        <v>-1.62704</v>
      </c>
      <c r="L307" s="26">
        <f t="shared" si="92"/>
        <v>160.44296</v>
      </c>
      <c r="M307" s="28">
        <f t="shared" si="92"/>
        <v>0</v>
      </c>
      <c r="N307" s="29">
        <f t="shared" si="92"/>
        <v>160.44296</v>
      </c>
      <c r="O307" s="15">
        <f t="shared" si="78"/>
        <v>0</v>
      </c>
    </row>
    <row r="308" spans="1:16" ht="15.75" customHeight="1">
      <c r="A308" s="100" t="s">
        <v>283</v>
      </c>
      <c r="B308" s="25" t="s">
        <v>266</v>
      </c>
      <c r="C308" s="25" t="s">
        <v>37</v>
      </c>
      <c r="D308" s="25" t="s">
        <v>21</v>
      </c>
      <c r="E308" s="25" t="s">
        <v>282</v>
      </c>
      <c r="F308" s="25" t="s">
        <v>284</v>
      </c>
      <c r="G308" s="135"/>
      <c r="H308" s="524"/>
      <c r="I308" s="135"/>
      <c r="J308" s="26">
        <v>162.07</v>
      </c>
      <c r="K308" s="26">
        <v>-1.62704</v>
      </c>
      <c r="L308" s="26">
        <f>J308+K308</f>
        <v>160.44296</v>
      </c>
      <c r="M308" s="40"/>
      <c r="N308" s="29">
        <f>L308+M308</f>
        <v>160.44296</v>
      </c>
      <c r="O308" s="15">
        <f t="shared" si="78"/>
        <v>0</v>
      </c>
      <c r="P308" s="14">
        <f>L308-O308</f>
        <v>160.44296</v>
      </c>
    </row>
    <row r="309" spans="1:15" ht="57.75" customHeight="1">
      <c r="A309" s="103" t="s">
        <v>338</v>
      </c>
      <c r="B309" s="32" t="s">
        <v>266</v>
      </c>
      <c r="C309" s="32" t="s">
        <v>39</v>
      </c>
      <c r="D309" s="32" t="s">
        <v>288</v>
      </c>
      <c r="E309" s="32"/>
      <c r="F309" s="32"/>
      <c r="G309" s="520"/>
      <c r="H309" s="522"/>
      <c r="I309" s="520"/>
      <c r="J309" s="622">
        <f>J310+J316+J318</f>
        <v>34700.998</v>
      </c>
      <c r="K309" s="622">
        <f>K310+K316+K318</f>
        <v>200</v>
      </c>
      <c r="L309" s="622">
        <f>L310+L316+L318</f>
        <v>34900.998</v>
      </c>
      <c r="M309" s="40"/>
      <c r="N309" s="29"/>
      <c r="O309" s="15">
        <f t="shared" si="78"/>
        <v>0</v>
      </c>
    </row>
    <row r="310" spans="1:15" ht="54.75" customHeight="1">
      <c r="A310" s="133" t="s">
        <v>339</v>
      </c>
      <c r="B310" s="24" t="s">
        <v>266</v>
      </c>
      <c r="C310" s="24" t="s">
        <v>39</v>
      </c>
      <c r="D310" s="24" t="s">
        <v>21</v>
      </c>
      <c r="E310" s="24"/>
      <c r="F310" s="24"/>
      <c r="G310" s="503"/>
      <c r="H310" s="192"/>
      <c r="I310" s="503"/>
      <c r="J310" s="504">
        <f>J311</f>
        <v>25131.672</v>
      </c>
      <c r="K310" s="504">
        <f>K311</f>
        <v>0</v>
      </c>
      <c r="L310" s="504">
        <f>L311</f>
        <v>25131.672</v>
      </c>
      <c r="M310" s="40"/>
      <c r="N310" s="29"/>
      <c r="O310" s="15">
        <f t="shared" si="78"/>
        <v>0</v>
      </c>
    </row>
    <row r="311" spans="1:15" ht="27.75" customHeight="1">
      <c r="A311" s="57" t="s">
        <v>340</v>
      </c>
      <c r="B311" s="25" t="s">
        <v>266</v>
      </c>
      <c r="C311" s="25" t="s">
        <v>39</v>
      </c>
      <c r="D311" s="25" t="s">
        <v>21</v>
      </c>
      <c r="E311" s="115" t="s">
        <v>341</v>
      </c>
      <c r="F311" s="25"/>
      <c r="G311" s="135"/>
      <c r="H311" s="524"/>
      <c r="I311" s="135"/>
      <c r="J311" s="26">
        <f>J312+J314</f>
        <v>25131.672</v>
      </c>
      <c r="K311" s="26">
        <f>K312+K314</f>
        <v>0</v>
      </c>
      <c r="L311" s="26">
        <f>J311+K311</f>
        <v>25131.672</v>
      </c>
      <c r="M311" s="40"/>
      <c r="N311" s="29"/>
      <c r="O311" s="15">
        <f t="shared" si="78"/>
        <v>0</v>
      </c>
    </row>
    <row r="312" spans="1:15" ht="58.5" customHeight="1">
      <c r="A312" s="57" t="s">
        <v>342</v>
      </c>
      <c r="B312" s="25" t="s">
        <v>266</v>
      </c>
      <c r="C312" s="25" t="s">
        <v>39</v>
      </c>
      <c r="D312" s="25" t="s">
        <v>21</v>
      </c>
      <c r="E312" s="25" t="s">
        <v>343</v>
      </c>
      <c r="F312" s="25"/>
      <c r="G312" s="135"/>
      <c r="H312" s="524"/>
      <c r="I312" s="135"/>
      <c r="J312" s="26">
        <f>J313</f>
        <v>4269.5</v>
      </c>
      <c r="K312" s="26">
        <f>K313</f>
        <v>0</v>
      </c>
      <c r="L312" s="26">
        <f>L313</f>
        <v>4269.5</v>
      </c>
      <c r="M312" s="40"/>
      <c r="N312" s="29"/>
      <c r="O312" s="15">
        <f t="shared" si="78"/>
        <v>0</v>
      </c>
    </row>
    <row r="313" spans="1:15" ht="14.25" customHeight="1">
      <c r="A313" s="57" t="s">
        <v>344</v>
      </c>
      <c r="B313" s="25" t="s">
        <v>266</v>
      </c>
      <c r="C313" s="25" t="s">
        <v>39</v>
      </c>
      <c r="D313" s="25" t="s">
        <v>21</v>
      </c>
      <c r="E313" s="25" t="s">
        <v>343</v>
      </c>
      <c r="F313" s="25" t="s">
        <v>323</v>
      </c>
      <c r="G313" s="135"/>
      <c r="H313" s="524"/>
      <c r="I313" s="135"/>
      <c r="J313" s="26">
        <v>4269.5</v>
      </c>
      <c r="K313" s="26"/>
      <c r="L313" s="628">
        <f>J313+K313</f>
        <v>4269.5</v>
      </c>
      <c r="M313" s="40"/>
      <c r="N313" s="29"/>
      <c r="O313" s="15">
        <f t="shared" si="78"/>
        <v>0</v>
      </c>
    </row>
    <row r="314" spans="1:15" ht="57.75" customHeight="1">
      <c r="A314" s="57" t="s">
        <v>345</v>
      </c>
      <c r="B314" s="25" t="s">
        <v>266</v>
      </c>
      <c r="C314" s="25" t="s">
        <v>39</v>
      </c>
      <c r="D314" s="25" t="s">
        <v>21</v>
      </c>
      <c r="E314" s="25" t="s">
        <v>321</v>
      </c>
      <c r="F314" s="25"/>
      <c r="G314" s="135"/>
      <c r="H314" s="524"/>
      <c r="I314" s="135"/>
      <c r="J314" s="26">
        <f>J315</f>
        <v>20862.172</v>
      </c>
      <c r="K314" s="26">
        <f>K315</f>
        <v>0</v>
      </c>
      <c r="L314" s="26">
        <f>L315</f>
        <v>20862.172</v>
      </c>
      <c r="M314" s="40"/>
      <c r="N314" s="29"/>
      <c r="O314" s="15">
        <f t="shared" si="78"/>
        <v>0</v>
      </c>
    </row>
    <row r="315" spans="1:16" ht="16.5" customHeight="1">
      <c r="A315" s="57" t="s">
        <v>344</v>
      </c>
      <c r="B315" s="25" t="s">
        <v>266</v>
      </c>
      <c r="C315" s="25" t="s">
        <v>39</v>
      </c>
      <c r="D315" s="25" t="s">
        <v>21</v>
      </c>
      <c r="E315" s="25" t="s">
        <v>321</v>
      </c>
      <c r="F315" s="25" t="s">
        <v>323</v>
      </c>
      <c r="G315" s="135"/>
      <c r="H315" s="524"/>
      <c r="I315" s="135"/>
      <c r="J315" s="26">
        <v>20862.172</v>
      </c>
      <c r="K315" s="26"/>
      <c r="L315" s="628">
        <f>J315+K315</f>
        <v>20862.172</v>
      </c>
      <c r="M315" s="40"/>
      <c r="N315" s="29"/>
      <c r="O315" s="15">
        <f t="shared" si="78"/>
        <v>0</v>
      </c>
      <c r="P315" s="42">
        <f>K315-O315</f>
        <v>0</v>
      </c>
    </row>
    <row r="316" spans="1:15" ht="15" customHeight="1" hidden="1">
      <c r="A316" s="133" t="s">
        <v>104</v>
      </c>
      <c r="B316" s="24" t="s">
        <v>266</v>
      </c>
      <c r="C316" s="24" t="s">
        <v>39</v>
      </c>
      <c r="D316" s="24" t="s">
        <v>22</v>
      </c>
      <c r="E316" s="24"/>
      <c r="F316" s="24"/>
      <c r="G316" s="503"/>
      <c r="H316" s="192"/>
      <c r="I316" s="503"/>
      <c r="J316" s="504">
        <f>J317</f>
        <v>0</v>
      </c>
      <c r="K316" s="504">
        <f>K317</f>
        <v>0</v>
      </c>
      <c r="L316" s="504">
        <f>L317</f>
        <v>0</v>
      </c>
      <c r="M316" s="40"/>
      <c r="N316" s="29"/>
      <c r="O316" s="15">
        <f t="shared" si="78"/>
        <v>0</v>
      </c>
    </row>
    <row r="317" spans="1:15" ht="18" customHeight="1" hidden="1">
      <c r="A317" s="43" t="s">
        <v>104</v>
      </c>
      <c r="B317" s="44" t="s">
        <v>266</v>
      </c>
      <c r="C317" s="44" t="s">
        <v>39</v>
      </c>
      <c r="D317" s="44" t="s">
        <v>22</v>
      </c>
      <c r="E317" s="44" t="s">
        <v>346</v>
      </c>
      <c r="F317" s="44"/>
      <c r="G317" s="525"/>
      <c r="H317" s="526"/>
      <c r="I317" s="525"/>
      <c r="J317" s="623">
        <f>H317+I317</f>
        <v>0</v>
      </c>
      <c r="K317" s="623"/>
      <c r="L317" s="623">
        <f>J317+K317</f>
        <v>0</v>
      </c>
      <c r="M317" s="40"/>
      <c r="N317" s="29"/>
      <c r="O317" s="15">
        <f t="shared" si="78"/>
        <v>0</v>
      </c>
    </row>
    <row r="318" spans="1:15" ht="56.25" customHeight="1">
      <c r="A318" s="133" t="s">
        <v>105</v>
      </c>
      <c r="B318" s="24" t="s">
        <v>266</v>
      </c>
      <c r="C318" s="24" t="s">
        <v>39</v>
      </c>
      <c r="D318" s="24" t="s">
        <v>24</v>
      </c>
      <c r="E318" s="24"/>
      <c r="F318" s="24"/>
      <c r="G318" s="503"/>
      <c r="H318" s="192"/>
      <c r="I318" s="503"/>
      <c r="J318" s="504">
        <f>J321+J319</f>
        <v>9569.326000000001</v>
      </c>
      <c r="K318" s="504">
        <f>K321+K319</f>
        <v>200</v>
      </c>
      <c r="L318" s="504">
        <f>J318+K318</f>
        <v>9769.326000000001</v>
      </c>
      <c r="M318" s="40"/>
      <c r="N318" s="29"/>
      <c r="O318" s="15">
        <f t="shared" si="78"/>
        <v>0</v>
      </c>
    </row>
    <row r="319" spans="1:15" ht="75">
      <c r="A319" s="99" t="s">
        <v>307</v>
      </c>
      <c r="B319" s="25" t="s">
        <v>266</v>
      </c>
      <c r="C319" s="25" t="s">
        <v>39</v>
      </c>
      <c r="D319" s="25" t="s">
        <v>24</v>
      </c>
      <c r="E319" s="25" t="s">
        <v>308</v>
      </c>
      <c r="F319" s="25"/>
      <c r="G319" s="503"/>
      <c r="H319" s="192"/>
      <c r="I319" s="503"/>
      <c r="J319" s="26">
        <f>J320</f>
        <v>1667.326</v>
      </c>
      <c r="K319" s="26">
        <f>K320</f>
        <v>200</v>
      </c>
      <c r="L319" s="26">
        <f>L320</f>
        <v>1867.326</v>
      </c>
      <c r="M319" s="40"/>
      <c r="N319" s="29"/>
      <c r="O319" s="15">
        <f t="shared" si="78"/>
        <v>0</v>
      </c>
    </row>
    <row r="320" spans="1:15" ht="15">
      <c r="A320" s="99" t="s">
        <v>6</v>
      </c>
      <c r="B320" s="25" t="s">
        <v>266</v>
      </c>
      <c r="C320" s="25" t="s">
        <v>39</v>
      </c>
      <c r="D320" s="25" t="s">
        <v>24</v>
      </c>
      <c r="E320" s="25" t="s">
        <v>308</v>
      </c>
      <c r="F320" s="25" t="s">
        <v>309</v>
      </c>
      <c r="G320" s="503"/>
      <c r="H320" s="192"/>
      <c r="I320" s="503"/>
      <c r="J320" s="26">
        <v>1667.326</v>
      </c>
      <c r="K320" s="26">
        <f>130+70</f>
        <v>200</v>
      </c>
      <c r="L320" s="26">
        <f>J320+K320</f>
        <v>1867.326</v>
      </c>
      <c r="M320" s="40"/>
      <c r="N320" s="29"/>
      <c r="O320" s="15">
        <f t="shared" si="78"/>
        <v>0</v>
      </c>
    </row>
    <row r="321" spans="1:15" ht="58.5" customHeight="1">
      <c r="A321" s="132" t="s">
        <v>325</v>
      </c>
      <c r="B321" s="115" t="s">
        <v>266</v>
      </c>
      <c r="C321" s="115" t="s">
        <v>39</v>
      </c>
      <c r="D321" s="115" t="s">
        <v>24</v>
      </c>
      <c r="E321" s="115" t="s">
        <v>326</v>
      </c>
      <c r="F321" s="543"/>
      <c r="G321" s="64"/>
      <c r="H321" s="63"/>
      <c r="I321" s="64"/>
      <c r="J321" s="26">
        <f>J324+J322</f>
        <v>7902</v>
      </c>
      <c r="K321" s="26">
        <f>K324+K322</f>
        <v>0</v>
      </c>
      <c r="L321" s="26">
        <f>L324+L322</f>
        <v>7902</v>
      </c>
      <c r="M321" s="40"/>
      <c r="N321" s="29"/>
      <c r="O321" s="15">
        <f t="shared" si="78"/>
        <v>0</v>
      </c>
    </row>
    <row r="322" spans="1:15" ht="42.75" customHeight="1">
      <c r="A322" s="132" t="s">
        <v>327</v>
      </c>
      <c r="B322" s="115" t="s">
        <v>266</v>
      </c>
      <c r="C322" s="115" t="s">
        <v>39</v>
      </c>
      <c r="D322" s="115" t="s">
        <v>24</v>
      </c>
      <c r="E322" s="115" t="s">
        <v>328</v>
      </c>
      <c r="F322" s="115"/>
      <c r="G322" s="62">
        <f aca="true" t="shared" si="93" ref="G322:L322">G323</f>
        <v>0</v>
      </c>
      <c r="H322" s="62">
        <f t="shared" si="93"/>
        <v>4300</v>
      </c>
      <c r="I322" s="62">
        <f t="shared" si="93"/>
        <v>0</v>
      </c>
      <c r="J322" s="26">
        <f t="shared" si="93"/>
        <v>2088.2</v>
      </c>
      <c r="K322" s="26">
        <f>K323</f>
        <v>0</v>
      </c>
      <c r="L322" s="26">
        <f t="shared" si="93"/>
        <v>2088.2</v>
      </c>
      <c r="M322" s="138"/>
      <c r="N322" s="141"/>
      <c r="O322" s="15">
        <f t="shared" si="78"/>
        <v>0</v>
      </c>
    </row>
    <row r="323" spans="1:15" ht="15" customHeight="1">
      <c r="A323" s="132" t="s">
        <v>329</v>
      </c>
      <c r="B323" s="115" t="s">
        <v>266</v>
      </c>
      <c r="C323" s="115" t="s">
        <v>39</v>
      </c>
      <c r="D323" s="115" t="s">
        <v>24</v>
      </c>
      <c r="E323" s="115" t="s">
        <v>328</v>
      </c>
      <c r="F323" s="115" t="s">
        <v>330</v>
      </c>
      <c r="G323" s="62"/>
      <c r="H323" s="61">
        <v>4300</v>
      </c>
      <c r="I323" s="62"/>
      <c r="J323" s="26">
        <v>2088.2</v>
      </c>
      <c r="K323" s="26"/>
      <c r="L323" s="628">
        <f>J323+K323</f>
        <v>2088.2</v>
      </c>
      <c r="M323" s="138"/>
      <c r="N323" s="141"/>
      <c r="O323" s="15">
        <f t="shared" si="78"/>
        <v>0</v>
      </c>
    </row>
    <row r="324" spans="1:15" ht="57" customHeight="1">
      <c r="A324" s="132" t="s">
        <v>333</v>
      </c>
      <c r="B324" s="115" t="s">
        <v>266</v>
      </c>
      <c r="C324" s="115" t="s">
        <v>39</v>
      </c>
      <c r="D324" s="115" t="s">
        <v>24</v>
      </c>
      <c r="E324" s="115" t="s">
        <v>334</v>
      </c>
      <c r="F324" s="115"/>
      <c r="G324" s="64"/>
      <c r="H324" s="63"/>
      <c r="I324" s="64"/>
      <c r="J324" s="26">
        <f>J325</f>
        <v>5813.8</v>
      </c>
      <c r="K324" s="26">
        <f>K325</f>
        <v>0</v>
      </c>
      <c r="L324" s="26">
        <f>L325</f>
        <v>5813.8</v>
      </c>
      <c r="M324" s="138"/>
      <c r="N324" s="141"/>
      <c r="O324" s="15">
        <f t="shared" si="78"/>
        <v>0</v>
      </c>
    </row>
    <row r="325" spans="1:15" ht="18" customHeight="1">
      <c r="A325" s="132" t="s">
        <v>329</v>
      </c>
      <c r="B325" s="115" t="s">
        <v>266</v>
      </c>
      <c r="C325" s="115" t="s">
        <v>39</v>
      </c>
      <c r="D325" s="115" t="s">
        <v>24</v>
      </c>
      <c r="E325" s="115" t="s">
        <v>334</v>
      </c>
      <c r="F325" s="115" t="s">
        <v>330</v>
      </c>
      <c r="G325" s="62"/>
      <c r="H325" s="62">
        <v>1762.3</v>
      </c>
      <c r="I325" s="62"/>
      <c r="J325" s="26">
        <v>5813.8</v>
      </c>
      <c r="K325" s="26"/>
      <c r="L325" s="628">
        <f>J325+K325</f>
        <v>5813.8</v>
      </c>
      <c r="M325" s="138"/>
      <c r="N325" s="141"/>
      <c r="O325" s="15">
        <f t="shared" si="78"/>
        <v>0</v>
      </c>
    </row>
    <row r="326" spans="1:15" ht="30" thickBot="1">
      <c r="A326" s="529" t="s">
        <v>347</v>
      </c>
      <c r="B326" s="194" t="s">
        <v>348</v>
      </c>
      <c r="C326" s="194"/>
      <c r="D326" s="194"/>
      <c r="E326" s="194"/>
      <c r="F326" s="194"/>
      <c r="G326" s="196" t="e">
        <f aca="true" t="shared" si="94" ref="G326:M326">G327+G338</f>
        <v>#REF!</v>
      </c>
      <c r="H326" s="196">
        <f t="shared" si="94"/>
        <v>42203.4</v>
      </c>
      <c r="I326" s="196">
        <f t="shared" si="94"/>
        <v>0</v>
      </c>
      <c r="J326" s="621">
        <f t="shared" si="94"/>
        <v>61452.6665</v>
      </c>
      <c r="K326" s="621">
        <f t="shared" si="94"/>
        <v>191.12552</v>
      </c>
      <c r="L326" s="621">
        <f t="shared" si="94"/>
        <v>61643.79201999999</v>
      </c>
      <c r="M326" s="81">
        <f t="shared" si="94"/>
        <v>135.5</v>
      </c>
      <c r="N326" s="82">
        <f>N327+N338</f>
        <v>47894.369609999994</v>
      </c>
      <c r="O326" s="15">
        <f t="shared" si="78"/>
        <v>0</v>
      </c>
    </row>
    <row r="327" spans="1:15" ht="15" hidden="1">
      <c r="A327" s="544" t="s">
        <v>63</v>
      </c>
      <c r="B327" s="32" t="s">
        <v>348</v>
      </c>
      <c r="C327" s="32" t="s">
        <v>32</v>
      </c>
      <c r="D327" s="25"/>
      <c r="E327" s="25"/>
      <c r="F327" s="25"/>
      <c r="G327" s="520">
        <f aca="true" t="shared" si="95" ref="G327:N330">G328</f>
        <v>0</v>
      </c>
      <c r="H327" s="522">
        <f aca="true" t="shared" si="96" ref="H327:N327">H328+H334</f>
        <v>50</v>
      </c>
      <c r="I327" s="522">
        <f t="shared" si="96"/>
        <v>0</v>
      </c>
      <c r="J327" s="622">
        <f t="shared" si="96"/>
        <v>732.4675</v>
      </c>
      <c r="K327" s="622">
        <f t="shared" si="96"/>
        <v>0</v>
      </c>
      <c r="L327" s="622">
        <f t="shared" si="96"/>
        <v>732.4675</v>
      </c>
      <c r="M327" s="21">
        <f t="shared" si="96"/>
        <v>0</v>
      </c>
      <c r="N327" s="22">
        <f t="shared" si="96"/>
        <v>732.4675</v>
      </c>
      <c r="O327" s="15">
        <f t="shared" si="78"/>
        <v>0</v>
      </c>
    </row>
    <row r="328" spans="1:15" s="102" customFormat="1" ht="15" hidden="1">
      <c r="A328" s="142" t="s">
        <v>314</v>
      </c>
      <c r="B328" s="24" t="s">
        <v>348</v>
      </c>
      <c r="C328" s="24" t="s">
        <v>32</v>
      </c>
      <c r="D328" s="24" t="s">
        <v>28</v>
      </c>
      <c r="E328" s="24"/>
      <c r="F328" s="24"/>
      <c r="G328" s="192">
        <f aca="true" t="shared" si="97" ref="G328:M328">G329+G332</f>
        <v>0</v>
      </c>
      <c r="H328" s="192">
        <f t="shared" si="97"/>
        <v>50</v>
      </c>
      <c r="I328" s="192">
        <f t="shared" si="97"/>
        <v>0</v>
      </c>
      <c r="J328" s="504">
        <f t="shared" si="97"/>
        <v>0</v>
      </c>
      <c r="K328" s="504">
        <f t="shared" si="97"/>
        <v>0</v>
      </c>
      <c r="L328" s="504">
        <f t="shared" si="97"/>
        <v>0</v>
      </c>
      <c r="M328" s="65">
        <f t="shared" si="97"/>
        <v>0</v>
      </c>
      <c r="N328" s="111">
        <f>N329+N332</f>
        <v>0</v>
      </c>
      <c r="O328" s="15">
        <f t="shared" si="78"/>
        <v>0</v>
      </c>
    </row>
    <row r="329" spans="1:15" ht="30" hidden="1">
      <c r="A329" s="132" t="s">
        <v>126</v>
      </c>
      <c r="B329" s="25" t="s">
        <v>348</v>
      </c>
      <c r="C329" s="25" t="s">
        <v>32</v>
      </c>
      <c r="D329" s="25" t="s">
        <v>28</v>
      </c>
      <c r="E329" s="25" t="s">
        <v>127</v>
      </c>
      <c r="F329" s="25"/>
      <c r="G329" s="135">
        <f t="shared" si="95"/>
        <v>-50</v>
      </c>
      <c r="H329" s="135">
        <f t="shared" si="95"/>
        <v>50</v>
      </c>
      <c r="I329" s="135">
        <f t="shared" si="95"/>
        <v>0</v>
      </c>
      <c r="J329" s="26">
        <f t="shared" si="95"/>
        <v>0</v>
      </c>
      <c r="K329" s="26">
        <f t="shared" si="95"/>
        <v>0</v>
      </c>
      <c r="L329" s="26">
        <f t="shared" si="95"/>
        <v>0</v>
      </c>
      <c r="M329" s="40">
        <f t="shared" si="95"/>
        <v>0</v>
      </c>
      <c r="N329" s="41">
        <f t="shared" si="95"/>
        <v>0</v>
      </c>
      <c r="O329" s="15">
        <f t="shared" si="78"/>
        <v>0</v>
      </c>
    </row>
    <row r="330" spans="1:15" ht="30" hidden="1">
      <c r="A330" s="132" t="s">
        <v>349</v>
      </c>
      <c r="B330" s="25" t="s">
        <v>348</v>
      </c>
      <c r="C330" s="25" t="s">
        <v>32</v>
      </c>
      <c r="D330" s="25" t="s">
        <v>28</v>
      </c>
      <c r="E330" s="25" t="s">
        <v>129</v>
      </c>
      <c r="F330" s="25"/>
      <c r="G330" s="135">
        <f t="shared" si="95"/>
        <v>-50</v>
      </c>
      <c r="H330" s="135">
        <f t="shared" si="95"/>
        <v>50</v>
      </c>
      <c r="I330" s="135">
        <f t="shared" si="95"/>
        <v>0</v>
      </c>
      <c r="J330" s="26">
        <f t="shared" si="95"/>
        <v>0</v>
      </c>
      <c r="K330" s="26">
        <f t="shared" si="95"/>
        <v>0</v>
      </c>
      <c r="L330" s="26">
        <f t="shared" si="95"/>
        <v>0</v>
      </c>
      <c r="M330" s="40">
        <f t="shared" si="95"/>
        <v>0</v>
      </c>
      <c r="N330" s="41">
        <f t="shared" si="95"/>
        <v>0</v>
      </c>
      <c r="O330" s="15">
        <f t="shared" si="78"/>
        <v>0</v>
      </c>
    </row>
    <row r="331" spans="1:15" ht="29.25" customHeight="1" hidden="1">
      <c r="A331" s="132" t="s">
        <v>139</v>
      </c>
      <c r="B331" s="25" t="s">
        <v>348</v>
      </c>
      <c r="C331" s="25" t="s">
        <v>32</v>
      </c>
      <c r="D331" s="25" t="s">
        <v>28</v>
      </c>
      <c r="E331" s="25" t="s">
        <v>129</v>
      </c>
      <c r="F331" s="25" t="s">
        <v>230</v>
      </c>
      <c r="G331" s="135">
        <v>-50</v>
      </c>
      <c r="H331" s="524">
        <v>50</v>
      </c>
      <c r="I331" s="135"/>
      <c r="J331" s="26"/>
      <c r="K331" s="26"/>
      <c r="L331" s="26">
        <f>J331+K331</f>
        <v>0</v>
      </c>
      <c r="M331" s="40"/>
      <c r="N331" s="29">
        <f>L331+M331</f>
        <v>0</v>
      </c>
      <c r="O331" s="15">
        <f t="shared" si="78"/>
        <v>0</v>
      </c>
    </row>
    <row r="332" spans="1:15" ht="27" customHeight="1" hidden="1">
      <c r="A332" s="30" t="s">
        <v>128</v>
      </c>
      <c r="B332" s="25" t="s">
        <v>348</v>
      </c>
      <c r="C332" s="25" t="s">
        <v>32</v>
      </c>
      <c r="D332" s="25" t="s">
        <v>28</v>
      </c>
      <c r="E332" s="25" t="s">
        <v>132</v>
      </c>
      <c r="F332" s="25"/>
      <c r="G332" s="524">
        <f aca="true" t="shared" si="98" ref="G332:N332">G333</f>
        <v>50</v>
      </c>
      <c r="H332" s="524">
        <f t="shared" si="98"/>
        <v>0</v>
      </c>
      <c r="I332" s="524">
        <f t="shared" si="98"/>
        <v>0</v>
      </c>
      <c r="J332" s="26">
        <f t="shared" si="98"/>
        <v>0</v>
      </c>
      <c r="K332" s="26">
        <f t="shared" si="98"/>
        <v>0</v>
      </c>
      <c r="L332" s="26">
        <f t="shared" si="98"/>
        <v>0</v>
      </c>
      <c r="M332" s="28">
        <f t="shared" si="98"/>
        <v>0</v>
      </c>
      <c r="N332" s="29">
        <f t="shared" si="98"/>
        <v>0</v>
      </c>
      <c r="O332" s="15">
        <f t="shared" si="78"/>
        <v>0</v>
      </c>
    </row>
    <row r="333" spans="1:15" ht="26.25" customHeight="1" hidden="1">
      <c r="A333" s="30" t="s">
        <v>133</v>
      </c>
      <c r="B333" s="25" t="s">
        <v>348</v>
      </c>
      <c r="C333" s="25" t="s">
        <v>32</v>
      </c>
      <c r="D333" s="25" t="s">
        <v>28</v>
      </c>
      <c r="E333" s="25" t="s">
        <v>132</v>
      </c>
      <c r="F333" s="25" t="s">
        <v>131</v>
      </c>
      <c r="G333" s="524">
        <v>50</v>
      </c>
      <c r="H333" s="524"/>
      <c r="I333" s="524"/>
      <c r="J333" s="26">
        <f>H333+I333</f>
        <v>0</v>
      </c>
      <c r="K333" s="26"/>
      <c r="L333" s="26">
        <f>J333+K333</f>
        <v>0</v>
      </c>
      <c r="M333" s="28"/>
      <c r="N333" s="29">
        <f>L333+M333</f>
        <v>0</v>
      </c>
      <c r="O333" s="15">
        <f aca="true" t="shared" si="99" ref="O333:O396">J333+K333-L333</f>
        <v>0</v>
      </c>
    </row>
    <row r="334" spans="1:15" ht="28.5" customHeight="1">
      <c r="A334" s="23" t="s">
        <v>68</v>
      </c>
      <c r="B334" s="24" t="s">
        <v>348</v>
      </c>
      <c r="C334" s="24" t="s">
        <v>32</v>
      </c>
      <c r="D334" s="24" t="s">
        <v>32</v>
      </c>
      <c r="E334" s="24"/>
      <c r="F334" s="24"/>
      <c r="G334" s="503" t="e">
        <f aca="true" t="shared" si="100" ref="G334:N336">G335</f>
        <v>#REF!</v>
      </c>
      <c r="H334" s="503">
        <f t="shared" si="100"/>
        <v>0</v>
      </c>
      <c r="I334" s="503">
        <f t="shared" si="100"/>
        <v>0</v>
      </c>
      <c r="J334" s="504">
        <f t="shared" si="100"/>
        <v>732.4675</v>
      </c>
      <c r="K334" s="504">
        <f t="shared" si="100"/>
        <v>0</v>
      </c>
      <c r="L334" s="504">
        <f t="shared" si="100"/>
        <v>732.4675</v>
      </c>
      <c r="M334" s="505">
        <f t="shared" si="100"/>
        <v>0</v>
      </c>
      <c r="N334" s="86">
        <f t="shared" si="100"/>
        <v>732.4675</v>
      </c>
      <c r="O334" s="15">
        <f t="shared" si="99"/>
        <v>0</v>
      </c>
    </row>
    <row r="335" spans="1:15" ht="30" customHeight="1">
      <c r="A335" s="30" t="s">
        <v>224</v>
      </c>
      <c r="B335" s="25" t="s">
        <v>348</v>
      </c>
      <c r="C335" s="25" t="s">
        <v>32</v>
      </c>
      <c r="D335" s="25" t="s">
        <v>32</v>
      </c>
      <c r="E335" s="25" t="s">
        <v>225</v>
      </c>
      <c r="F335" s="25"/>
      <c r="G335" s="135" t="e">
        <f t="shared" si="100"/>
        <v>#REF!</v>
      </c>
      <c r="H335" s="135">
        <f t="shared" si="100"/>
        <v>0</v>
      </c>
      <c r="I335" s="135">
        <f t="shared" si="100"/>
        <v>0</v>
      </c>
      <c r="J335" s="26">
        <f t="shared" si="100"/>
        <v>732.4675</v>
      </c>
      <c r="K335" s="26">
        <f t="shared" si="100"/>
        <v>0</v>
      </c>
      <c r="L335" s="26">
        <f t="shared" si="100"/>
        <v>732.4675</v>
      </c>
      <c r="M335" s="40">
        <f t="shared" si="100"/>
        <v>0</v>
      </c>
      <c r="N335" s="41">
        <f t="shared" si="100"/>
        <v>732.4675</v>
      </c>
      <c r="O335" s="15">
        <f t="shared" si="99"/>
        <v>0</v>
      </c>
    </row>
    <row r="336" spans="1:15" ht="15" customHeight="1">
      <c r="A336" s="30" t="s">
        <v>226</v>
      </c>
      <c r="B336" s="25" t="s">
        <v>348</v>
      </c>
      <c r="C336" s="25" t="s">
        <v>32</v>
      </c>
      <c r="D336" s="25" t="s">
        <v>32</v>
      </c>
      <c r="E336" s="25" t="s">
        <v>227</v>
      </c>
      <c r="F336" s="25"/>
      <c r="G336" s="135" t="e">
        <f>G337+#REF!</f>
        <v>#REF!</v>
      </c>
      <c r="H336" s="524">
        <f t="shared" si="100"/>
        <v>0</v>
      </c>
      <c r="I336" s="135">
        <f t="shared" si="100"/>
        <v>0</v>
      </c>
      <c r="J336" s="26">
        <f t="shared" si="100"/>
        <v>732.4675</v>
      </c>
      <c r="K336" s="26">
        <f t="shared" si="100"/>
        <v>0</v>
      </c>
      <c r="L336" s="26">
        <f t="shared" si="100"/>
        <v>732.4675</v>
      </c>
      <c r="M336" s="40">
        <f t="shared" si="100"/>
        <v>0</v>
      </c>
      <c r="N336" s="41">
        <f t="shared" si="100"/>
        <v>732.4675</v>
      </c>
      <c r="O336" s="15">
        <f t="shared" si="99"/>
        <v>0</v>
      </c>
    </row>
    <row r="337" spans="1:16" ht="27.75" customHeight="1">
      <c r="A337" s="30" t="s">
        <v>150</v>
      </c>
      <c r="B337" s="25" t="s">
        <v>348</v>
      </c>
      <c r="C337" s="25" t="s">
        <v>32</v>
      </c>
      <c r="D337" s="25" t="s">
        <v>32</v>
      </c>
      <c r="E337" s="25" t="s">
        <v>227</v>
      </c>
      <c r="F337" s="25" t="s">
        <v>140</v>
      </c>
      <c r="G337" s="135">
        <v>321</v>
      </c>
      <c r="H337" s="524"/>
      <c r="I337" s="135"/>
      <c r="J337" s="26">
        <v>732.4675</v>
      </c>
      <c r="K337" s="26"/>
      <c r="L337" s="26">
        <f>J337+K337</f>
        <v>732.4675</v>
      </c>
      <c r="M337" s="40"/>
      <c r="N337" s="29">
        <f>L337+M337</f>
        <v>732.4675</v>
      </c>
      <c r="O337" s="15">
        <f t="shared" si="99"/>
        <v>0</v>
      </c>
      <c r="P337" s="15">
        <f>K337</f>
        <v>0</v>
      </c>
    </row>
    <row r="338" spans="1:15" ht="15">
      <c r="A338" s="129" t="s">
        <v>86</v>
      </c>
      <c r="B338" s="32" t="s">
        <v>348</v>
      </c>
      <c r="C338" s="32" t="s">
        <v>85</v>
      </c>
      <c r="D338" s="32"/>
      <c r="E338" s="32"/>
      <c r="F338" s="32"/>
      <c r="G338" s="523" t="e">
        <f aca="true" t="shared" si="101" ref="G338:M338">G339+G346+G356+G408</f>
        <v>#REF!</v>
      </c>
      <c r="H338" s="523">
        <f t="shared" si="101"/>
        <v>42153.4</v>
      </c>
      <c r="I338" s="523">
        <f t="shared" si="101"/>
        <v>0</v>
      </c>
      <c r="J338" s="622">
        <f t="shared" si="101"/>
        <v>60720.199</v>
      </c>
      <c r="K338" s="622">
        <f t="shared" si="101"/>
        <v>191.12552</v>
      </c>
      <c r="L338" s="622">
        <f t="shared" si="101"/>
        <v>60911.324519999995</v>
      </c>
      <c r="M338" s="34">
        <f t="shared" si="101"/>
        <v>135.5</v>
      </c>
      <c r="N338" s="85">
        <f>N339+N346+N356+N408</f>
        <v>47161.902109999995</v>
      </c>
      <c r="O338" s="15">
        <f t="shared" si="99"/>
        <v>0</v>
      </c>
    </row>
    <row r="339" spans="1:15" ht="15">
      <c r="A339" s="99" t="s">
        <v>88</v>
      </c>
      <c r="B339" s="24" t="s">
        <v>348</v>
      </c>
      <c r="C339" s="24" t="s">
        <v>85</v>
      </c>
      <c r="D339" s="24" t="s">
        <v>21</v>
      </c>
      <c r="E339" s="24"/>
      <c r="F339" s="24"/>
      <c r="G339" s="503" t="e">
        <f aca="true" t="shared" si="102" ref="G339:M339">G340+G342</f>
        <v>#REF!</v>
      </c>
      <c r="H339" s="192">
        <f t="shared" si="102"/>
        <v>1925.2</v>
      </c>
      <c r="I339" s="503">
        <f t="shared" si="102"/>
        <v>0</v>
      </c>
      <c r="J339" s="504">
        <f>J340+J342+J344</f>
        <v>1593.18</v>
      </c>
      <c r="K339" s="504">
        <f>K340+K342+K344</f>
        <v>-98.5</v>
      </c>
      <c r="L339" s="504">
        <f>L340+L342+L344</f>
        <v>1494.68</v>
      </c>
      <c r="M339" s="505">
        <f t="shared" si="102"/>
        <v>0</v>
      </c>
      <c r="N339" s="111">
        <f>N340+N342</f>
        <v>83.18</v>
      </c>
      <c r="O339" s="15">
        <f t="shared" si="99"/>
        <v>0</v>
      </c>
    </row>
    <row r="340" spans="1:15" ht="75" hidden="1">
      <c r="A340" s="99" t="s">
        <v>350</v>
      </c>
      <c r="B340" s="25" t="s">
        <v>348</v>
      </c>
      <c r="C340" s="25" t="s">
        <v>85</v>
      </c>
      <c r="D340" s="25" t="s">
        <v>21</v>
      </c>
      <c r="E340" s="25" t="s">
        <v>351</v>
      </c>
      <c r="F340" s="25"/>
      <c r="G340" s="135">
        <f aca="true" t="shared" si="103" ref="G340:N340">G341</f>
        <v>-227</v>
      </c>
      <c r="H340" s="135">
        <f t="shared" si="103"/>
        <v>1925.2</v>
      </c>
      <c r="I340" s="135">
        <f t="shared" si="103"/>
        <v>0</v>
      </c>
      <c r="J340" s="26">
        <f t="shared" si="103"/>
        <v>0</v>
      </c>
      <c r="K340" s="26">
        <f t="shared" si="103"/>
        <v>0</v>
      </c>
      <c r="L340" s="26">
        <f t="shared" si="103"/>
        <v>0</v>
      </c>
      <c r="M340" s="40">
        <f t="shared" si="103"/>
        <v>0</v>
      </c>
      <c r="N340" s="41">
        <f t="shared" si="103"/>
        <v>0</v>
      </c>
      <c r="O340" s="15">
        <f t="shared" si="99"/>
        <v>0</v>
      </c>
    </row>
    <row r="341" spans="1:15" ht="15" hidden="1">
      <c r="A341" s="99" t="s">
        <v>239</v>
      </c>
      <c r="B341" s="25" t="s">
        <v>348</v>
      </c>
      <c r="C341" s="25" t="s">
        <v>85</v>
      </c>
      <c r="D341" s="25" t="s">
        <v>21</v>
      </c>
      <c r="E341" s="25" t="s">
        <v>351</v>
      </c>
      <c r="F341" s="25" t="s">
        <v>240</v>
      </c>
      <c r="G341" s="135">
        <f>-227</f>
        <v>-227</v>
      </c>
      <c r="H341" s="524">
        <v>1925.2</v>
      </c>
      <c r="I341" s="135"/>
      <c r="J341" s="26"/>
      <c r="K341" s="26"/>
      <c r="L341" s="26">
        <f>J341+K341</f>
        <v>0</v>
      </c>
      <c r="M341" s="40"/>
      <c r="N341" s="29">
        <f>L341+M341</f>
        <v>0</v>
      </c>
      <c r="O341" s="15">
        <f t="shared" si="99"/>
        <v>0</v>
      </c>
    </row>
    <row r="342" spans="1:15" ht="60">
      <c r="A342" s="99" t="s">
        <v>352</v>
      </c>
      <c r="B342" s="25" t="s">
        <v>348</v>
      </c>
      <c r="C342" s="25" t="s">
        <v>85</v>
      </c>
      <c r="D342" s="25" t="s">
        <v>21</v>
      </c>
      <c r="E342" s="25" t="s">
        <v>353</v>
      </c>
      <c r="F342" s="25"/>
      <c r="G342" s="135" t="e">
        <f aca="true" t="shared" si="104" ref="G342:N342">G343</f>
        <v>#REF!</v>
      </c>
      <c r="H342" s="524">
        <f t="shared" si="104"/>
        <v>0</v>
      </c>
      <c r="I342" s="135">
        <f t="shared" si="104"/>
        <v>0</v>
      </c>
      <c r="J342" s="26">
        <f t="shared" si="104"/>
        <v>83.18</v>
      </c>
      <c r="K342" s="26">
        <f t="shared" si="104"/>
        <v>0</v>
      </c>
      <c r="L342" s="26">
        <f t="shared" si="104"/>
        <v>83.18</v>
      </c>
      <c r="M342" s="40">
        <f t="shared" si="104"/>
        <v>0</v>
      </c>
      <c r="N342" s="29">
        <f t="shared" si="104"/>
        <v>83.18</v>
      </c>
      <c r="O342" s="15">
        <f t="shared" si="99"/>
        <v>0</v>
      </c>
    </row>
    <row r="343" spans="1:16" ht="15">
      <c r="A343" s="99" t="s">
        <v>239</v>
      </c>
      <c r="B343" s="25" t="s">
        <v>348</v>
      </c>
      <c r="C343" s="25" t="s">
        <v>85</v>
      </c>
      <c r="D343" s="25" t="s">
        <v>21</v>
      </c>
      <c r="E343" s="25" t="s">
        <v>353</v>
      </c>
      <c r="F343" s="25" t="s">
        <v>240</v>
      </c>
      <c r="G343" s="524" t="e">
        <f>H343-#REF!</f>
        <v>#REF!</v>
      </c>
      <c r="H343" s="524"/>
      <c r="I343" s="524"/>
      <c r="J343" s="26">
        <v>83.18</v>
      </c>
      <c r="K343" s="26"/>
      <c r="L343" s="26">
        <f>J343+K343</f>
        <v>83.18</v>
      </c>
      <c r="M343" s="28"/>
      <c r="N343" s="29">
        <f>L343+M343</f>
        <v>83.18</v>
      </c>
      <c r="O343" s="15">
        <f t="shared" si="99"/>
        <v>0</v>
      </c>
      <c r="P343" s="14">
        <f>L343-O343</f>
        <v>83.18</v>
      </c>
    </row>
    <row r="344" spans="1:15" ht="75">
      <c r="A344" s="99" t="s">
        <v>350</v>
      </c>
      <c r="B344" s="25" t="s">
        <v>348</v>
      </c>
      <c r="C344" s="25" t="s">
        <v>85</v>
      </c>
      <c r="D344" s="25" t="s">
        <v>21</v>
      </c>
      <c r="E344" s="25" t="s">
        <v>354</v>
      </c>
      <c r="F344" s="25"/>
      <c r="G344" s="524"/>
      <c r="H344" s="524"/>
      <c r="I344" s="524"/>
      <c r="J344" s="26">
        <f>J345</f>
        <v>1510</v>
      </c>
      <c r="K344" s="26">
        <f>K345</f>
        <v>-98.5</v>
      </c>
      <c r="L344" s="26">
        <f>L345</f>
        <v>1411.5</v>
      </c>
      <c r="M344" s="28"/>
      <c r="N344" s="29"/>
      <c r="O344" s="15">
        <f t="shared" si="99"/>
        <v>0</v>
      </c>
    </row>
    <row r="345" spans="1:16" ht="15">
      <c r="A345" s="99" t="s">
        <v>239</v>
      </c>
      <c r="B345" s="25" t="s">
        <v>348</v>
      </c>
      <c r="C345" s="25" t="s">
        <v>85</v>
      </c>
      <c r="D345" s="25" t="s">
        <v>21</v>
      </c>
      <c r="E345" s="115" t="s">
        <v>354</v>
      </c>
      <c r="F345" s="115" t="s">
        <v>240</v>
      </c>
      <c r="G345" s="524"/>
      <c r="H345" s="524"/>
      <c r="I345" s="524"/>
      <c r="J345" s="26">
        <v>1510</v>
      </c>
      <c r="K345" s="26">
        <v>-98.5</v>
      </c>
      <c r="L345" s="26">
        <f>J345+K345</f>
        <v>1411.5</v>
      </c>
      <c r="M345" s="28"/>
      <c r="N345" s="29"/>
      <c r="O345" s="15">
        <f t="shared" si="99"/>
        <v>0</v>
      </c>
      <c r="P345" s="15">
        <f>K345</f>
        <v>-98.5</v>
      </c>
    </row>
    <row r="346" spans="1:15" ht="29.25">
      <c r="A346" s="101" t="s">
        <v>89</v>
      </c>
      <c r="B346" s="24" t="s">
        <v>348</v>
      </c>
      <c r="C346" s="24" t="s">
        <v>85</v>
      </c>
      <c r="D346" s="24" t="s">
        <v>22</v>
      </c>
      <c r="E346" s="24"/>
      <c r="F346" s="24"/>
      <c r="G346" s="503">
        <f aca="true" t="shared" si="105" ref="G346:M346">G351+G347+G349</f>
        <v>6</v>
      </c>
      <c r="H346" s="503">
        <f t="shared" si="105"/>
        <v>4331.9</v>
      </c>
      <c r="I346" s="503">
        <f t="shared" si="105"/>
        <v>0</v>
      </c>
      <c r="J346" s="504">
        <f>J351+J347+J349+J354</f>
        <v>8555.003</v>
      </c>
      <c r="K346" s="504">
        <f>K351+K347+K349+K354</f>
        <v>89.28577000000001</v>
      </c>
      <c r="L346" s="504">
        <f>L351+L347+L349+L354</f>
        <v>8644.288770000001</v>
      </c>
      <c r="M346" s="505">
        <f t="shared" si="105"/>
        <v>182.5</v>
      </c>
      <c r="N346" s="86">
        <f>N351+N347+N349</f>
        <v>8442.494130000001</v>
      </c>
      <c r="O346" s="15">
        <f t="shared" si="99"/>
        <v>0</v>
      </c>
    </row>
    <row r="347" spans="1:15" ht="75">
      <c r="A347" s="84" t="s">
        <v>355</v>
      </c>
      <c r="B347" s="25" t="s">
        <v>348</v>
      </c>
      <c r="C347" s="25" t="s">
        <v>85</v>
      </c>
      <c r="D347" s="25" t="s">
        <v>22</v>
      </c>
      <c r="E347" s="25" t="s">
        <v>356</v>
      </c>
      <c r="F347" s="25"/>
      <c r="G347" s="135">
        <f aca="true" t="shared" si="106" ref="G347:N347">G348</f>
        <v>4570.299999999999</v>
      </c>
      <c r="H347" s="135">
        <f t="shared" si="106"/>
        <v>0</v>
      </c>
      <c r="I347" s="135">
        <f t="shared" si="106"/>
        <v>0</v>
      </c>
      <c r="J347" s="26">
        <f t="shared" si="106"/>
        <v>8079.56</v>
      </c>
      <c r="K347" s="26">
        <f t="shared" si="106"/>
        <v>180.43413</v>
      </c>
      <c r="L347" s="26">
        <f t="shared" si="106"/>
        <v>8259.994130000001</v>
      </c>
      <c r="M347" s="40">
        <f t="shared" si="106"/>
        <v>250</v>
      </c>
      <c r="N347" s="41">
        <f t="shared" si="106"/>
        <v>8509.994130000001</v>
      </c>
      <c r="O347" s="15">
        <f t="shared" si="99"/>
        <v>0</v>
      </c>
    </row>
    <row r="348" spans="1:15" ht="30">
      <c r="A348" s="100" t="s">
        <v>139</v>
      </c>
      <c r="B348" s="25" t="s">
        <v>348</v>
      </c>
      <c r="C348" s="25" t="s">
        <v>85</v>
      </c>
      <c r="D348" s="25" t="s">
        <v>22</v>
      </c>
      <c r="E348" s="25" t="s">
        <v>356</v>
      </c>
      <c r="F348" s="25" t="s">
        <v>140</v>
      </c>
      <c r="G348" s="135">
        <f>4569.9+0.4</f>
        <v>4570.299999999999</v>
      </c>
      <c r="H348" s="524"/>
      <c r="I348" s="135"/>
      <c r="J348" s="26">
        <v>8079.56</v>
      </c>
      <c r="K348" s="26">
        <f>127+53.43413</f>
        <v>180.43413</v>
      </c>
      <c r="L348" s="26">
        <f>J348+K348</f>
        <v>8259.994130000001</v>
      </c>
      <c r="M348" s="40">
        <v>250</v>
      </c>
      <c r="N348" s="29">
        <f>L348+M348</f>
        <v>8509.994130000001</v>
      </c>
      <c r="O348" s="15">
        <f t="shared" si="99"/>
        <v>0</v>
      </c>
    </row>
    <row r="349" spans="1:15" ht="80.25" customHeight="1" hidden="1">
      <c r="A349" s="99" t="s">
        <v>350</v>
      </c>
      <c r="B349" s="25" t="s">
        <v>348</v>
      </c>
      <c r="C349" s="25" t="s">
        <v>85</v>
      </c>
      <c r="D349" s="25" t="s">
        <v>22</v>
      </c>
      <c r="E349" s="25" t="s">
        <v>351</v>
      </c>
      <c r="F349" s="25"/>
      <c r="G349" s="135">
        <f aca="true" t="shared" si="107" ref="G349:N349">G350</f>
        <v>0</v>
      </c>
      <c r="H349" s="135">
        <f t="shared" si="107"/>
        <v>0</v>
      </c>
      <c r="I349" s="135">
        <f t="shared" si="107"/>
        <v>0</v>
      </c>
      <c r="J349" s="26">
        <f t="shared" si="107"/>
        <v>0</v>
      </c>
      <c r="K349" s="26">
        <f t="shared" si="107"/>
        <v>0</v>
      </c>
      <c r="L349" s="26">
        <f t="shared" si="107"/>
        <v>0</v>
      </c>
      <c r="M349" s="40">
        <f t="shared" si="107"/>
        <v>0</v>
      </c>
      <c r="N349" s="41">
        <f t="shared" si="107"/>
        <v>0</v>
      </c>
      <c r="O349" s="15">
        <f t="shared" si="99"/>
        <v>0</v>
      </c>
    </row>
    <row r="350" spans="1:15" ht="12.75" customHeight="1" hidden="1">
      <c r="A350" s="99" t="s">
        <v>239</v>
      </c>
      <c r="B350" s="25" t="s">
        <v>348</v>
      </c>
      <c r="C350" s="25" t="s">
        <v>85</v>
      </c>
      <c r="D350" s="25" t="s">
        <v>22</v>
      </c>
      <c r="E350" s="25" t="s">
        <v>351</v>
      </c>
      <c r="F350" s="25" t="s">
        <v>240</v>
      </c>
      <c r="G350" s="135">
        <v>0</v>
      </c>
      <c r="H350" s="524"/>
      <c r="I350" s="135">
        <v>0</v>
      </c>
      <c r="J350" s="26">
        <f>H350+I350</f>
        <v>0</v>
      </c>
      <c r="K350" s="26">
        <v>0</v>
      </c>
      <c r="L350" s="26">
        <f>J350+K350</f>
        <v>0</v>
      </c>
      <c r="M350" s="40">
        <v>0</v>
      </c>
      <c r="N350" s="29">
        <f>L350+M350</f>
        <v>0</v>
      </c>
      <c r="O350" s="15">
        <f t="shared" si="99"/>
        <v>0</v>
      </c>
    </row>
    <row r="351" spans="1:15" ht="30" hidden="1">
      <c r="A351" s="100" t="s">
        <v>357</v>
      </c>
      <c r="B351" s="25" t="s">
        <v>348</v>
      </c>
      <c r="C351" s="25" t="s">
        <v>85</v>
      </c>
      <c r="D351" s="25" t="s">
        <v>22</v>
      </c>
      <c r="E351" s="25" t="s">
        <v>358</v>
      </c>
      <c r="F351" s="25"/>
      <c r="G351" s="135">
        <f aca="true" t="shared" si="108" ref="G351:N354">G352</f>
        <v>-4564.299999999999</v>
      </c>
      <c r="H351" s="135">
        <f t="shared" si="108"/>
        <v>4331.9</v>
      </c>
      <c r="I351" s="135">
        <f t="shared" si="108"/>
        <v>0</v>
      </c>
      <c r="J351" s="26">
        <f t="shared" si="108"/>
        <v>0</v>
      </c>
      <c r="K351" s="26">
        <f t="shared" si="108"/>
        <v>0</v>
      </c>
      <c r="L351" s="26">
        <f t="shared" si="108"/>
        <v>0</v>
      </c>
      <c r="M351" s="40">
        <f t="shared" si="108"/>
        <v>-67.5</v>
      </c>
      <c r="N351" s="41">
        <f t="shared" si="108"/>
        <v>-67.5</v>
      </c>
      <c r="O351" s="15">
        <f t="shared" si="99"/>
        <v>0</v>
      </c>
    </row>
    <row r="352" spans="1:15" ht="30" hidden="1">
      <c r="A352" s="100" t="s">
        <v>143</v>
      </c>
      <c r="B352" s="25" t="s">
        <v>348</v>
      </c>
      <c r="C352" s="25" t="s">
        <v>85</v>
      </c>
      <c r="D352" s="25" t="s">
        <v>22</v>
      </c>
      <c r="E352" s="25" t="s">
        <v>359</v>
      </c>
      <c r="F352" s="25"/>
      <c r="G352" s="135">
        <f t="shared" si="108"/>
        <v>-4564.299999999999</v>
      </c>
      <c r="H352" s="135">
        <f t="shared" si="108"/>
        <v>4331.9</v>
      </c>
      <c r="I352" s="135">
        <f t="shared" si="108"/>
        <v>0</v>
      </c>
      <c r="J352" s="26">
        <f t="shared" si="108"/>
        <v>0</v>
      </c>
      <c r="K352" s="26">
        <f t="shared" si="108"/>
        <v>0</v>
      </c>
      <c r="L352" s="26">
        <f t="shared" si="108"/>
        <v>0</v>
      </c>
      <c r="M352" s="40">
        <f t="shared" si="108"/>
        <v>-67.5</v>
      </c>
      <c r="N352" s="41">
        <f t="shared" si="108"/>
        <v>-67.5</v>
      </c>
      <c r="O352" s="15">
        <f t="shared" si="99"/>
        <v>0</v>
      </c>
    </row>
    <row r="353" spans="1:15" ht="30" hidden="1">
      <c r="A353" s="100" t="s">
        <v>139</v>
      </c>
      <c r="B353" s="25" t="s">
        <v>348</v>
      </c>
      <c r="C353" s="25" t="s">
        <v>85</v>
      </c>
      <c r="D353" s="25" t="s">
        <v>22</v>
      </c>
      <c r="E353" s="25" t="s">
        <v>359</v>
      </c>
      <c r="F353" s="25" t="s">
        <v>140</v>
      </c>
      <c r="G353" s="135">
        <f>6-15.4-4569.9+15</f>
        <v>-4564.299999999999</v>
      </c>
      <c r="H353" s="524">
        <v>4331.9</v>
      </c>
      <c r="I353" s="135"/>
      <c r="J353" s="26"/>
      <c r="K353" s="26"/>
      <c r="L353" s="26">
        <f>J353+K353</f>
        <v>0</v>
      </c>
      <c r="M353" s="40">
        <f>-17.5-50</f>
        <v>-67.5</v>
      </c>
      <c r="N353" s="29">
        <f>L353+M353</f>
        <v>-67.5</v>
      </c>
      <c r="O353" s="15">
        <f t="shared" si="99"/>
        <v>0</v>
      </c>
    </row>
    <row r="354" spans="1:15" ht="30">
      <c r="A354" s="100" t="s">
        <v>143</v>
      </c>
      <c r="B354" s="25" t="s">
        <v>348</v>
      </c>
      <c r="C354" s="25" t="s">
        <v>85</v>
      </c>
      <c r="D354" s="25" t="s">
        <v>22</v>
      </c>
      <c r="E354" s="25" t="s">
        <v>360</v>
      </c>
      <c r="F354" s="25"/>
      <c r="G354" s="135"/>
      <c r="H354" s="524"/>
      <c r="I354" s="135"/>
      <c r="J354" s="26">
        <f t="shared" si="108"/>
        <v>475.443</v>
      </c>
      <c r="K354" s="26">
        <f t="shared" si="108"/>
        <v>-91.14836</v>
      </c>
      <c r="L354" s="26">
        <f t="shared" si="108"/>
        <v>384.29463999999996</v>
      </c>
      <c r="M354" s="40"/>
      <c r="N354" s="29"/>
      <c r="O354" s="15">
        <f t="shared" si="99"/>
        <v>0</v>
      </c>
    </row>
    <row r="355" spans="1:16" ht="30">
      <c r="A355" s="100" t="s">
        <v>139</v>
      </c>
      <c r="B355" s="25" t="s">
        <v>348</v>
      </c>
      <c r="C355" s="25" t="s">
        <v>85</v>
      </c>
      <c r="D355" s="25" t="s">
        <v>22</v>
      </c>
      <c r="E355" s="25" t="s">
        <v>360</v>
      </c>
      <c r="F355" s="25" t="s">
        <v>140</v>
      </c>
      <c r="G355" s="135"/>
      <c r="H355" s="524"/>
      <c r="I355" s="135"/>
      <c r="J355" s="26">
        <v>475.443</v>
      </c>
      <c r="K355" s="26">
        <f>4.60164-95.75</f>
        <v>-91.14836</v>
      </c>
      <c r="L355" s="26">
        <f>J355+K355</f>
        <v>384.29463999999996</v>
      </c>
      <c r="M355" s="40"/>
      <c r="N355" s="29"/>
      <c r="O355" s="15">
        <f t="shared" si="99"/>
        <v>0</v>
      </c>
      <c r="P355" s="42">
        <f>L355-O355</f>
        <v>384.29463999999996</v>
      </c>
    </row>
    <row r="356" spans="1:15" ht="29.25">
      <c r="A356" s="143" t="s">
        <v>236</v>
      </c>
      <c r="B356" s="24" t="s">
        <v>348</v>
      </c>
      <c r="C356" s="24" t="s">
        <v>85</v>
      </c>
      <c r="D356" s="24" t="s">
        <v>24</v>
      </c>
      <c r="E356" s="24"/>
      <c r="F356" s="24"/>
      <c r="G356" s="191">
        <f aca="true" t="shared" si="109" ref="G356:M356">G359+G405+G357</f>
        <v>3317.9229300000006</v>
      </c>
      <c r="H356" s="191">
        <f t="shared" si="109"/>
        <v>34738.200000000004</v>
      </c>
      <c r="I356" s="191">
        <f t="shared" si="109"/>
        <v>0</v>
      </c>
      <c r="J356" s="504">
        <f t="shared" si="109"/>
        <v>48654.085999999996</v>
      </c>
      <c r="K356" s="504">
        <f>K359+K405+K357</f>
        <v>155.07610999999997</v>
      </c>
      <c r="L356" s="504">
        <f t="shared" si="109"/>
        <v>48809.16211</v>
      </c>
      <c r="M356" s="55">
        <f t="shared" si="109"/>
        <v>122</v>
      </c>
      <c r="N356" s="88">
        <f>N359+N405+N357</f>
        <v>37044.16211</v>
      </c>
      <c r="O356" s="15">
        <f t="shared" si="99"/>
        <v>0</v>
      </c>
    </row>
    <row r="357" spans="1:15" ht="75" customHeight="1" hidden="1">
      <c r="A357" s="37" t="s">
        <v>135</v>
      </c>
      <c r="B357" s="24" t="s">
        <v>348</v>
      </c>
      <c r="C357" s="24" t="s">
        <v>85</v>
      </c>
      <c r="D357" s="24" t="s">
        <v>24</v>
      </c>
      <c r="E357" s="24" t="s">
        <v>136</v>
      </c>
      <c r="F357" s="24"/>
      <c r="G357" s="503">
        <f aca="true" t="shared" si="110" ref="G357:N357">G358</f>
        <v>3</v>
      </c>
      <c r="H357" s="503">
        <f t="shared" si="110"/>
        <v>0</v>
      </c>
      <c r="I357" s="503">
        <f t="shared" si="110"/>
        <v>0</v>
      </c>
      <c r="J357" s="504">
        <f t="shared" si="110"/>
        <v>0</v>
      </c>
      <c r="K357" s="504">
        <f t="shared" si="110"/>
        <v>0</v>
      </c>
      <c r="L357" s="504">
        <f t="shared" si="110"/>
        <v>0</v>
      </c>
      <c r="M357" s="505">
        <f t="shared" si="110"/>
        <v>0</v>
      </c>
      <c r="N357" s="86">
        <f t="shared" si="110"/>
        <v>0</v>
      </c>
      <c r="O357" s="15">
        <f t="shared" si="99"/>
        <v>0</v>
      </c>
    </row>
    <row r="358" spans="1:15" ht="15" customHeight="1" hidden="1">
      <c r="A358" s="99" t="s">
        <v>239</v>
      </c>
      <c r="B358" s="24" t="s">
        <v>348</v>
      </c>
      <c r="C358" s="24" t="s">
        <v>85</v>
      </c>
      <c r="D358" s="24" t="s">
        <v>24</v>
      </c>
      <c r="E358" s="24" t="s">
        <v>136</v>
      </c>
      <c r="F358" s="24" t="s">
        <v>240</v>
      </c>
      <c r="G358" s="503">
        <v>3</v>
      </c>
      <c r="H358" s="524"/>
      <c r="I358" s="503"/>
      <c r="J358" s="26">
        <f>H358+I358</f>
        <v>0</v>
      </c>
      <c r="K358" s="504"/>
      <c r="L358" s="26">
        <f>J358+K358</f>
        <v>0</v>
      </c>
      <c r="M358" s="505"/>
      <c r="N358" s="29">
        <f>L358+M358</f>
        <v>0</v>
      </c>
      <c r="O358" s="15">
        <f t="shared" si="99"/>
        <v>0</v>
      </c>
    </row>
    <row r="359" spans="1:15" ht="15">
      <c r="A359" s="127" t="s">
        <v>361</v>
      </c>
      <c r="B359" s="25" t="s">
        <v>348</v>
      </c>
      <c r="C359" s="25" t="s">
        <v>85</v>
      </c>
      <c r="D359" s="25" t="s">
        <v>24</v>
      </c>
      <c r="E359" s="25" t="s">
        <v>362</v>
      </c>
      <c r="F359" s="25"/>
      <c r="G359" s="527">
        <f aca="true" t="shared" si="111" ref="G359:M359">G360+G362+G365++G367+G369+G371+G374+G377+G379+G381++G384+G397+G399+G401+G403+G395</f>
        <v>6827.922930000001</v>
      </c>
      <c r="H359" s="527">
        <f t="shared" si="111"/>
        <v>31056.600000000002</v>
      </c>
      <c r="I359" s="527">
        <f t="shared" si="111"/>
        <v>0</v>
      </c>
      <c r="J359" s="26">
        <f>J360+J362+J365++J367+J369+J371+J374+J377+J379+J381++J384+J397+J399+J401+J403+J395+J388+J390+J392</f>
        <v>48654.085999999996</v>
      </c>
      <c r="K359" s="26">
        <f>K360+K362+K365++K367+K369+K371+K374+K377+K379+K381++K384+K397+K399+K401+K403+K395+K388+K390+K392</f>
        <v>155.07610999999997</v>
      </c>
      <c r="L359" s="26">
        <f>L360+L362+L365++L367+L369+L371+L374+L377+L379+L381++L384+L397+L399+L401+L403+L395+L388+L390+L392</f>
        <v>48809.16211</v>
      </c>
      <c r="M359" s="27">
        <f t="shared" si="111"/>
        <v>122</v>
      </c>
      <c r="N359" s="52">
        <f>N360+N362+N365++N367+N369+N371+N374+N377+N379+N381++N384+N397+N399+N401+N403+N395</f>
        <v>37044.16211</v>
      </c>
      <c r="O359" s="15">
        <f t="shared" si="99"/>
        <v>0</v>
      </c>
    </row>
    <row r="360" spans="1:15" ht="90" hidden="1">
      <c r="A360" s="99" t="s">
        <v>363</v>
      </c>
      <c r="B360" s="25" t="s">
        <v>348</v>
      </c>
      <c r="C360" s="25" t="s">
        <v>85</v>
      </c>
      <c r="D360" s="25" t="s">
        <v>24</v>
      </c>
      <c r="E360" s="25" t="s">
        <v>364</v>
      </c>
      <c r="F360" s="25"/>
      <c r="G360" s="135">
        <f aca="true" t="shared" si="112" ref="G360:N360">G361</f>
        <v>-206</v>
      </c>
      <c r="H360" s="135">
        <f t="shared" si="112"/>
        <v>215.9</v>
      </c>
      <c r="I360" s="135">
        <f t="shared" si="112"/>
        <v>0</v>
      </c>
      <c r="J360" s="26">
        <f t="shared" si="112"/>
        <v>0</v>
      </c>
      <c r="K360" s="26">
        <f t="shared" si="112"/>
        <v>0</v>
      </c>
      <c r="L360" s="26">
        <f t="shared" si="112"/>
        <v>0</v>
      </c>
      <c r="M360" s="40">
        <f t="shared" si="112"/>
        <v>0</v>
      </c>
      <c r="N360" s="41">
        <f t="shared" si="112"/>
        <v>0</v>
      </c>
      <c r="O360" s="15">
        <f t="shared" si="99"/>
        <v>0</v>
      </c>
    </row>
    <row r="361" spans="1:15" ht="15" hidden="1">
      <c r="A361" s="99" t="s">
        <v>239</v>
      </c>
      <c r="B361" s="25" t="s">
        <v>348</v>
      </c>
      <c r="C361" s="25" t="s">
        <v>85</v>
      </c>
      <c r="D361" s="25" t="s">
        <v>24</v>
      </c>
      <c r="E361" s="25" t="s">
        <v>364</v>
      </c>
      <c r="F361" s="25" t="s">
        <v>240</v>
      </c>
      <c r="G361" s="135">
        <v>-206</v>
      </c>
      <c r="H361" s="524">
        <v>215.9</v>
      </c>
      <c r="I361" s="135"/>
      <c r="J361" s="26"/>
      <c r="K361" s="26"/>
      <c r="L361" s="26">
        <f>J361+K361</f>
        <v>0</v>
      </c>
      <c r="M361" s="40"/>
      <c r="N361" s="29">
        <f>L361+M361</f>
        <v>0</v>
      </c>
      <c r="O361" s="15">
        <f t="shared" si="99"/>
        <v>0</v>
      </c>
    </row>
    <row r="362" spans="1:15" ht="45">
      <c r="A362" s="99" t="s">
        <v>365</v>
      </c>
      <c r="B362" s="25" t="s">
        <v>348</v>
      </c>
      <c r="C362" s="25" t="s">
        <v>85</v>
      </c>
      <c r="D362" s="25" t="s">
        <v>24</v>
      </c>
      <c r="E362" s="25" t="s">
        <v>366</v>
      </c>
      <c r="F362" s="25"/>
      <c r="G362" s="527">
        <f aca="true" t="shared" si="113" ref="G362:M362">G363+G364</f>
        <v>27.99813</v>
      </c>
      <c r="H362" s="527">
        <f t="shared" si="113"/>
        <v>87.7</v>
      </c>
      <c r="I362" s="527">
        <f t="shared" si="113"/>
        <v>0</v>
      </c>
      <c r="J362" s="26">
        <f t="shared" si="113"/>
        <v>128.9</v>
      </c>
      <c r="K362" s="26">
        <f t="shared" si="113"/>
        <v>10.17611</v>
      </c>
      <c r="L362" s="26">
        <f t="shared" si="113"/>
        <v>139.07611</v>
      </c>
      <c r="M362" s="27">
        <f t="shared" si="113"/>
        <v>0</v>
      </c>
      <c r="N362" s="52">
        <f>N363+N364</f>
        <v>139.07611</v>
      </c>
      <c r="O362" s="15">
        <f t="shared" si="99"/>
        <v>0</v>
      </c>
    </row>
    <row r="363" spans="1:15" ht="30" hidden="1">
      <c r="A363" s="99" t="s">
        <v>139</v>
      </c>
      <c r="B363" s="25" t="s">
        <v>348</v>
      </c>
      <c r="C363" s="25" t="s">
        <v>85</v>
      </c>
      <c r="D363" s="25" t="s">
        <v>24</v>
      </c>
      <c r="E363" s="25" t="s">
        <v>366</v>
      </c>
      <c r="F363" s="25" t="s">
        <v>140</v>
      </c>
      <c r="G363" s="135"/>
      <c r="H363" s="524">
        <v>87.7</v>
      </c>
      <c r="I363" s="135"/>
      <c r="J363" s="26"/>
      <c r="K363" s="26"/>
      <c r="L363" s="26">
        <f>J363+K363</f>
        <v>0</v>
      </c>
      <c r="M363" s="40"/>
      <c r="N363" s="29">
        <f>L363+M363</f>
        <v>0</v>
      </c>
      <c r="O363" s="15">
        <f t="shared" si="99"/>
        <v>0</v>
      </c>
    </row>
    <row r="364" spans="1:16" ht="15">
      <c r="A364" s="99" t="s">
        <v>239</v>
      </c>
      <c r="B364" s="25" t="s">
        <v>348</v>
      </c>
      <c r="C364" s="25" t="s">
        <v>85</v>
      </c>
      <c r="D364" s="25" t="s">
        <v>24</v>
      </c>
      <c r="E364" s="25" t="s">
        <v>366</v>
      </c>
      <c r="F364" s="25" t="s">
        <v>240</v>
      </c>
      <c r="G364" s="135">
        <v>27.99813</v>
      </c>
      <c r="H364" s="524"/>
      <c r="I364" s="135"/>
      <c r="J364" s="26">
        <v>128.9</v>
      </c>
      <c r="K364" s="26">
        <f>10.17611</f>
        <v>10.17611</v>
      </c>
      <c r="L364" s="26">
        <f>J364+K364</f>
        <v>139.07611</v>
      </c>
      <c r="M364" s="40"/>
      <c r="N364" s="29">
        <f>L364+M364</f>
        <v>139.07611</v>
      </c>
      <c r="O364" s="15">
        <f t="shared" si="99"/>
        <v>0</v>
      </c>
      <c r="P364" s="15">
        <f>K364</f>
        <v>10.17611</v>
      </c>
    </row>
    <row r="365" spans="1:15" ht="30" hidden="1">
      <c r="A365" s="105" t="s">
        <v>367</v>
      </c>
      <c r="B365" s="25" t="s">
        <v>348</v>
      </c>
      <c r="C365" s="25" t="s">
        <v>85</v>
      </c>
      <c r="D365" s="25" t="s">
        <v>24</v>
      </c>
      <c r="E365" s="25" t="s">
        <v>368</v>
      </c>
      <c r="F365" s="25"/>
      <c r="G365" s="135">
        <f aca="true" t="shared" si="114" ref="G365:N365">G366</f>
        <v>0</v>
      </c>
      <c r="H365" s="135">
        <f t="shared" si="114"/>
        <v>7457.6</v>
      </c>
      <c r="I365" s="135">
        <f t="shared" si="114"/>
        <v>0</v>
      </c>
      <c r="J365" s="26">
        <f>J366</f>
        <v>0</v>
      </c>
      <c r="K365" s="26">
        <f t="shared" si="114"/>
        <v>0</v>
      </c>
      <c r="L365" s="26">
        <f t="shared" si="114"/>
        <v>0</v>
      </c>
      <c r="M365" s="40">
        <f t="shared" si="114"/>
        <v>0</v>
      </c>
      <c r="N365" s="41">
        <f t="shared" si="114"/>
        <v>0</v>
      </c>
      <c r="O365" s="15">
        <f t="shared" si="99"/>
        <v>0</v>
      </c>
    </row>
    <row r="366" spans="1:15" ht="15" hidden="1">
      <c r="A366" s="105" t="s">
        <v>369</v>
      </c>
      <c r="B366" s="25" t="s">
        <v>348</v>
      </c>
      <c r="C366" s="25" t="s">
        <v>85</v>
      </c>
      <c r="D366" s="25" t="s">
        <v>24</v>
      </c>
      <c r="E366" s="25" t="s">
        <v>368</v>
      </c>
      <c r="F366" s="25" t="s">
        <v>240</v>
      </c>
      <c r="G366" s="135">
        <f>-2752.3+2752.3</f>
        <v>0</v>
      </c>
      <c r="H366" s="524">
        <v>7457.6</v>
      </c>
      <c r="I366" s="135"/>
      <c r="J366" s="26"/>
      <c r="K366" s="26"/>
      <c r="L366" s="26">
        <f>J366+K366</f>
        <v>0</v>
      </c>
      <c r="M366" s="40"/>
      <c r="N366" s="29">
        <f>L366+M366</f>
        <v>0</v>
      </c>
      <c r="O366" s="15">
        <f t="shared" si="99"/>
        <v>0</v>
      </c>
    </row>
    <row r="367" spans="1:15" ht="15" hidden="1">
      <c r="A367" s="84" t="s">
        <v>369</v>
      </c>
      <c r="B367" s="25" t="s">
        <v>348</v>
      </c>
      <c r="C367" s="25" t="s">
        <v>85</v>
      </c>
      <c r="D367" s="25" t="s">
        <v>24</v>
      </c>
      <c r="E367" s="25" t="s">
        <v>370</v>
      </c>
      <c r="F367" s="25"/>
      <c r="G367" s="527">
        <f aca="true" t="shared" si="115" ref="G367:N367">G368</f>
        <v>353.22045</v>
      </c>
      <c r="H367" s="527">
        <f t="shared" si="115"/>
        <v>0</v>
      </c>
      <c r="I367" s="527">
        <f t="shared" si="115"/>
        <v>0</v>
      </c>
      <c r="J367" s="26">
        <f t="shared" si="115"/>
        <v>0</v>
      </c>
      <c r="K367" s="26">
        <f t="shared" si="115"/>
        <v>0</v>
      </c>
      <c r="L367" s="26">
        <f t="shared" si="115"/>
        <v>0</v>
      </c>
      <c r="M367" s="27">
        <f t="shared" si="115"/>
        <v>0</v>
      </c>
      <c r="N367" s="52">
        <f t="shared" si="115"/>
        <v>0</v>
      </c>
      <c r="O367" s="15">
        <f t="shared" si="99"/>
        <v>0</v>
      </c>
    </row>
    <row r="368" spans="1:15" ht="15" hidden="1">
      <c r="A368" s="99" t="s">
        <v>239</v>
      </c>
      <c r="B368" s="25" t="s">
        <v>348</v>
      </c>
      <c r="C368" s="25" t="s">
        <v>85</v>
      </c>
      <c r="D368" s="25" t="s">
        <v>24</v>
      </c>
      <c r="E368" s="25" t="s">
        <v>370</v>
      </c>
      <c r="F368" s="25" t="s">
        <v>240</v>
      </c>
      <c r="G368" s="527">
        <v>353.22045</v>
      </c>
      <c r="H368" s="524"/>
      <c r="I368" s="527"/>
      <c r="J368" s="26"/>
      <c r="K368" s="26"/>
      <c r="L368" s="26">
        <f>J368+K368</f>
        <v>0</v>
      </c>
      <c r="M368" s="27"/>
      <c r="N368" s="29">
        <f>L368+M368</f>
        <v>0</v>
      </c>
      <c r="O368" s="15">
        <f t="shared" si="99"/>
        <v>0</v>
      </c>
    </row>
    <row r="369" spans="1:15" ht="45" hidden="1">
      <c r="A369" s="84" t="s">
        <v>371</v>
      </c>
      <c r="B369" s="25" t="s">
        <v>348</v>
      </c>
      <c r="C369" s="25" t="s">
        <v>85</v>
      </c>
      <c r="D369" s="25" t="s">
        <v>24</v>
      </c>
      <c r="E369" s="25" t="s">
        <v>372</v>
      </c>
      <c r="F369" s="25"/>
      <c r="G369" s="527">
        <f aca="true" t="shared" si="116" ref="G369:N369">G370</f>
        <v>909.37545</v>
      </c>
      <c r="H369" s="135">
        <f t="shared" si="116"/>
        <v>0</v>
      </c>
      <c r="I369" s="527">
        <f t="shared" si="116"/>
        <v>0</v>
      </c>
      <c r="J369" s="26">
        <f t="shared" si="116"/>
        <v>0</v>
      </c>
      <c r="K369" s="26">
        <f t="shared" si="116"/>
        <v>0</v>
      </c>
      <c r="L369" s="26">
        <f t="shared" si="116"/>
        <v>0</v>
      </c>
      <c r="M369" s="27">
        <f t="shared" si="116"/>
        <v>0</v>
      </c>
      <c r="N369" s="41">
        <f t="shared" si="116"/>
        <v>0</v>
      </c>
      <c r="O369" s="15">
        <f t="shared" si="99"/>
        <v>0</v>
      </c>
    </row>
    <row r="370" spans="1:15" ht="15" hidden="1">
      <c r="A370" s="99" t="s">
        <v>239</v>
      </c>
      <c r="B370" s="25" t="s">
        <v>348</v>
      </c>
      <c r="C370" s="25" t="s">
        <v>85</v>
      </c>
      <c r="D370" s="25" t="s">
        <v>24</v>
      </c>
      <c r="E370" s="25" t="s">
        <v>372</v>
      </c>
      <c r="F370" s="25" t="s">
        <v>240</v>
      </c>
      <c r="G370" s="527">
        <f>0.17545+909.2</f>
        <v>909.37545</v>
      </c>
      <c r="H370" s="524"/>
      <c r="I370" s="527"/>
      <c r="J370" s="26"/>
      <c r="K370" s="26"/>
      <c r="L370" s="26">
        <f>J370+K370</f>
        <v>0</v>
      </c>
      <c r="M370" s="27"/>
      <c r="N370" s="29">
        <f>L370+M370</f>
        <v>0</v>
      </c>
      <c r="O370" s="15">
        <f t="shared" si="99"/>
        <v>0</v>
      </c>
    </row>
    <row r="371" spans="1:15" ht="45" hidden="1">
      <c r="A371" s="105" t="s">
        <v>371</v>
      </c>
      <c r="B371" s="25" t="s">
        <v>348</v>
      </c>
      <c r="C371" s="25" t="s">
        <v>85</v>
      </c>
      <c r="D371" s="25" t="s">
        <v>24</v>
      </c>
      <c r="E371" s="25" t="s">
        <v>373</v>
      </c>
      <c r="F371" s="25"/>
      <c r="G371" s="527">
        <f aca="true" t="shared" si="117" ref="G371:M371">G372+G373</f>
        <v>-997.68505</v>
      </c>
      <c r="H371" s="527">
        <f t="shared" si="117"/>
        <v>1557.3</v>
      </c>
      <c r="I371" s="527">
        <f t="shared" si="117"/>
        <v>0</v>
      </c>
      <c r="J371" s="26">
        <f t="shared" si="117"/>
        <v>0</v>
      </c>
      <c r="K371" s="26">
        <f t="shared" si="117"/>
        <v>0</v>
      </c>
      <c r="L371" s="26">
        <f t="shared" si="117"/>
        <v>0</v>
      </c>
      <c r="M371" s="27">
        <f t="shared" si="117"/>
        <v>0</v>
      </c>
      <c r="N371" s="52">
        <f>N372+N373</f>
        <v>0</v>
      </c>
      <c r="O371" s="15">
        <f t="shared" si="99"/>
        <v>0</v>
      </c>
    </row>
    <row r="372" spans="1:15" ht="30" hidden="1">
      <c r="A372" s="105" t="s">
        <v>374</v>
      </c>
      <c r="B372" s="25" t="s">
        <v>348</v>
      </c>
      <c r="C372" s="25" t="s">
        <v>85</v>
      </c>
      <c r="D372" s="25" t="s">
        <v>24</v>
      </c>
      <c r="E372" s="25" t="s">
        <v>375</v>
      </c>
      <c r="F372" s="25" t="s">
        <v>240</v>
      </c>
      <c r="G372" s="527">
        <f>1.51495-90+486.8</f>
        <v>398.31495</v>
      </c>
      <c r="H372" s="524">
        <v>1557.3</v>
      </c>
      <c r="I372" s="527"/>
      <c r="J372" s="26"/>
      <c r="K372" s="26"/>
      <c r="L372" s="26">
        <f>J372+K372</f>
        <v>0</v>
      </c>
      <c r="M372" s="27"/>
      <c r="N372" s="29">
        <f>L372+M372</f>
        <v>0</v>
      </c>
      <c r="O372" s="15">
        <f t="shared" si="99"/>
        <v>0</v>
      </c>
    </row>
    <row r="373" spans="1:15" ht="30" hidden="1">
      <c r="A373" s="105" t="s">
        <v>376</v>
      </c>
      <c r="B373" s="25" t="s">
        <v>348</v>
      </c>
      <c r="C373" s="25" t="s">
        <v>85</v>
      </c>
      <c r="D373" s="25" t="s">
        <v>24</v>
      </c>
      <c r="E373" s="25" t="s">
        <v>375</v>
      </c>
      <c r="F373" s="25" t="s">
        <v>240</v>
      </c>
      <c r="G373" s="135">
        <v>-1396</v>
      </c>
      <c r="H373" s="524"/>
      <c r="I373" s="135"/>
      <c r="J373" s="26"/>
      <c r="K373" s="26"/>
      <c r="L373" s="26">
        <f>J373+K373</f>
        <v>0</v>
      </c>
      <c r="M373" s="40"/>
      <c r="N373" s="29">
        <f>L373+M373</f>
        <v>0</v>
      </c>
      <c r="O373" s="15">
        <f t="shared" si="99"/>
        <v>0</v>
      </c>
    </row>
    <row r="374" spans="1:15" ht="150" customHeight="1">
      <c r="A374" s="99" t="s">
        <v>377</v>
      </c>
      <c r="B374" s="25" t="s">
        <v>348</v>
      </c>
      <c r="C374" s="25" t="s">
        <v>85</v>
      </c>
      <c r="D374" s="25" t="s">
        <v>24</v>
      </c>
      <c r="E374" s="25" t="s">
        <v>378</v>
      </c>
      <c r="F374" s="25"/>
      <c r="G374" s="135">
        <f aca="true" t="shared" si="118" ref="G374:N374">G376</f>
        <v>0</v>
      </c>
      <c r="H374" s="135">
        <f t="shared" si="118"/>
        <v>809.6</v>
      </c>
      <c r="I374" s="135">
        <f t="shared" si="118"/>
        <v>0</v>
      </c>
      <c r="J374" s="26">
        <f>J376+J375</f>
        <v>2232</v>
      </c>
      <c r="K374" s="26">
        <f>K376+K375</f>
        <v>0</v>
      </c>
      <c r="L374" s="26">
        <f>L376+L375</f>
        <v>2232</v>
      </c>
      <c r="M374" s="40">
        <f t="shared" si="118"/>
        <v>0</v>
      </c>
      <c r="N374" s="41">
        <f t="shared" si="118"/>
        <v>1116</v>
      </c>
      <c r="O374" s="15">
        <f t="shared" si="99"/>
        <v>0</v>
      </c>
    </row>
    <row r="375" spans="1:15" ht="15">
      <c r="A375" s="99" t="s">
        <v>239</v>
      </c>
      <c r="B375" s="25" t="s">
        <v>348</v>
      </c>
      <c r="C375" s="25" t="s">
        <v>85</v>
      </c>
      <c r="D375" s="25" t="s">
        <v>24</v>
      </c>
      <c r="E375" s="25" t="s">
        <v>1016</v>
      </c>
      <c r="F375" s="25" t="s">
        <v>240</v>
      </c>
      <c r="G375" s="135"/>
      <c r="H375" s="135"/>
      <c r="I375" s="135"/>
      <c r="J375" s="26">
        <v>1116</v>
      </c>
      <c r="K375" s="26"/>
      <c r="L375" s="26">
        <f>J375+K375</f>
        <v>1116</v>
      </c>
      <c r="M375" s="40"/>
      <c r="N375" s="41"/>
      <c r="O375" s="15">
        <f t="shared" si="99"/>
        <v>0</v>
      </c>
    </row>
    <row r="376" spans="1:16" ht="15">
      <c r="A376" s="99" t="s">
        <v>239</v>
      </c>
      <c r="B376" s="25" t="s">
        <v>348</v>
      </c>
      <c r="C376" s="25" t="s">
        <v>85</v>
      </c>
      <c r="D376" s="25" t="s">
        <v>24</v>
      </c>
      <c r="E376" s="25" t="s">
        <v>379</v>
      </c>
      <c r="F376" s="25" t="s">
        <v>240</v>
      </c>
      <c r="G376" s="135"/>
      <c r="H376" s="524">
        <v>809.6</v>
      </c>
      <c r="I376" s="135"/>
      <c r="J376" s="26">
        <v>1116</v>
      </c>
      <c r="K376" s="26"/>
      <c r="L376" s="26">
        <f>J376+K376</f>
        <v>1116</v>
      </c>
      <c r="M376" s="40"/>
      <c r="N376" s="29">
        <f>L376+M376</f>
        <v>1116</v>
      </c>
      <c r="O376" s="15">
        <f t="shared" si="99"/>
        <v>0</v>
      </c>
      <c r="P376" s="15">
        <f>K376</f>
        <v>0</v>
      </c>
    </row>
    <row r="377" spans="1:15" ht="12" customHeight="1" hidden="1">
      <c r="A377" s="99" t="s">
        <v>380</v>
      </c>
      <c r="B377" s="25" t="s">
        <v>348</v>
      </c>
      <c r="C377" s="25" t="s">
        <v>85</v>
      </c>
      <c r="D377" s="25" t="s">
        <v>24</v>
      </c>
      <c r="E377" s="25" t="s">
        <v>381</v>
      </c>
      <c r="F377" s="25"/>
      <c r="G377" s="527">
        <f aca="true" t="shared" si="119" ref="G377:N377">G378</f>
        <v>12.43358</v>
      </c>
      <c r="H377" s="527">
        <f t="shared" si="119"/>
        <v>63.5</v>
      </c>
      <c r="I377" s="527">
        <f t="shared" si="119"/>
        <v>0</v>
      </c>
      <c r="J377" s="26">
        <f t="shared" si="119"/>
        <v>0</v>
      </c>
      <c r="K377" s="26">
        <f t="shared" si="119"/>
        <v>0</v>
      </c>
      <c r="L377" s="26">
        <f t="shared" si="119"/>
        <v>0</v>
      </c>
      <c r="M377" s="27">
        <f t="shared" si="119"/>
        <v>0</v>
      </c>
      <c r="N377" s="52">
        <f t="shared" si="119"/>
        <v>0</v>
      </c>
      <c r="O377" s="15">
        <f t="shared" si="99"/>
        <v>0</v>
      </c>
    </row>
    <row r="378" spans="1:15" ht="17.25" customHeight="1" hidden="1">
      <c r="A378" s="99" t="s">
        <v>239</v>
      </c>
      <c r="B378" s="25" t="s">
        <v>348</v>
      </c>
      <c r="C378" s="25" t="s">
        <v>85</v>
      </c>
      <c r="D378" s="25" t="s">
        <v>24</v>
      </c>
      <c r="E378" s="25" t="s">
        <v>381</v>
      </c>
      <c r="F378" s="25" t="s">
        <v>240</v>
      </c>
      <c r="G378" s="527">
        <v>12.43358</v>
      </c>
      <c r="H378" s="524">
        <v>63.5</v>
      </c>
      <c r="I378" s="527"/>
      <c r="J378" s="26"/>
      <c r="K378" s="26"/>
      <c r="L378" s="26">
        <f>J378+K378</f>
        <v>0</v>
      </c>
      <c r="M378" s="27"/>
      <c r="N378" s="29">
        <f>L378+M378</f>
        <v>0</v>
      </c>
      <c r="O378" s="15">
        <f t="shared" si="99"/>
        <v>0</v>
      </c>
    </row>
    <row r="379" spans="1:15" ht="29.25" customHeight="1">
      <c r="A379" s="99" t="s">
        <v>382</v>
      </c>
      <c r="B379" s="25" t="s">
        <v>348</v>
      </c>
      <c r="C379" s="25" t="s">
        <v>85</v>
      </c>
      <c r="D379" s="25" t="s">
        <v>24</v>
      </c>
      <c r="E379" s="25" t="s">
        <v>383</v>
      </c>
      <c r="F379" s="25"/>
      <c r="G379" s="524">
        <f aca="true" t="shared" si="120" ref="G379:N379">G380</f>
        <v>2180.98653</v>
      </c>
      <c r="H379" s="524">
        <f t="shared" si="120"/>
        <v>19158.8</v>
      </c>
      <c r="I379" s="524">
        <f t="shared" si="120"/>
        <v>0</v>
      </c>
      <c r="J379" s="26">
        <f t="shared" si="120"/>
        <v>15774.1</v>
      </c>
      <c r="K379" s="26">
        <f t="shared" si="120"/>
        <v>925.9</v>
      </c>
      <c r="L379" s="26">
        <f t="shared" si="120"/>
        <v>16700</v>
      </c>
      <c r="M379" s="28">
        <f t="shared" si="120"/>
        <v>0</v>
      </c>
      <c r="N379" s="29">
        <f t="shared" si="120"/>
        <v>16700</v>
      </c>
      <c r="O379" s="15">
        <f t="shared" si="99"/>
        <v>0</v>
      </c>
    </row>
    <row r="380" spans="1:16" ht="15">
      <c r="A380" s="99" t="s">
        <v>239</v>
      </c>
      <c r="B380" s="25" t="s">
        <v>348</v>
      </c>
      <c r="C380" s="25" t="s">
        <v>85</v>
      </c>
      <c r="D380" s="25" t="s">
        <v>24</v>
      </c>
      <c r="E380" s="25" t="s">
        <v>383</v>
      </c>
      <c r="F380" s="25" t="s">
        <v>240</v>
      </c>
      <c r="G380" s="524">
        <f>2180.98653</f>
        <v>2180.98653</v>
      </c>
      <c r="H380" s="524">
        <v>19158.8</v>
      </c>
      <c r="I380" s="524"/>
      <c r="J380" s="26">
        <v>15774.1</v>
      </c>
      <c r="K380" s="26">
        <v>925.9</v>
      </c>
      <c r="L380" s="26">
        <f>J380+K380</f>
        <v>16700</v>
      </c>
      <c r="M380" s="28"/>
      <c r="N380" s="29">
        <f>L380+M380</f>
        <v>16700</v>
      </c>
      <c r="O380" s="15">
        <f t="shared" si="99"/>
        <v>0</v>
      </c>
      <c r="P380" s="15">
        <f>K380</f>
        <v>925.9</v>
      </c>
    </row>
    <row r="381" spans="1:15" ht="60" hidden="1">
      <c r="A381" s="99" t="s">
        <v>384</v>
      </c>
      <c r="B381" s="25" t="s">
        <v>348</v>
      </c>
      <c r="C381" s="25" t="s">
        <v>85</v>
      </c>
      <c r="D381" s="25" t="s">
        <v>24</v>
      </c>
      <c r="E381" s="25" t="s">
        <v>385</v>
      </c>
      <c r="F381" s="25"/>
      <c r="G381" s="527">
        <f aca="true" t="shared" si="121" ref="G381:M381">G382+G383</f>
        <v>13.745500000000002</v>
      </c>
      <c r="H381" s="527">
        <f t="shared" si="121"/>
        <v>95.4</v>
      </c>
      <c r="I381" s="527">
        <f t="shared" si="121"/>
        <v>0</v>
      </c>
      <c r="J381" s="26">
        <f t="shared" si="121"/>
        <v>0</v>
      </c>
      <c r="K381" s="26">
        <f t="shared" si="121"/>
        <v>0</v>
      </c>
      <c r="L381" s="26">
        <f t="shared" si="121"/>
        <v>0</v>
      </c>
      <c r="M381" s="27">
        <f t="shared" si="121"/>
        <v>0</v>
      </c>
      <c r="N381" s="52">
        <f>N382+N383</f>
        <v>0</v>
      </c>
      <c r="O381" s="15">
        <f t="shared" si="99"/>
        <v>0</v>
      </c>
    </row>
    <row r="382" spans="1:15" ht="15" hidden="1">
      <c r="A382" s="99" t="s">
        <v>239</v>
      </c>
      <c r="B382" s="25" t="s">
        <v>348</v>
      </c>
      <c r="C382" s="25" t="s">
        <v>85</v>
      </c>
      <c r="D382" s="25" t="s">
        <v>24</v>
      </c>
      <c r="E382" s="25" t="s">
        <v>385</v>
      </c>
      <c r="F382" s="25" t="s">
        <v>240</v>
      </c>
      <c r="G382" s="527">
        <f>5.3945-47.9+47.9</f>
        <v>5.394500000000001</v>
      </c>
      <c r="H382" s="524">
        <v>95.4</v>
      </c>
      <c r="I382" s="527"/>
      <c r="J382" s="26"/>
      <c r="K382" s="26"/>
      <c r="L382" s="26">
        <f>J382+K382</f>
        <v>0</v>
      </c>
      <c r="M382" s="27"/>
      <c r="N382" s="29">
        <f>L382+M382</f>
        <v>0</v>
      </c>
      <c r="O382" s="15">
        <f t="shared" si="99"/>
        <v>0</v>
      </c>
    </row>
    <row r="383" spans="1:15" ht="15" customHeight="1" hidden="1">
      <c r="A383" s="99" t="s">
        <v>239</v>
      </c>
      <c r="B383" s="25" t="s">
        <v>348</v>
      </c>
      <c r="C383" s="25" t="s">
        <v>85</v>
      </c>
      <c r="D383" s="25" t="s">
        <v>24</v>
      </c>
      <c r="E383" s="25" t="s">
        <v>386</v>
      </c>
      <c r="F383" s="25" t="s">
        <v>240</v>
      </c>
      <c r="G383" s="135">
        <f>8.351</f>
        <v>8.351</v>
      </c>
      <c r="H383" s="524"/>
      <c r="I383" s="135"/>
      <c r="J383" s="26">
        <f>H383+I383</f>
        <v>0</v>
      </c>
      <c r="K383" s="26"/>
      <c r="L383" s="26">
        <f>J383+K383</f>
        <v>0</v>
      </c>
      <c r="M383" s="40"/>
      <c r="N383" s="29">
        <f>L383+M383</f>
        <v>0</v>
      </c>
      <c r="O383" s="15">
        <f t="shared" si="99"/>
        <v>0</v>
      </c>
    </row>
    <row r="384" spans="1:15" ht="45">
      <c r="A384" s="99" t="s">
        <v>387</v>
      </c>
      <c r="B384" s="25" t="s">
        <v>348</v>
      </c>
      <c r="C384" s="25" t="s">
        <v>85</v>
      </c>
      <c r="D384" s="25" t="s">
        <v>24</v>
      </c>
      <c r="E384" s="25" t="s">
        <v>388</v>
      </c>
      <c r="F384" s="25"/>
      <c r="G384" s="527">
        <f aca="true" t="shared" si="122" ref="G384:M384">G385+G386</f>
        <v>701.88177</v>
      </c>
      <c r="H384" s="524">
        <f t="shared" si="122"/>
        <v>556.5</v>
      </c>
      <c r="I384" s="527">
        <f t="shared" si="122"/>
        <v>0</v>
      </c>
      <c r="J384" s="26">
        <f t="shared" si="122"/>
        <v>8129.1</v>
      </c>
      <c r="K384" s="26">
        <f t="shared" si="122"/>
        <v>-1200</v>
      </c>
      <c r="L384" s="26">
        <f t="shared" si="122"/>
        <v>6929.1</v>
      </c>
      <c r="M384" s="27">
        <f t="shared" si="122"/>
        <v>0</v>
      </c>
      <c r="N384" s="29">
        <f>N385+N386</f>
        <v>6929.1</v>
      </c>
      <c r="O384" s="15">
        <f t="shared" si="99"/>
        <v>0</v>
      </c>
    </row>
    <row r="385" spans="1:15" ht="15" hidden="1">
      <c r="A385" s="99" t="s">
        <v>239</v>
      </c>
      <c r="B385" s="25" t="s">
        <v>348</v>
      </c>
      <c r="C385" s="25" t="s">
        <v>85</v>
      </c>
      <c r="D385" s="25" t="s">
        <v>24</v>
      </c>
      <c r="E385" s="25" t="s">
        <v>388</v>
      </c>
      <c r="F385" s="25" t="s">
        <v>240</v>
      </c>
      <c r="G385" s="527">
        <f>561.12977+140.752-531</f>
        <v>170.88176999999996</v>
      </c>
      <c r="H385" s="524">
        <v>556.5</v>
      </c>
      <c r="I385" s="527"/>
      <c r="J385" s="26"/>
      <c r="K385" s="26"/>
      <c r="L385" s="26">
        <f>J385+K385</f>
        <v>0</v>
      </c>
      <c r="M385" s="27"/>
      <c r="N385" s="29">
        <f>L385+M385</f>
        <v>0</v>
      </c>
      <c r="O385" s="15">
        <f t="shared" si="99"/>
        <v>0</v>
      </c>
    </row>
    <row r="386" spans="1:15" ht="45">
      <c r="A386" s="84" t="s">
        <v>387</v>
      </c>
      <c r="B386" s="25" t="s">
        <v>348</v>
      </c>
      <c r="C386" s="25" t="s">
        <v>85</v>
      </c>
      <c r="D386" s="25" t="s">
        <v>24</v>
      </c>
      <c r="E386" s="25" t="s">
        <v>389</v>
      </c>
      <c r="F386" s="25"/>
      <c r="G386" s="135">
        <f aca="true" t="shared" si="123" ref="G386:N386">G387</f>
        <v>531</v>
      </c>
      <c r="H386" s="135">
        <f t="shared" si="123"/>
        <v>0</v>
      </c>
      <c r="I386" s="135">
        <f t="shared" si="123"/>
        <v>0</v>
      </c>
      <c r="J386" s="26">
        <f t="shared" si="123"/>
        <v>8129.1</v>
      </c>
      <c r="K386" s="26">
        <f t="shared" si="123"/>
        <v>-1200</v>
      </c>
      <c r="L386" s="26">
        <f t="shared" si="123"/>
        <v>6929.1</v>
      </c>
      <c r="M386" s="40">
        <f t="shared" si="123"/>
        <v>0</v>
      </c>
      <c r="N386" s="41">
        <f t="shared" si="123"/>
        <v>6929.1</v>
      </c>
      <c r="O386" s="15">
        <f t="shared" si="99"/>
        <v>0</v>
      </c>
    </row>
    <row r="387" spans="1:16" ht="15">
      <c r="A387" s="99" t="s">
        <v>239</v>
      </c>
      <c r="B387" s="25" t="s">
        <v>348</v>
      </c>
      <c r="C387" s="25" t="s">
        <v>85</v>
      </c>
      <c r="D387" s="25" t="s">
        <v>24</v>
      </c>
      <c r="E387" s="25" t="s">
        <v>389</v>
      </c>
      <c r="F387" s="25" t="s">
        <v>240</v>
      </c>
      <c r="G387" s="135">
        <v>531</v>
      </c>
      <c r="H387" s="524"/>
      <c r="I387" s="135"/>
      <c r="J387" s="26">
        <v>8129.1</v>
      </c>
      <c r="K387" s="26">
        <v>-1200</v>
      </c>
      <c r="L387" s="26">
        <f>J387+K387</f>
        <v>6929.1</v>
      </c>
      <c r="M387" s="40"/>
      <c r="N387" s="29">
        <f>L387+M387</f>
        <v>6929.1</v>
      </c>
      <c r="O387" s="15">
        <f t="shared" si="99"/>
        <v>0</v>
      </c>
      <c r="P387" s="15">
        <f>K387</f>
        <v>-1200</v>
      </c>
    </row>
    <row r="388" spans="1:15" ht="30">
      <c r="A388" s="105" t="s">
        <v>367</v>
      </c>
      <c r="B388" s="25" t="s">
        <v>348</v>
      </c>
      <c r="C388" s="25" t="s">
        <v>85</v>
      </c>
      <c r="D388" s="25" t="s">
        <v>24</v>
      </c>
      <c r="E388" s="25" t="s">
        <v>390</v>
      </c>
      <c r="F388" s="25"/>
      <c r="G388" s="135"/>
      <c r="H388" s="524"/>
      <c r="I388" s="135"/>
      <c r="J388" s="26">
        <f>J389</f>
        <v>7021</v>
      </c>
      <c r="K388" s="26">
        <f>K389</f>
        <v>0</v>
      </c>
      <c r="L388" s="26">
        <f>L389</f>
        <v>7021</v>
      </c>
      <c r="M388" s="40"/>
      <c r="N388" s="29"/>
      <c r="O388" s="15">
        <f t="shared" si="99"/>
        <v>0</v>
      </c>
    </row>
    <row r="389" spans="1:16" ht="15">
      <c r="A389" s="105" t="s">
        <v>369</v>
      </c>
      <c r="B389" s="25" t="s">
        <v>348</v>
      </c>
      <c r="C389" s="25" t="s">
        <v>85</v>
      </c>
      <c r="D389" s="25" t="s">
        <v>24</v>
      </c>
      <c r="E389" s="25" t="s">
        <v>390</v>
      </c>
      <c r="F389" s="25" t="s">
        <v>240</v>
      </c>
      <c r="G389" s="135"/>
      <c r="H389" s="524"/>
      <c r="I389" s="135"/>
      <c r="J389" s="26">
        <v>7021</v>
      </c>
      <c r="K389" s="26"/>
      <c r="L389" s="26">
        <f>J389+K389</f>
        <v>7021</v>
      </c>
      <c r="M389" s="40"/>
      <c r="N389" s="29"/>
      <c r="O389" s="15">
        <f t="shared" si="99"/>
        <v>0</v>
      </c>
      <c r="P389" s="15">
        <f>K389</f>
        <v>0</v>
      </c>
    </row>
    <row r="390" spans="1:15" ht="45">
      <c r="A390" s="84" t="s">
        <v>371</v>
      </c>
      <c r="B390" s="25" t="s">
        <v>348</v>
      </c>
      <c r="C390" s="25" t="s">
        <v>85</v>
      </c>
      <c r="D390" s="25" t="s">
        <v>24</v>
      </c>
      <c r="E390" s="25" t="s">
        <v>391</v>
      </c>
      <c r="F390" s="25"/>
      <c r="G390" s="135"/>
      <c r="H390" s="524"/>
      <c r="I390" s="135"/>
      <c r="J390" s="26">
        <f>J391</f>
        <v>3840</v>
      </c>
      <c r="K390" s="26">
        <f>K391</f>
        <v>-320</v>
      </c>
      <c r="L390" s="26">
        <f>L391</f>
        <v>3520</v>
      </c>
      <c r="M390" s="40"/>
      <c r="N390" s="29"/>
      <c r="O390" s="15">
        <f t="shared" si="99"/>
        <v>0</v>
      </c>
    </row>
    <row r="391" spans="1:16" ht="15">
      <c r="A391" s="99" t="s">
        <v>239</v>
      </c>
      <c r="B391" s="25" t="s">
        <v>348</v>
      </c>
      <c r="C391" s="25" t="s">
        <v>85</v>
      </c>
      <c r="D391" s="25" t="s">
        <v>24</v>
      </c>
      <c r="E391" s="25" t="s">
        <v>391</v>
      </c>
      <c r="F391" s="25" t="s">
        <v>240</v>
      </c>
      <c r="G391" s="135"/>
      <c r="H391" s="524"/>
      <c r="I391" s="135"/>
      <c r="J391" s="26">
        <v>3840</v>
      </c>
      <c r="K391" s="26">
        <v>-320</v>
      </c>
      <c r="L391" s="26">
        <f>J391+K391</f>
        <v>3520</v>
      </c>
      <c r="M391" s="40"/>
      <c r="N391" s="29"/>
      <c r="O391" s="15">
        <f t="shared" si="99"/>
        <v>0</v>
      </c>
      <c r="P391" s="15">
        <f>K391</f>
        <v>-320</v>
      </c>
    </row>
    <row r="392" spans="1:15" ht="60">
      <c r="A392" s="99" t="s">
        <v>384</v>
      </c>
      <c r="B392" s="25" t="s">
        <v>348</v>
      </c>
      <c r="C392" s="25" t="s">
        <v>85</v>
      </c>
      <c r="D392" s="25" t="s">
        <v>24</v>
      </c>
      <c r="E392" s="25" t="s">
        <v>392</v>
      </c>
      <c r="F392" s="25"/>
      <c r="G392" s="135"/>
      <c r="H392" s="524"/>
      <c r="I392" s="135"/>
      <c r="J392" s="26">
        <f>J394+J393</f>
        <v>230</v>
      </c>
      <c r="K392" s="26">
        <f>K394+K393</f>
        <v>0</v>
      </c>
      <c r="L392" s="26">
        <f>L394+L393</f>
        <v>230</v>
      </c>
      <c r="M392" s="40"/>
      <c r="N392" s="29"/>
      <c r="O392" s="15">
        <f t="shared" si="99"/>
        <v>0</v>
      </c>
    </row>
    <row r="393" spans="1:15" ht="15">
      <c r="A393" s="99" t="s">
        <v>239</v>
      </c>
      <c r="B393" s="25" t="s">
        <v>348</v>
      </c>
      <c r="C393" s="25" t="s">
        <v>85</v>
      </c>
      <c r="D393" s="25" t="s">
        <v>24</v>
      </c>
      <c r="E393" s="25" t="s">
        <v>392</v>
      </c>
      <c r="F393" s="25" t="s">
        <v>240</v>
      </c>
      <c r="G393" s="135"/>
      <c r="H393" s="524"/>
      <c r="I393" s="135"/>
      <c r="J393" s="26">
        <f>134.9</f>
        <v>134.9</v>
      </c>
      <c r="K393" s="26"/>
      <c r="L393" s="26">
        <f>K393+J393</f>
        <v>134.9</v>
      </c>
      <c r="M393" s="40"/>
      <c r="N393" s="29"/>
      <c r="O393" s="15">
        <f t="shared" si="99"/>
        <v>0</v>
      </c>
    </row>
    <row r="394" spans="1:16" ht="15">
      <c r="A394" s="99" t="s">
        <v>239</v>
      </c>
      <c r="B394" s="25" t="s">
        <v>348</v>
      </c>
      <c r="C394" s="25" t="s">
        <v>85</v>
      </c>
      <c r="D394" s="25" t="s">
        <v>24</v>
      </c>
      <c r="E394" s="25" t="s">
        <v>393</v>
      </c>
      <c r="F394" s="25" t="s">
        <v>240</v>
      </c>
      <c r="G394" s="135"/>
      <c r="H394" s="524"/>
      <c r="I394" s="135"/>
      <c r="J394" s="26">
        <f>230-134.9</f>
        <v>95.1</v>
      </c>
      <c r="K394" s="26"/>
      <c r="L394" s="26">
        <f>J394+K394</f>
        <v>95.1</v>
      </c>
      <c r="M394" s="40"/>
      <c r="N394" s="29"/>
      <c r="O394" s="15">
        <f t="shared" si="99"/>
        <v>0</v>
      </c>
      <c r="P394" s="15">
        <f>K394</f>
        <v>0</v>
      </c>
    </row>
    <row r="395" spans="1:15" ht="30">
      <c r="A395" s="84" t="s">
        <v>394</v>
      </c>
      <c r="B395" s="25" t="s">
        <v>348</v>
      </c>
      <c r="C395" s="25" t="s">
        <v>85</v>
      </c>
      <c r="D395" s="25" t="s">
        <v>24</v>
      </c>
      <c r="E395" s="25" t="s">
        <v>395</v>
      </c>
      <c r="F395" s="25"/>
      <c r="G395" s="135">
        <f aca="true" t="shared" si="124" ref="G395:N395">G396</f>
        <v>206</v>
      </c>
      <c r="H395" s="135">
        <f t="shared" si="124"/>
        <v>0</v>
      </c>
      <c r="I395" s="135">
        <f t="shared" si="124"/>
        <v>0</v>
      </c>
      <c r="J395" s="26">
        <f t="shared" si="124"/>
        <v>327</v>
      </c>
      <c r="K395" s="26">
        <f t="shared" si="124"/>
        <v>-27.25</v>
      </c>
      <c r="L395" s="26">
        <f t="shared" si="124"/>
        <v>299.75</v>
      </c>
      <c r="M395" s="40">
        <f t="shared" si="124"/>
        <v>0</v>
      </c>
      <c r="N395" s="41">
        <f t="shared" si="124"/>
        <v>299.75</v>
      </c>
      <c r="O395" s="15">
        <f t="shared" si="99"/>
        <v>0</v>
      </c>
    </row>
    <row r="396" spans="1:16" ht="15">
      <c r="A396" s="99" t="s">
        <v>239</v>
      </c>
      <c r="B396" s="25" t="s">
        <v>348</v>
      </c>
      <c r="C396" s="25" t="s">
        <v>85</v>
      </c>
      <c r="D396" s="25" t="s">
        <v>24</v>
      </c>
      <c r="E396" s="25" t="s">
        <v>395</v>
      </c>
      <c r="F396" s="25" t="s">
        <v>240</v>
      </c>
      <c r="G396" s="135">
        <f>206</f>
        <v>206</v>
      </c>
      <c r="H396" s="524"/>
      <c r="I396" s="135"/>
      <c r="J396" s="26">
        <v>327</v>
      </c>
      <c r="K396" s="26">
        <v>-27.25</v>
      </c>
      <c r="L396" s="26">
        <f>J396+K396</f>
        <v>299.75</v>
      </c>
      <c r="M396" s="40"/>
      <c r="N396" s="29">
        <f>L396+M396</f>
        <v>299.75</v>
      </c>
      <c r="O396" s="15">
        <f t="shared" si="99"/>
        <v>0</v>
      </c>
      <c r="P396" s="15">
        <f>K396</f>
        <v>-27.25</v>
      </c>
    </row>
    <row r="397" spans="1:15" ht="42" customHeight="1">
      <c r="A397" s="30" t="s">
        <v>396</v>
      </c>
      <c r="B397" s="25" t="s">
        <v>348</v>
      </c>
      <c r="C397" s="25" t="s">
        <v>85</v>
      </c>
      <c r="D397" s="25" t="s">
        <v>24</v>
      </c>
      <c r="E397" s="25" t="s">
        <v>397</v>
      </c>
      <c r="F397" s="25"/>
      <c r="G397" s="527">
        <f aca="true" t="shared" si="125" ref="G397:N397">G398</f>
        <v>99.15607</v>
      </c>
      <c r="H397" s="527">
        <f t="shared" si="125"/>
        <v>0</v>
      </c>
      <c r="I397" s="527">
        <f t="shared" si="125"/>
        <v>0</v>
      </c>
      <c r="J397" s="26">
        <f t="shared" si="125"/>
        <v>897</v>
      </c>
      <c r="K397" s="26">
        <f t="shared" si="125"/>
        <v>-74.75</v>
      </c>
      <c r="L397" s="26">
        <f t="shared" si="125"/>
        <v>822.25</v>
      </c>
      <c r="M397" s="27">
        <f t="shared" si="125"/>
        <v>0</v>
      </c>
      <c r="N397" s="52">
        <f t="shared" si="125"/>
        <v>822.25</v>
      </c>
      <c r="O397" s="15">
        <f aca="true" t="shared" si="126" ref="O397:O460">J397+K397-L397</f>
        <v>0</v>
      </c>
    </row>
    <row r="398" spans="1:16" ht="16.5" customHeight="1">
      <c r="A398" s="99" t="s">
        <v>239</v>
      </c>
      <c r="B398" s="25" t="s">
        <v>348</v>
      </c>
      <c r="C398" s="25" t="s">
        <v>85</v>
      </c>
      <c r="D398" s="25" t="s">
        <v>24</v>
      </c>
      <c r="E398" s="25" t="s">
        <v>397</v>
      </c>
      <c r="F398" s="25" t="s">
        <v>240</v>
      </c>
      <c r="G398" s="527">
        <f>9.15607+90</f>
        <v>99.15607</v>
      </c>
      <c r="H398" s="524"/>
      <c r="I398" s="527"/>
      <c r="J398" s="26">
        <v>897</v>
      </c>
      <c r="K398" s="26">
        <v>-74.75</v>
      </c>
      <c r="L398" s="26">
        <f>J398+K398</f>
        <v>822.25</v>
      </c>
      <c r="M398" s="27"/>
      <c r="N398" s="29">
        <f>L398+M398</f>
        <v>822.25</v>
      </c>
      <c r="O398" s="15">
        <f t="shared" si="126"/>
        <v>0</v>
      </c>
      <c r="P398" s="15">
        <f>K398</f>
        <v>-74.75</v>
      </c>
    </row>
    <row r="399" spans="1:15" ht="78" customHeight="1">
      <c r="A399" s="84" t="s">
        <v>398</v>
      </c>
      <c r="B399" s="25" t="s">
        <v>348</v>
      </c>
      <c r="C399" s="25" t="s">
        <v>85</v>
      </c>
      <c r="D399" s="25" t="s">
        <v>24</v>
      </c>
      <c r="E399" s="25" t="s">
        <v>399</v>
      </c>
      <c r="F399" s="25"/>
      <c r="G399" s="524">
        <f aca="true" t="shared" si="127" ref="G399:N399">G400</f>
        <v>3526.34117</v>
      </c>
      <c r="H399" s="524">
        <f t="shared" si="127"/>
        <v>0</v>
      </c>
      <c r="I399" s="524">
        <f t="shared" si="127"/>
        <v>0</v>
      </c>
      <c r="J399" s="26">
        <f t="shared" si="127"/>
        <v>7042</v>
      </c>
      <c r="K399" s="26">
        <f t="shared" si="127"/>
        <v>1002</v>
      </c>
      <c r="L399" s="26">
        <f t="shared" si="127"/>
        <v>8044</v>
      </c>
      <c r="M399" s="28">
        <f t="shared" si="127"/>
        <v>0</v>
      </c>
      <c r="N399" s="29">
        <f t="shared" si="127"/>
        <v>8044</v>
      </c>
      <c r="O399" s="15">
        <f t="shared" si="126"/>
        <v>0</v>
      </c>
    </row>
    <row r="400" spans="1:16" ht="16.5" customHeight="1">
      <c r="A400" s="99" t="s">
        <v>239</v>
      </c>
      <c r="B400" s="25" t="s">
        <v>348</v>
      </c>
      <c r="C400" s="25" t="s">
        <v>85</v>
      </c>
      <c r="D400" s="25" t="s">
        <v>24</v>
      </c>
      <c r="E400" s="25" t="s">
        <v>399</v>
      </c>
      <c r="F400" s="25" t="s">
        <v>240</v>
      </c>
      <c r="G400" s="524">
        <f>13.34117+3513</f>
        <v>3526.34117</v>
      </c>
      <c r="H400" s="524"/>
      <c r="I400" s="524"/>
      <c r="J400" s="26">
        <v>7042</v>
      </c>
      <c r="K400" s="26">
        <v>1002</v>
      </c>
      <c r="L400" s="26">
        <f>J400+K400</f>
        <v>8044</v>
      </c>
      <c r="M400" s="28"/>
      <c r="N400" s="29">
        <f>L400+M400</f>
        <v>8044</v>
      </c>
      <c r="O400" s="15">
        <f t="shared" si="126"/>
        <v>0</v>
      </c>
      <c r="P400" s="15">
        <f>K400</f>
        <v>1002</v>
      </c>
    </row>
    <row r="401" spans="1:15" ht="29.25" customHeight="1">
      <c r="A401" s="30" t="s">
        <v>400</v>
      </c>
      <c r="B401" s="25" t="s">
        <v>348</v>
      </c>
      <c r="C401" s="25" t="s">
        <v>85</v>
      </c>
      <c r="D401" s="25" t="s">
        <v>24</v>
      </c>
      <c r="E401" s="25" t="s">
        <v>401</v>
      </c>
      <c r="F401" s="25"/>
      <c r="G401" s="527">
        <f aca="true" t="shared" si="128" ref="G401:N401">G402</f>
        <v>796.46933</v>
      </c>
      <c r="H401" s="527">
        <f t="shared" si="128"/>
        <v>0</v>
      </c>
      <c r="I401" s="527">
        <f t="shared" si="128"/>
        <v>0</v>
      </c>
      <c r="J401" s="26">
        <f t="shared" si="128"/>
        <v>2592</v>
      </c>
      <c r="K401" s="26">
        <f t="shared" si="128"/>
        <v>-216</v>
      </c>
      <c r="L401" s="26">
        <f t="shared" si="128"/>
        <v>2376</v>
      </c>
      <c r="M401" s="27">
        <f t="shared" si="128"/>
        <v>0</v>
      </c>
      <c r="N401" s="52">
        <f t="shared" si="128"/>
        <v>2376</v>
      </c>
      <c r="O401" s="15">
        <f t="shared" si="126"/>
        <v>0</v>
      </c>
    </row>
    <row r="402" spans="1:16" ht="15">
      <c r="A402" s="99" t="s">
        <v>239</v>
      </c>
      <c r="B402" s="25" t="s">
        <v>348</v>
      </c>
      <c r="C402" s="25" t="s">
        <v>85</v>
      </c>
      <c r="D402" s="25" t="s">
        <v>24</v>
      </c>
      <c r="E402" s="25" t="s">
        <v>401</v>
      </c>
      <c r="F402" s="25" t="s">
        <v>240</v>
      </c>
      <c r="G402" s="527">
        <f>0.46933+796</f>
        <v>796.46933</v>
      </c>
      <c r="H402" s="524"/>
      <c r="I402" s="527"/>
      <c r="J402" s="26">
        <v>2592</v>
      </c>
      <c r="K402" s="26">
        <v>-216</v>
      </c>
      <c r="L402" s="26">
        <f>J402+K402</f>
        <v>2376</v>
      </c>
      <c r="M402" s="27"/>
      <c r="N402" s="29">
        <f>L402+M402</f>
        <v>2376</v>
      </c>
      <c r="O402" s="15">
        <f t="shared" si="126"/>
        <v>0</v>
      </c>
      <c r="P402" s="15">
        <f>K402</f>
        <v>-216</v>
      </c>
    </row>
    <row r="403" spans="1:15" ht="30">
      <c r="A403" s="99" t="s">
        <v>402</v>
      </c>
      <c r="B403" s="25" t="s">
        <v>348</v>
      </c>
      <c r="C403" s="25" t="s">
        <v>85</v>
      </c>
      <c r="D403" s="25" t="s">
        <v>24</v>
      </c>
      <c r="E403" s="25" t="s">
        <v>403</v>
      </c>
      <c r="F403" s="25"/>
      <c r="G403" s="135">
        <f aca="true" t="shared" si="129" ref="G403:N403">G404</f>
        <v>-796</v>
      </c>
      <c r="H403" s="135">
        <f t="shared" si="129"/>
        <v>1054.3</v>
      </c>
      <c r="I403" s="135">
        <f t="shared" si="129"/>
        <v>0</v>
      </c>
      <c r="J403" s="26">
        <f t="shared" si="129"/>
        <v>440.986</v>
      </c>
      <c r="K403" s="26">
        <f>K404+K406</f>
        <v>55</v>
      </c>
      <c r="L403" s="26">
        <f t="shared" si="129"/>
        <v>495.986</v>
      </c>
      <c r="M403" s="40">
        <f t="shared" si="129"/>
        <v>122</v>
      </c>
      <c r="N403" s="41">
        <f t="shared" si="129"/>
        <v>617.986</v>
      </c>
      <c r="O403" s="15">
        <f t="shared" si="126"/>
        <v>0</v>
      </c>
    </row>
    <row r="404" spans="1:16" ht="15">
      <c r="A404" s="99" t="s">
        <v>239</v>
      </c>
      <c r="B404" s="25" t="s">
        <v>348</v>
      </c>
      <c r="C404" s="25" t="s">
        <v>85</v>
      </c>
      <c r="D404" s="25" t="s">
        <v>24</v>
      </c>
      <c r="E404" s="25" t="s">
        <v>403</v>
      </c>
      <c r="F404" s="25" t="s">
        <v>240</v>
      </c>
      <c r="G404" s="135">
        <v>-796</v>
      </c>
      <c r="H404" s="524">
        <v>1054.3</v>
      </c>
      <c r="I404" s="135"/>
      <c r="J404" s="26">
        <v>440.986</v>
      </c>
      <c r="K404" s="26">
        <v>55</v>
      </c>
      <c r="L404" s="26">
        <f>J404+K404</f>
        <v>495.986</v>
      </c>
      <c r="M404" s="40">
        <f>122</f>
        <v>122</v>
      </c>
      <c r="N404" s="29">
        <f>L404+M404</f>
        <v>617.986</v>
      </c>
      <c r="O404" s="15">
        <f t="shared" si="126"/>
        <v>0</v>
      </c>
      <c r="P404" s="15">
        <f>L404-O404</f>
        <v>495.986</v>
      </c>
    </row>
    <row r="405" spans="1:15" ht="27.75" customHeight="1" hidden="1">
      <c r="A405" s="99" t="s">
        <v>404</v>
      </c>
      <c r="B405" s="25" t="s">
        <v>348</v>
      </c>
      <c r="C405" s="25" t="s">
        <v>85</v>
      </c>
      <c r="D405" s="25" t="s">
        <v>24</v>
      </c>
      <c r="E405" s="25" t="s">
        <v>405</v>
      </c>
      <c r="F405" s="25"/>
      <c r="G405" s="135">
        <f aca="true" t="shared" si="130" ref="G405:N406">G406</f>
        <v>-3513</v>
      </c>
      <c r="H405" s="135">
        <f t="shared" si="130"/>
        <v>3681.6</v>
      </c>
      <c r="I405" s="135">
        <f t="shared" si="130"/>
        <v>0</v>
      </c>
      <c r="J405" s="26">
        <f t="shared" si="130"/>
        <v>0</v>
      </c>
      <c r="K405" s="26"/>
      <c r="L405" s="26">
        <f t="shared" si="130"/>
        <v>0</v>
      </c>
      <c r="M405" s="40">
        <f t="shared" si="130"/>
        <v>0</v>
      </c>
      <c r="N405" s="41">
        <f t="shared" si="130"/>
        <v>0</v>
      </c>
      <c r="O405" s="15">
        <f t="shared" si="126"/>
        <v>0</v>
      </c>
    </row>
    <row r="406" spans="1:15" ht="29.25" customHeight="1">
      <c r="A406" s="99" t="s">
        <v>402</v>
      </c>
      <c r="B406" s="25" t="s">
        <v>348</v>
      </c>
      <c r="C406" s="25" t="s">
        <v>85</v>
      </c>
      <c r="D406" s="25" t="s">
        <v>24</v>
      </c>
      <c r="E406" s="25" t="s">
        <v>406</v>
      </c>
      <c r="F406" s="25"/>
      <c r="G406" s="135">
        <f t="shared" si="130"/>
        <v>-3513</v>
      </c>
      <c r="H406" s="135">
        <f t="shared" si="130"/>
        <v>3681.6</v>
      </c>
      <c r="I406" s="135">
        <f t="shared" si="130"/>
        <v>0</v>
      </c>
      <c r="J406" s="26">
        <f t="shared" si="130"/>
        <v>0</v>
      </c>
      <c r="K406" s="26">
        <f t="shared" si="130"/>
        <v>0</v>
      </c>
      <c r="L406" s="26">
        <f t="shared" si="130"/>
        <v>0</v>
      </c>
      <c r="M406" s="40">
        <f t="shared" si="130"/>
        <v>0</v>
      </c>
      <c r="N406" s="41">
        <f t="shared" si="130"/>
        <v>0</v>
      </c>
      <c r="O406" s="15">
        <f t="shared" si="126"/>
        <v>0</v>
      </c>
    </row>
    <row r="407" spans="1:15" ht="15.75" customHeight="1">
      <c r="A407" s="99" t="s">
        <v>239</v>
      </c>
      <c r="B407" s="25" t="s">
        <v>348</v>
      </c>
      <c r="C407" s="25" t="s">
        <v>85</v>
      </c>
      <c r="D407" s="25" t="s">
        <v>24</v>
      </c>
      <c r="E407" s="25" t="s">
        <v>406</v>
      </c>
      <c r="F407" s="25" t="s">
        <v>240</v>
      </c>
      <c r="G407" s="135">
        <v>-3513</v>
      </c>
      <c r="H407" s="524">
        <v>3681.6</v>
      </c>
      <c r="I407" s="135"/>
      <c r="J407" s="26">
        <v>0</v>
      </c>
      <c r="K407" s="26"/>
      <c r="L407" s="26">
        <f>J407+K407</f>
        <v>0</v>
      </c>
      <c r="M407" s="40"/>
      <c r="N407" s="29">
        <f>L407+M407</f>
        <v>0</v>
      </c>
      <c r="O407" s="15">
        <f t="shared" si="126"/>
        <v>0</v>
      </c>
    </row>
    <row r="408" spans="1:15" s="102" customFormat="1" ht="29.25">
      <c r="A408" s="108" t="s">
        <v>92</v>
      </c>
      <c r="B408" s="24" t="s">
        <v>348</v>
      </c>
      <c r="C408" s="24" t="s">
        <v>85</v>
      </c>
      <c r="D408" s="24" t="s">
        <v>30</v>
      </c>
      <c r="E408" s="24"/>
      <c r="F408" s="24"/>
      <c r="G408" s="503">
        <f aca="true" t="shared" si="131" ref="G408:M408">G411+G415+G409</f>
        <v>75</v>
      </c>
      <c r="H408" s="503">
        <f t="shared" si="131"/>
        <v>1158.1000000000001</v>
      </c>
      <c r="I408" s="503">
        <f t="shared" si="131"/>
        <v>0</v>
      </c>
      <c r="J408" s="504">
        <f t="shared" si="131"/>
        <v>1917.93</v>
      </c>
      <c r="K408" s="504">
        <f t="shared" si="131"/>
        <v>45.26364</v>
      </c>
      <c r="L408" s="504">
        <f t="shared" si="131"/>
        <v>1963.19364</v>
      </c>
      <c r="M408" s="505">
        <f t="shared" si="131"/>
        <v>-169</v>
      </c>
      <c r="N408" s="86">
        <f>N411+N415+N409</f>
        <v>1592.06587</v>
      </c>
      <c r="O408" s="15">
        <f t="shared" si="126"/>
        <v>0</v>
      </c>
    </row>
    <row r="409" spans="1:15" s="102" customFormat="1" ht="78.75" customHeight="1">
      <c r="A409" s="30" t="s">
        <v>355</v>
      </c>
      <c r="B409" s="25" t="s">
        <v>348</v>
      </c>
      <c r="C409" s="25" t="s">
        <v>85</v>
      </c>
      <c r="D409" s="25" t="s">
        <v>30</v>
      </c>
      <c r="E409" s="25" t="s">
        <v>356</v>
      </c>
      <c r="F409" s="25"/>
      <c r="G409" s="135">
        <f aca="true" t="shared" si="132" ref="G409:N409">G410</f>
        <v>912</v>
      </c>
      <c r="H409" s="135">
        <f t="shared" si="132"/>
        <v>0</v>
      </c>
      <c r="I409" s="135">
        <f t="shared" si="132"/>
        <v>0</v>
      </c>
      <c r="J409" s="26">
        <f t="shared" si="132"/>
        <v>1317</v>
      </c>
      <c r="K409" s="26">
        <f t="shared" si="132"/>
        <v>-53.43413</v>
      </c>
      <c r="L409" s="26">
        <f t="shared" si="132"/>
        <v>1263.56587</v>
      </c>
      <c r="M409" s="40">
        <f t="shared" si="132"/>
        <v>-250</v>
      </c>
      <c r="N409" s="41">
        <f t="shared" si="132"/>
        <v>1013.5658699999999</v>
      </c>
      <c r="O409" s="15">
        <f t="shared" si="126"/>
        <v>0</v>
      </c>
    </row>
    <row r="410" spans="1:18" s="102" customFormat="1" ht="30">
      <c r="A410" s="30" t="s">
        <v>133</v>
      </c>
      <c r="B410" s="25" t="s">
        <v>348</v>
      </c>
      <c r="C410" s="25" t="s">
        <v>85</v>
      </c>
      <c r="D410" s="25" t="s">
        <v>30</v>
      </c>
      <c r="E410" s="25" t="s">
        <v>356</v>
      </c>
      <c r="F410" s="25" t="s">
        <v>131</v>
      </c>
      <c r="G410" s="135">
        <f>950-38</f>
        <v>912</v>
      </c>
      <c r="H410" s="524"/>
      <c r="I410" s="135"/>
      <c r="J410" s="26">
        <v>1317</v>
      </c>
      <c r="K410" s="26">
        <v>-53.43413</v>
      </c>
      <c r="L410" s="26">
        <f>J410+K410</f>
        <v>1263.56587</v>
      </c>
      <c r="M410" s="40">
        <f>-250</f>
        <v>-250</v>
      </c>
      <c r="N410" s="29">
        <f>L410+M410</f>
        <v>1013.5658699999999</v>
      </c>
      <c r="O410" s="15">
        <f t="shared" si="126"/>
        <v>0</v>
      </c>
      <c r="P410" s="134">
        <f>K348</f>
        <v>180.43413</v>
      </c>
      <c r="R410" s="134">
        <f>L410+L348</f>
        <v>9523.560000000001</v>
      </c>
    </row>
    <row r="411" spans="1:15" ht="30">
      <c r="A411" s="105" t="s">
        <v>407</v>
      </c>
      <c r="B411" s="25" t="s">
        <v>348</v>
      </c>
      <c r="C411" s="25" t="s">
        <v>85</v>
      </c>
      <c r="D411" s="25" t="s">
        <v>30</v>
      </c>
      <c r="E411" s="25" t="s">
        <v>189</v>
      </c>
      <c r="F411" s="25"/>
      <c r="G411" s="135">
        <f aca="true" t="shared" si="133" ref="G411:N412">G412</f>
        <v>-912</v>
      </c>
      <c r="H411" s="135">
        <f t="shared" si="133"/>
        <v>1095.22</v>
      </c>
      <c r="I411" s="135">
        <f t="shared" si="133"/>
        <v>0</v>
      </c>
      <c r="J411" s="26">
        <f>J412</f>
        <v>199.18</v>
      </c>
      <c r="K411" s="26">
        <f t="shared" si="133"/>
        <v>2.94777</v>
      </c>
      <c r="L411" s="26">
        <f t="shared" si="133"/>
        <v>202.12777</v>
      </c>
      <c r="M411" s="40">
        <f t="shared" si="133"/>
        <v>41</v>
      </c>
      <c r="N411" s="41">
        <f t="shared" si="133"/>
        <v>41</v>
      </c>
      <c r="O411" s="15">
        <f t="shared" si="126"/>
        <v>0</v>
      </c>
    </row>
    <row r="412" spans="1:15" ht="15">
      <c r="A412" s="105" t="s">
        <v>190</v>
      </c>
      <c r="B412" s="25" t="s">
        <v>348</v>
      </c>
      <c r="C412" s="25" t="s">
        <v>85</v>
      </c>
      <c r="D412" s="25" t="s">
        <v>30</v>
      </c>
      <c r="E412" s="25" t="s">
        <v>191</v>
      </c>
      <c r="F412" s="25"/>
      <c r="G412" s="135">
        <f t="shared" si="133"/>
        <v>-912</v>
      </c>
      <c r="H412" s="135">
        <f t="shared" si="133"/>
        <v>1095.22</v>
      </c>
      <c r="I412" s="135">
        <f t="shared" si="133"/>
        <v>0</v>
      </c>
      <c r="J412" s="26">
        <f>J413+J414</f>
        <v>199.18</v>
      </c>
      <c r="K412" s="26">
        <f>K413+K414</f>
        <v>2.94777</v>
      </c>
      <c r="L412" s="26">
        <f>L413+L414</f>
        <v>202.12777</v>
      </c>
      <c r="M412" s="40">
        <f t="shared" si="133"/>
        <v>41</v>
      </c>
      <c r="N412" s="41">
        <f t="shared" si="133"/>
        <v>41</v>
      </c>
      <c r="O412" s="15">
        <f t="shared" si="126"/>
        <v>0</v>
      </c>
    </row>
    <row r="413" spans="1:15" ht="30" hidden="1">
      <c r="A413" s="99" t="s">
        <v>139</v>
      </c>
      <c r="B413" s="25" t="s">
        <v>348</v>
      </c>
      <c r="C413" s="25" t="s">
        <v>85</v>
      </c>
      <c r="D413" s="25" t="s">
        <v>30</v>
      </c>
      <c r="E413" s="25" t="s">
        <v>191</v>
      </c>
      <c r="F413" s="25" t="s">
        <v>230</v>
      </c>
      <c r="G413" s="135">
        <f>-950+38</f>
        <v>-912</v>
      </c>
      <c r="H413" s="524">
        <v>1095.22</v>
      </c>
      <c r="I413" s="135"/>
      <c r="J413" s="26"/>
      <c r="K413" s="26"/>
      <c r="L413" s="26">
        <f>J413+K413</f>
        <v>0</v>
      </c>
      <c r="M413" s="40">
        <f>-9+50</f>
        <v>41</v>
      </c>
      <c r="N413" s="29">
        <f>L413+M413</f>
        <v>41</v>
      </c>
      <c r="O413" s="15">
        <f t="shared" si="126"/>
        <v>0</v>
      </c>
    </row>
    <row r="414" spans="1:20" ht="30">
      <c r="A414" s="30" t="s">
        <v>133</v>
      </c>
      <c r="B414" s="25" t="s">
        <v>348</v>
      </c>
      <c r="C414" s="25" t="s">
        <v>85</v>
      </c>
      <c r="D414" s="25" t="s">
        <v>30</v>
      </c>
      <c r="E414" s="25" t="s">
        <v>191</v>
      </c>
      <c r="F414" s="25" t="s">
        <v>131</v>
      </c>
      <c r="G414" s="135"/>
      <c r="H414" s="524"/>
      <c r="I414" s="135"/>
      <c r="J414" s="26">
        <v>199.18</v>
      </c>
      <c r="K414" s="26">
        <v>2.94777</v>
      </c>
      <c r="L414" s="26">
        <f>J414+K414</f>
        <v>202.12777</v>
      </c>
      <c r="M414" s="40"/>
      <c r="N414" s="29"/>
      <c r="O414" s="15">
        <f t="shared" si="126"/>
        <v>0</v>
      </c>
      <c r="P414" s="42">
        <f>L414-O414</f>
        <v>202.12777</v>
      </c>
      <c r="S414" s="11">
        <v>174.11</v>
      </c>
      <c r="T414" s="144">
        <f>L414+L355</f>
        <v>586.4224099999999</v>
      </c>
    </row>
    <row r="415" spans="1:15" ht="30">
      <c r="A415" s="99" t="s">
        <v>408</v>
      </c>
      <c r="B415" s="25" t="s">
        <v>348</v>
      </c>
      <c r="C415" s="25" t="s">
        <v>85</v>
      </c>
      <c r="D415" s="25" t="s">
        <v>30</v>
      </c>
      <c r="E415" s="25" t="s">
        <v>409</v>
      </c>
      <c r="F415" s="25"/>
      <c r="G415" s="135">
        <f aca="true" t="shared" si="134" ref="G415:M415">G416+G418</f>
        <v>75</v>
      </c>
      <c r="H415" s="135">
        <f t="shared" si="134"/>
        <v>62.88</v>
      </c>
      <c r="I415" s="135">
        <f t="shared" si="134"/>
        <v>0</v>
      </c>
      <c r="J415" s="26">
        <f t="shared" si="134"/>
        <v>401.75</v>
      </c>
      <c r="K415" s="26">
        <f t="shared" si="134"/>
        <v>95.75</v>
      </c>
      <c r="L415" s="26">
        <f t="shared" si="134"/>
        <v>497.5</v>
      </c>
      <c r="M415" s="40">
        <f t="shared" si="134"/>
        <v>40</v>
      </c>
      <c r="N415" s="29">
        <f>N416+N418</f>
        <v>537.5</v>
      </c>
      <c r="O415" s="15">
        <f t="shared" si="126"/>
        <v>0</v>
      </c>
    </row>
    <row r="416" spans="1:15" ht="39">
      <c r="A416" s="145" t="s">
        <v>410</v>
      </c>
      <c r="B416" s="25" t="s">
        <v>348</v>
      </c>
      <c r="C416" s="25" t="s">
        <v>85</v>
      </c>
      <c r="D416" s="25" t="s">
        <v>30</v>
      </c>
      <c r="E416" s="25" t="s">
        <v>411</v>
      </c>
      <c r="F416" s="25"/>
      <c r="G416" s="135">
        <f aca="true" t="shared" si="135" ref="G416:N416">G417</f>
        <v>35</v>
      </c>
      <c r="H416" s="135">
        <f t="shared" si="135"/>
        <v>62.88</v>
      </c>
      <c r="I416" s="135">
        <f t="shared" si="135"/>
        <v>0</v>
      </c>
      <c r="J416" s="26">
        <f t="shared" si="135"/>
        <v>321.75</v>
      </c>
      <c r="K416" s="26">
        <f t="shared" si="135"/>
        <v>95.75</v>
      </c>
      <c r="L416" s="26">
        <f t="shared" si="135"/>
        <v>417.5</v>
      </c>
      <c r="M416" s="40">
        <f t="shared" si="135"/>
        <v>40</v>
      </c>
      <c r="N416" s="41">
        <f t="shared" si="135"/>
        <v>457.5</v>
      </c>
      <c r="O416" s="15">
        <f t="shared" si="126"/>
        <v>0</v>
      </c>
    </row>
    <row r="417" spans="1:15" ht="30">
      <c r="A417" s="99" t="s">
        <v>412</v>
      </c>
      <c r="B417" s="25" t="s">
        <v>348</v>
      </c>
      <c r="C417" s="25" t="s">
        <v>85</v>
      </c>
      <c r="D417" s="25" t="s">
        <v>30</v>
      </c>
      <c r="E417" s="25" t="s">
        <v>411</v>
      </c>
      <c r="F417" s="25" t="s">
        <v>413</v>
      </c>
      <c r="G417" s="135">
        <f>15.4+19.6</f>
        <v>35</v>
      </c>
      <c r="H417" s="524">
        <v>62.88</v>
      </c>
      <c r="I417" s="135"/>
      <c r="J417" s="26">
        <v>321.75</v>
      </c>
      <c r="K417" s="26">
        <v>95.75</v>
      </c>
      <c r="L417" s="26">
        <f>J417+K417</f>
        <v>417.5</v>
      </c>
      <c r="M417" s="40">
        <f>40</f>
        <v>40</v>
      </c>
      <c r="N417" s="29">
        <f>L417+M417</f>
        <v>457.5</v>
      </c>
      <c r="O417" s="15">
        <f t="shared" si="126"/>
        <v>0</v>
      </c>
    </row>
    <row r="418" spans="1:15" ht="42" customHeight="1">
      <c r="A418" s="99" t="s">
        <v>414</v>
      </c>
      <c r="B418" s="25" t="s">
        <v>348</v>
      </c>
      <c r="C418" s="25" t="s">
        <v>85</v>
      </c>
      <c r="D418" s="25" t="s">
        <v>30</v>
      </c>
      <c r="E418" s="25" t="s">
        <v>415</v>
      </c>
      <c r="F418" s="25"/>
      <c r="G418" s="135">
        <f aca="true" t="shared" si="136" ref="G418:N418">G419</f>
        <v>40</v>
      </c>
      <c r="H418" s="524">
        <f t="shared" si="136"/>
        <v>0</v>
      </c>
      <c r="I418" s="135">
        <f t="shared" si="136"/>
        <v>0</v>
      </c>
      <c r="J418" s="26">
        <f t="shared" si="136"/>
        <v>80</v>
      </c>
      <c r="K418" s="26">
        <f t="shared" si="136"/>
        <v>0</v>
      </c>
      <c r="L418" s="26">
        <f t="shared" si="136"/>
        <v>80</v>
      </c>
      <c r="M418" s="40">
        <f t="shared" si="136"/>
        <v>0</v>
      </c>
      <c r="N418" s="29">
        <f t="shared" si="136"/>
        <v>80</v>
      </c>
      <c r="O418" s="15">
        <f t="shared" si="126"/>
        <v>0</v>
      </c>
    </row>
    <row r="419" spans="1:15" ht="30">
      <c r="A419" s="99" t="s">
        <v>412</v>
      </c>
      <c r="B419" s="25" t="s">
        <v>348</v>
      </c>
      <c r="C419" s="25" t="s">
        <v>85</v>
      </c>
      <c r="D419" s="25" t="s">
        <v>30</v>
      </c>
      <c r="E419" s="25" t="s">
        <v>415</v>
      </c>
      <c r="F419" s="25" t="s">
        <v>413</v>
      </c>
      <c r="G419" s="135">
        <v>40</v>
      </c>
      <c r="H419" s="524"/>
      <c r="I419" s="135"/>
      <c r="J419" s="26">
        <v>80</v>
      </c>
      <c r="K419" s="26"/>
      <c r="L419" s="26">
        <f>J419+K419</f>
        <v>80</v>
      </c>
      <c r="M419" s="40"/>
      <c r="N419" s="29">
        <f>L419+M419</f>
        <v>80</v>
      </c>
      <c r="O419" s="15">
        <f t="shared" si="126"/>
        <v>0</v>
      </c>
    </row>
    <row r="420" spans="1:15" ht="15.75" hidden="1" thickBot="1">
      <c r="A420" s="529" t="s">
        <v>416</v>
      </c>
      <c r="B420" s="194" t="s">
        <v>417</v>
      </c>
      <c r="C420" s="194"/>
      <c r="D420" s="194"/>
      <c r="E420" s="194"/>
      <c r="F420" s="194"/>
      <c r="G420" s="196">
        <f aca="true" t="shared" si="137" ref="G420:N421">G421</f>
        <v>0</v>
      </c>
      <c r="H420" s="196">
        <f t="shared" si="137"/>
        <v>526.1</v>
      </c>
      <c r="I420" s="196">
        <f t="shared" si="137"/>
        <v>0</v>
      </c>
      <c r="J420" s="621">
        <f t="shared" si="137"/>
        <v>0</v>
      </c>
      <c r="K420" s="621">
        <f t="shared" si="137"/>
        <v>0</v>
      </c>
      <c r="L420" s="621">
        <f t="shared" si="137"/>
        <v>0</v>
      </c>
      <c r="M420" s="81">
        <f t="shared" si="137"/>
        <v>0</v>
      </c>
      <c r="N420" s="82">
        <f t="shared" si="137"/>
        <v>0</v>
      </c>
      <c r="O420" s="15">
        <f t="shared" si="126"/>
        <v>0</v>
      </c>
    </row>
    <row r="421" spans="1:15" ht="43.5" hidden="1">
      <c r="A421" s="162" t="s">
        <v>43</v>
      </c>
      <c r="B421" s="32" t="s">
        <v>417</v>
      </c>
      <c r="C421" s="32" t="s">
        <v>24</v>
      </c>
      <c r="D421" s="25"/>
      <c r="E421" s="25"/>
      <c r="F421" s="25"/>
      <c r="G421" s="520">
        <f t="shared" si="137"/>
        <v>0</v>
      </c>
      <c r="H421" s="520">
        <f t="shared" si="137"/>
        <v>526.1</v>
      </c>
      <c r="I421" s="520">
        <f t="shared" si="137"/>
        <v>0</v>
      </c>
      <c r="J421" s="622">
        <f t="shared" si="137"/>
        <v>0</v>
      </c>
      <c r="K421" s="622">
        <f t="shared" si="137"/>
        <v>0</v>
      </c>
      <c r="L421" s="622">
        <f t="shared" si="137"/>
        <v>0</v>
      </c>
      <c r="M421" s="95">
        <f t="shared" si="137"/>
        <v>0</v>
      </c>
      <c r="N421" s="96">
        <f t="shared" si="137"/>
        <v>0</v>
      </c>
      <c r="O421" s="15">
        <f t="shared" si="126"/>
        <v>0</v>
      </c>
    </row>
    <row r="422" spans="1:15" s="102" customFormat="1" ht="15" hidden="1">
      <c r="A422" s="108" t="s">
        <v>45</v>
      </c>
      <c r="B422" s="24" t="s">
        <v>417</v>
      </c>
      <c r="C422" s="24" t="s">
        <v>24</v>
      </c>
      <c r="D422" s="24" t="s">
        <v>22</v>
      </c>
      <c r="E422" s="24"/>
      <c r="F422" s="24"/>
      <c r="G422" s="503">
        <f aca="true" t="shared" si="138" ref="G422:M422">G423+G425</f>
        <v>0</v>
      </c>
      <c r="H422" s="503">
        <f t="shared" si="138"/>
        <v>526.1</v>
      </c>
      <c r="I422" s="503">
        <f t="shared" si="138"/>
        <v>0</v>
      </c>
      <c r="J422" s="504">
        <f t="shared" si="138"/>
        <v>0</v>
      </c>
      <c r="K422" s="504">
        <f t="shared" si="138"/>
        <v>0</v>
      </c>
      <c r="L422" s="504">
        <f t="shared" si="138"/>
        <v>0</v>
      </c>
      <c r="M422" s="505">
        <f t="shared" si="138"/>
        <v>0</v>
      </c>
      <c r="N422" s="86">
        <f>N423+N425</f>
        <v>0</v>
      </c>
      <c r="O422" s="15">
        <f t="shared" si="126"/>
        <v>0</v>
      </c>
    </row>
    <row r="423" spans="1:15" ht="60" hidden="1">
      <c r="A423" s="105" t="s">
        <v>418</v>
      </c>
      <c r="B423" s="25" t="s">
        <v>417</v>
      </c>
      <c r="C423" s="25" t="s">
        <v>24</v>
      </c>
      <c r="D423" s="25" t="s">
        <v>22</v>
      </c>
      <c r="E423" s="25" t="s">
        <v>297</v>
      </c>
      <c r="F423" s="25"/>
      <c r="G423" s="135">
        <f aca="true" t="shared" si="139" ref="G423:N423">G424</f>
        <v>0</v>
      </c>
      <c r="H423" s="135">
        <f t="shared" si="139"/>
        <v>316.5</v>
      </c>
      <c r="I423" s="135">
        <f t="shared" si="139"/>
        <v>0</v>
      </c>
      <c r="J423" s="26">
        <f t="shared" si="139"/>
        <v>0</v>
      </c>
      <c r="K423" s="26">
        <f t="shared" si="139"/>
        <v>0</v>
      </c>
      <c r="L423" s="26">
        <f t="shared" si="139"/>
        <v>0</v>
      </c>
      <c r="M423" s="40">
        <f t="shared" si="139"/>
        <v>0</v>
      </c>
      <c r="N423" s="41">
        <f t="shared" si="139"/>
        <v>0</v>
      </c>
      <c r="O423" s="15">
        <f t="shared" si="126"/>
        <v>0</v>
      </c>
    </row>
    <row r="424" spans="1:15" ht="30" hidden="1">
      <c r="A424" s="105" t="s">
        <v>133</v>
      </c>
      <c r="B424" s="25" t="s">
        <v>417</v>
      </c>
      <c r="C424" s="25" t="s">
        <v>24</v>
      </c>
      <c r="D424" s="25" t="s">
        <v>22</v>
      </c>
      <c r="E424" s="25" t="s">
        <v>297</v>
      </c>
      <c r="F424" s="25" t="s">
        <v>131</v>
      </c>
      <c r="G424" s="135"/>
      <c r="H424" s="524">
        <v>316.5</v>
      </c>
      <c r="I424" s="135"/>
      <c r="J424" s="26"/>
      <c r="K424" s="26"/>
      <c r="L424" s="26">
        <f>J424+K424</f>
        <v>0</v>
      </c>
      <c r="M424" s="40"/>
      <c r="N424" s="29">
        <f>L424+M424</f>
        <v>0</v>
      </c>
      <c r="O424" s="15">
        <f t="shared" si="126"/>
        <v>0</v>
      </c>
    </row>
    <row r="425" spans="1:15" ht="60" hidden="1">
      <c r="A425" s="105" t="s">
        <v>419</v>
      </c>
      <c r="B425" s="25" t="s">
        <v>417</v>
      </c>
      <c r="C425" s="25" t="s">
        <v>24</v>
      </c>
      <c r="D425" s="25" t="s">
        <v>22</v>
      </c>
      <c r="E425" s="25" t="s">
        <v>299</v>
      </c>
      <c r="F425" s="25"/>
      <c r="G425" s="135">
        <f aca="true" t="shared" si="140" ref="G425:N425">G426</f>
        <v>0</v>
      </c>
      <c r="H425" s="135">
        <f t="shared" si="140"/>
        <v>209.6</v>
      </c>
      <c r="I425" s="135">
        <f t="shared" si="140"/>
        <v>0</v>
      </c>
      <c r="J425" s="26">
        <f t="shared" si="140"/>
        <v>0</v>
      </c>
      <c r="K425" s="26">
        <f t="shared" si="140"/>
        <v>0</v>
      </c>
      <c r="L425" s="26">
        <f t="shared" si="140"/>
        <v>0</v>
      </c>
      <c r="M425" s="40">
        <f t="shared" si="140"/>
        <v>0</v>
      </c>
      <c r="N425" s="41">
        <f t="shared" si="140"/>
        <v>0</v>
      </c>
      <c r="O425" s="15">
        <f t="shared" si="126"/>
        <v>0</v>
      </c>
    </row>
    <row r="426" spans="1:15" ht="30.75" hidden="1" thickBot="1">
      <c r="A426" s="105" t="s">
        <v>133</v>
      </c>
      <c r="B426" s="25" t="s">
        <v>417</v>
      </c>
      <c r="C426" s="25" t="s">
        <v>24</v>
      </c>
      <c r="D426" s="25" t="s">
        <v>22</v>
      </c>
      <c r="E426" s="25" t="s">
        <v>299</v>
      </c>
      <c r="F426" s="25" t="s">
        <v>131</v>
      </c>
      <c r="G426" s="135"/>
      <c r="H426" s="524">
        <v>209.6</v>
      </c>
      <c r="I426" s="135"/>
      <c r="J426" s="26"/>
      <c r="K426" s="26"/>
      <c r="L426" s="26">
        <f>J426+K426</f>
        <v>0</v>
      </c>
      <c r="M426" s="76"/>
      <c r="N426" s="92">
        <f>L426+M426</f>
        <v>0</v>
      </c>
      <c r="O426" s="15">
        <f t="shared" si="126"/>
        <v>0</v>
      </c>
    </row>
    <row r="427" spans="1:18" ht="30" thickBot="1">
      <c r="A427" s="545" t="s">
        <v>420</v>
      </c>
      <c r="B427" s="546" t="s">
        <v>421</v>
      </c>
      <c r="C427" s="546"/>
      <c r="D427" s="546"/>
      <c r="E427" s="546"/>
      <c r="F427" s="546"/>
      <c r="G427" s="547" t="e">
        <f>G428+G485+G510+G572+G607+G626+G638+G477</f>
        <v>#REF!</v>
      </c>
      <c r="H427" s="547" t="e">
        <f>H428+H485+H510+H572+H607+H626+H638+H477</f>
        <v>#REF!</v>
      </c>
      <c r="I427" s="548" t="e">
        <f>I428+I485+I510+I572+I607+I626+I638+I477</f>
        <v>#REF!</v>
      </c>
      <c r="J427" s="547">
        <f>J428+J485+J510+J572+J607+J626+J638+J477+J671</f>
        <v>240873.27803999998</v>
      </c>
      <c r="K427" s="547">
        <f>K428+K485+K510+K572+K607+K626+K638+K477+K671</f>
        <v>-612.16741</v>
      </c>
      <c r="L427" s="547">
        <f>L428+L485+L510+L572+L607+L626+L638+L477+L671</f>
        <v>240261.11062999998</v>
      </c>
      <c r="M427" s="146" t="e">
        <f>M428+M485+M510+M572+M607+M626+M638+M477</f>
        <v>#REF!</v>
      </c>
      <c r="N427" s="82" t="e">
        <f>N428+N485+N510+N572+N607+N626+N638+N477</f>
        <v>#REF!</v>
      </c>
      <c r="O427" s="15">
        <f t="shared" si="126"/>
        <v>0</v>
      </c>
      <c r="P427" s="147"/>
      <c r="R427" s="15"/>
    </row>
    <row r="428" spans="1:15" s="148" customFormat="1" ht="15">
      <c r="A428" s="162" t="s">
        <v>18</v>
      </c>
      <c r="B428" s="32" t="s">
        <v>421</v>
      </c>
      <c r="C428" s="32" t="s">
        <v>21</v>
      </c>
      <c r="D428" s="32"/>
      <c r="E428" s="32"/>
      <c r="F428" s="32"/>
      <c r="G428" s="523" t="e">
        <f>G429+G433+G439+G450+G455+G471</f>
        <v>#REF!</v>
      </c>
      <c r="H428" s="523">
        <f aca="true" t="shared" si="141" ref="H428:N428">H429+H433+H439+H455+H471+H454</f>
        <v>12549.96</v>
      </c>
      <c r="I428" s="523">
        <f t="shared" si="141"/>
        <v>0</v>
      </c>
      <c r="J428" s="622">
        <f>J429+J433+J439+J455+J471+J454+J461</f>
        <v>20179.774</v>
      </c>
      <c r="K428" s="622">
        <f>K429+K433+K439+K455+K471+K454+K461</f>
        <v>70.69153</v>
      </c>
      <c r="L428" s="622">
        <f>L429+L433+L439+L455+L471+L454+L461</f>
        <v>20250.46553</v>
      </c>
      <c r="M428" s="20">
        <f t="shared" si="141"/>
        <v>-176.62</v>
      </c>
      <c r="N428" s="83">
        <f t="shared" si="141"/>
        <v>17728.62782</v>
      </c>
      <c r="O428" s="15">
        <f t="shared" si="126"/>
        <v>0</v>
      </c>
    </row>
    <row r="429" spans="1:15" s="102" customFormat="1" ht="57.75">
      <c r="A429" s="98" t="s">
        <v>422</v>
      </c>
      <c r="B429" s="24" t="s">
        <v>421</v>
      </c>
      <c r="C429" s="24" t="s">
        <v>21</v>
      </c>
      <c r="D429" s="24" t="s">
        <v>22</v>
      </c>
      <c r="E429" s="24"/>
      <c r="F429" s="24"/>
      <c r="G429" s="503">
        <f aca="true" t="shared" si="142" ref="G429:N431">G430</f>
        <v>0</v>
      </c>
      <c r="H429" s="503">
        <f t="shared" si="142"/>
        <v>861</v>
      </c>
      <c r="I429" s="503">
        <f t="shared" si="142"/>
        <v>0</v>
      </c>
      <c r="J429" s="504">
        <f t="shared" si="142"/>
        <v>1080.095</v>
      </c>
      <c r="K429" s="504">
        <f t="shared" si="142"/>
        <v>-75.522</v>
      </c>
      <c r="L429" s="504">
        <f t="shared" si="142"/>
        <v>1004.573</v>
      </c>
      <c r="M429" s="505">
        <f t="shared" si="142"/>
        <v>0</v>
      </c>
      <c r="N429" s="86">
        <f t="shared" si="142"/>
        <v>1004.573</v>
      </c>
      <c r="O429" s="15">
        <f t="shared" si="126"/>
        <v>0</v>
      </c>
    </row>
    <row r="430" spans="1:15" ht="30">
      <c r="A430" s="99" t="s">
        <v>407</v>
      </c>
      <c r="B430" s="25" t="s">
        <v>421</v>
      </c>
      <c r="C430" s="25" t="s">
        <v>21</v>
      </c>
      <c r="D430" s="25" t="s">
        <v>22</v>
      </c>
      <c r="E430" s="25" t="s">
        <v>189</v>
      </c>
      <c r="F430" s="25"/>
      <c r="G430" s="135">
        <f t="shared" si="142"/>
        <v>0</v>
      </c>
      <c r="H430" s="135">
        <f t="shared" si="142"/>
        <v>861</v>
      </c>
      <c r="I430" s="135">
        <f t="shared" si="142"/>
        <v>0</v>
      </c>
      <c r="J430" s="26">
        <f t="shared" si="142"/>
        <v>1080.095</v>
      </c>
      <c r="K430" s="26">
        <f t="shared" si="142"/>
        <v>-75.522</v>
      </c>
      <c r="L430" s="26">
        <f t="shared" si="142"/>
        <v>1004.573</v>
      </c>
      <c r="M430" s="40">
        <f t="shared" si="142"/>
        <v>0</v>
      </c>
      <c r="N430" s="41">
        <f t="shared" si="142"/>
        <v>1004.573</v>
      </c>
      <c r="O430" s="15">
        <f t="shared" si="126"/>
        <v>0</v>
      </c>
    </row>
    <row r="431" spans="1:15" ht="15">
      <c r="A431" s="99" t="s">
        <v>423</v>
      </c>
      <c r="B431" s="25" t="s">
        <v>421</v>
      </c>
      <c r="C431" s="25" t="s">
        <v>21</v>
      </c>
      <c r="D431" s="25" t="s">
        <v>22</v>
      </c>
      <c r="E431" s="25" t="s">
        <v>424</v>
      </c>
      <c r="F431" s="25"/>
      <c r="G431" s="135">
        <f t="shared" si="142"/>
        <v>0</v>
      </c>
      <c r="H431" s="135">
        <f t="shared" si="142"/>
        <v>861</v>
      </c>
      <c r="I431" s="135">
        <f t="shared" si="142"/>
        <v>0</v>
      </c>
      <c r="J431" s="26">
        <f t="shared" si="142"/>
        <v>1080.095</v>
      </c>
      <c r="K431" s="26">
        <f t="shared" si="142"/>
        <v>-75.522</v>
      </c>
      <c r="L431" s="26">
        <f t="shared" si="142"/>
        <v>1004.573</v>
      </c>
      <c r="M431" s="40">
        <f t="shared" si="142"/>
        <v>0</v>
      </c>
      <c r="N431" s="41">
        <f t="shared" si="142"/>
        <v>1004.573</v>
      </c>
      <c r="O431" s="15">
        <f t="shared" si="126"/>
        <v>0</v>
      </c>
    </row>
    <row r="432" spans="1:16" ht="30">
      <c r="A432" s="105" t="s">
        <v>133</v>
      </c>
      <c r="B432" s="25" t="s">
        <v>421</v>
      </c>
      <c r="C432" s="25" t="s">
        <v>21</v>
      </c>
      <c r="D432" s="25" t="s">
        <v>22</v>
      </c>
      <c r="E432" s="25" t="s">
        <v>424</v>
      </c>
      <c r="F432" s="25" t="s">
        <v>131</v>
      </c>
      <c r="G432" s="135"/>
      <c r="H432" s="524">
        <v>861</v>
      </c>
      <c r="I432" s="135"/>
      <c r="J432" s="26">
        <v>1080.095</v>
      </c>
      <c r="K432" s="26">
        <v>-75.522</v>
      </c>
      <c r="L432" s="26">
        <f>J432+K432</f>
        <v>1004.573</v>
      </c>
      <c r="M432" s="40"/>
      <c r="N432" s="29">
        <f>L432+M432</f>
        <v>1004.573</v>
      </c>
      <c r="O432" s="15">
        <f t="shared" si="126"/>
        <v>0</v>
      </c>
      <c r="P432" s="149">
        <f>L432-O432</f>
        <v>1004.573</v>
      </c>
    </row>
    <row r="433" spans="1:15" s="102" customFormat="1" ht="86.25">
      <c r="A433" s="98" t="s">
        <v>425</v>
      </c>
      <c r="B433" s="24" t="s">
        <v>421</v>
      </c>
      <c r="C433" s="24" t="s">
        <v>21</v>
      </c>
      <c r="D433" s="24" t="s">
        <v>24</v>
      </c>
      <c r="E433" s="24"/>
      <c r="F433" s="24"/>
      <c r="G433" s="503">
        <f aca="true" t="shared" si="143" ref="G433:N433">G434</f>
        <v>30</v>
      </c>
      <c r="H433" s="503">
        <f t="shared" si="143"/>
        <v>1353</v>
      </c>
      <c r="I433" s="503">
        <f t="shared" si="143"/>
        <v>0</v>
      </c>
      <c r="J433" s="504">
        <f t="shared" si="143"/>
        <v>1710.671</v>
      </c>
      <c r="K433" s="504">
        <f t="shared" si="143"/>
        <v>-32.182</v>
      </c>
      <c r="L433" s="504">
        <f t="shared" si="143"/>
        <v>1678.489</v>
      </c>
      <c r="M433" s="505">
        <f t="shared" si="143"/>
        <v>0</v>
      </c>
      <c r="N433" s="86">
        <f t="shared" si="143"/>
        <v>1678.489</v>
      </c>
      <c r="O433" s="15">
        <f t="shared" si="126"/>
        <v>0</v>
      </c>
    </row>
    <row r="434" spans="1:15" ht="30">
      <c r="A434" s="99" t="s">
        <v>407</v>
      </c>
      <c r="B434" s="25" t="s">
        <v>421</v>
      </c>
      <c r="C434" s="25" t="s">
        <v>21</v>
      </c>
      <c r="D434" s="25" t="s">
        <v>24</v>
      </c>
      <c r="E434" s="25" t="s">
        <v>189</v>
      </c>
      <c r="F434" s="25"/>
      <c r="G434" s="135">
        <f aca="true" t="shared" si="144" ref="G434:M434">G435+G437</f>
        <v>30</v>
      </c>
      <c r="H434" s="524">
        <f t="shared" si="144"/>
        <v>1353</v>
      </c>
      <c r="I434" s="135">
        <f t="shared" si="144"/>
        <v>0</v>
      </c>
      <c r="J434" s="26">
        <f t="shared" si="144"/>
        <v>1710.671</v>
      </c>
      <c r="K434" s="26">
        <f t="shared" si="144"/>
        <v>-32.182</v>
      </c>
      <c r="L434" s="26">
        <f t="shared" si="144"/>
        <v>1678.489</v>
      </c>
      <c r="M434" s="40">
        <f t="shared" si="144"/>
        <v>0</v>
      </c>
      <c r="N434" s="41">
        <f>N435+N437</f>
        <v>1678.489</v>
      </c>
      <c r="O434" s="15">
        <f t="shared" si="126"/>
        <v>0</v>
      </c>
    </row>
    <row r="435" spans="1:15" ht="15">
      <c r="A435" s="99" t="s">
        <v>190</v>
      </c>
      <c r="B435" s="25" t="s">
        <v>421</v>
      </c>
      <c r="C435" s="25" t="s">
        <v>21</v>
      </c>
      <c r="D435" s="25" t="s">
        <v>24</v>
      </c>
      <c r="E435" s="25" t="s">
        <v>191</v>
      </c>
      <c r="F435" s="25"/>
      <c r="G435" s="135">
        <f aca="true" t="shared" si="145" ref="G435:N435">G436</f>
        <v>30</v>
      </c>
      <c r="H435" s="135">
        <f t="shared" si="145"/>
        <v>615</v>
      </c>
      <c r="I435" s="135">
        <f t="shared" si="145"/>
        <v>0</v>
      </c>
      <c r="J435" s="26">
        <f t="shared" si="145"/>
        <v>954.274</v>
      </c>
      <c r="K435" s="26">
        <f t="shared" si="145"/>
        <v>15</v>
      </c>
      <c r="L435" s="26">
        <f t="shared" si="145"/>
        <v>969.274</v>
      </c>
      <c r="M435" s="40">
        <f t="shared" si="145"/>
        <v>0</v>
      </c>
      <c r="N435" s="41">
        <f t="shared" si="145"/>
        <v>969.274</v>
      </c>
      <c r="O435" s="15">
        <f t="shared" si="126"/>
        <v>0</v>
      </c>
    </row>
    <row r="436" spans="1:19" ht="30">
      <c r="A436" s="99" t="s">
        <v>133</v>
      </c>
      <c r="B436" s="25" t="s">
        <v>421</v>
      </c>
      <c r="C436" s="25" t="s">
        <v>21</v>
      </c>
      <c r="D436" s="25" t="s">
        <v>24</v>
      </c>
      <c r="E436" s="25" t="s">
        <v>191</v>
      </c>
      <c r="F436" s="25" t="s">
        <v>131</v>
      </c>
      <c r="G436" s="135">
        <v>30</v>
      </c>
      <c r="H436" s="524">
        <v>615</v>
      </c>
      <c r="I436" s="135"/>
      <c r="J436" s="26">
        <v>954.274</v>
      </c>
      <c r="K436" s="26">
        <f>15</f>
        <v>15</v>
      </c>
      <c r="L436" s="26">
        <f>J436+K436</f>
        <v>969.274</v>
      </c>
      <c r="M436" s="40"/>
      <c r="N436" s="29">
        <f>L436+M436</f>
        <v>969.274</v>
      </c>
      <c r="O436" s="15">
        <f t="shared" si="126"/>
        <v>0</v>
      </c>
      <c r="P436" s="42">
        <f>L436-O436</f>
        <v>969.274</v>
      </c>
      <c r="R436" s="11">
        <v>76.422</v>
      </c>
      <c r="S436" s="15">
        <f>L436-R436</f>
        <v>892.852</v>
      </c>
    </row>
    <row r="437" spans="1:15" ht="45">
      <c r="A437" s="150" t="s">
        <v>426</v>
      </c>
      <c r="B437" s="25" t="s">
        <v>421</v>
      </c>
      <c r="C437" s="25" t="s">
        <v>21</v>
      </c>
      <c r="D437" s="25" t="s">
        <v>24</v>
      </c>
      <c r="E437" s="25" t="s">
        <v>427</v>
      </c>
      <c r="F437" s="25"/>
      <c r="G437" s="135">
        <f aca="true" t="shared" si="146" ref="G437:N437">G438</f>
        <v>0</v>
      </c>
      <c r="H437" s="524">
        <f t="shared" si="146"/>
        <v>738</v>
      </c>
      <c r="I437" s="135">
        <f t="shared" si="146"/>
        <v>0</v>
      </c>
      <c r="J437" s="26">
        <f t="shared" si="146"/>
        <v>756.397</v>
      </c>
      <c r="K437" s="26">
        <f t="shared" si="146"/>
        <v>-47.182</v>
      </c>
      <c r="L437" s="26">
        <f t="shared" si="146"/>
        <v>709.215</v>
      </c>
      <c r="M437" s="40">
        <f t="shared" si="146"/>
        <v>0</v>
      </c>
      <c r="N437" s="29">
        <f t="shared" si="146"/>
        <v>709.215</v>
      </c>
      <c r="O437" s="15">
        <f t="shared" si="126"/>
        <v>0</v>
      </c>
    </row>
    <row r="438" spans="1:16" ht="30">
      <c r="A438" s="99" t="s">
        <v>133</v>
      </c>
      <c r="B438" s="25" t="s">
        <v>421</v>
      </c>
      <c r="C438" s="25" t="s">
        <v>21</v>
      </c>
      <c r="D438" s="25" t="s">
        <v>24</v>
      </c>
      <c r="E438" s="25" t="s">
        <v>427</v>
      </c>
      <c r="F438" s="25" t="s">
        <v>131</v>
      </c>
      <c r="G438" s="135"/>
      <c r="H438" s="524">
        <v>738</v>
      </c>
      <c r="I438" s="135"/>
      <c r="J438" s="26">
        <v>756.397</v>
      </c>
      <c r="K438" s="26">
        <v>-47.182</v>
      </c>
      <c r="L438" s="26">
        <f>J438+K438</f>
        <v>709.215</v>
      </c>
      <c r="M438" s="40"/>
      <c r="N438" s="29">
        <f>L438+M438</f>
        <v>709.215</v>
      </c>
      <c r="O438" s="15">
        <f t="shared" si="126"/>
        <v>0</v>
      </c>
      <c r="P438" s="42">
        <f>L438-O438</f>
        <v>709.215</v>
      </c>
    </row>
    <row r="439" spans="1:15" s="102" customFormat="1" ht="86.25">
      <c r="A439" s="98" t="s">
        <v>268</v>
      </c>
      <c r="B439" s="24" t="s">
        <v>421</v>
      </c>
      <c r="C439" s="24" t="s">
        <v>21</v>
      </c>
      <c r="D439" s="24" t="s">
        <v>26</v>
      </c>
      <c r="E439" s="24"/>
      <c r="F439" s="24"/>
      <c r="G439" s="503" t="e">
        <f>G444+G440+G442</f>
        <v>#REF!</v>
      </c>
      <c r="H439" s="191">
        <f aca="true" t="shared" si="147" ref="H439:N439">H444+H440+H442+H448+H450</f>
        <v>10050.56</v>
      </c>
      <c r="I439" s="191">
        <f t="shared" si="147"/>
        <v>0</v>
      </c>
      <c r="J439" s="504">
        <f>J444+J440+J442+J448+J450</f>
        <v>15012.439</v>
      </c>
      <c r="K439" s="504">
        <f>K444+K440+K442+K448+K450</f>
        <v>161.70353</v>
      </c>
      <c r="L439" s="504">
        <f>L444+L440+L442+L448+L450</f>
        <v>15174.142530000001</v>
      </c>
      <c r="M439" s="55">
        <f t="shared" si="147"/>
        <v>-88.62</v>
      </c>
      <c r="N439" s="88">
        <f t="shared" si="147"/>
        <v>15085.52253</v>
      </c>
      <c r="O439" s="15">
        <f>SUM(J439:K439)</f>
        <v>15174.142530000001</v>
      </c>
    </row>
    <row r="440" spans="1:15" s="102" customFormat="1" ht="51.75" customHeight="1" hidden="1">
      <c r="A440" s="84" t="s">
        <v>428</v>
      </c>
      <c r="B440" s="25" t="s">
        <v>421</v>
      </c>
      <c r="C440" s="25" t="s">
        <v>21</v>
      </c>
      <c r="D440" s="25" t="s">
        <v>26</v>
      </c>
      <c r="E440" s="25" t="s">
        <v>429</v>
      </c>
      <c r="F440" s="25"/>
      <c r="G440" s="135">
        <f aca="true" t="shared" si="148" ref="G440:N440">G441</f>
        <v>47.3</v>
      </c>
      <c r="H440" s="135">
        <f t="shared" si="148"/>
        <v>0</v>
      </c>
      <c r="I440" s="135">
        <f t="shared" si="148"/>
        <v>0</v>
      </c>
      <c r="J440" s="26">
        <f t="shared" si="148"/>
        <v>0</v>
      </c>
      <c r="K440" s="26">
        <f t="shared" si="148"/>
        <v>0</v>
      </c>
      <c r="L440" s="26">
        <f t="shared" si="148"/>
        <v>0</v>
      </c>
      <c r="M440" s="40">
        <f t="shared" si="148"/>
        <v>0</v>
      </c>
      <c r="N440" s="41">
        <f t="shared" si="148"/>
        <v>0</v>
      </c>
      <c r="O440" s="15">
        <f t="shared" si="126"/>
        <v>0</v>
      </c>
    </row>
    <row r="441" spans="1:15" s="102" customFormat="1" ht="30" customHeight="1" hidden="1">
      <c r="A441" s="99" t="s">
        <v>278</v>
      </c>
      <c r="B441" s="25" t="s">
        <v>421</v>
      </c>
      <c r="C441" s="25" t="s">
        <v>21</v>
      </c>
      <c r="D441" s="25" t="s">
        <v>26</v>
      </c>
      <c r="E441" s="25" t="s">
        <v>429</v>
      </c>
      <c r="F441" s="25" t="s">
        <v>230</v>
      </c>
      <c r="G441" s="135">
        <v>47.3</v>
      </c>
      <c r="H441" s="524"/>
      <c r="I441" s="135"/>
      <c r="J441" s="26">
        <f>H441+I441</f>
        <v>0</v>
      </c>
      <c r="K441" s="26">
        <f>49.6-49.6</f>
        <v>0</v>
      </c>
      <c r="L441" s="26">
        <f>J441+K441</f>
        <v>0</v>
      </c>
      <c r="M441" s="40">
        <f>49.6-49.6</f>
        <v>0</v>
      </c>
      <c r="N441" s="29">
        <f>L441+M441</f>
        <v>0</v>
      </c>
      <c r="O441" s="15">
        <f t="shared" si="126"/>
        <v>0</v>
      </c>
    </row>
    <row r="442" spans="1:15" s="102" customFormat="1" ht="75">
      <c r="A442" s="84" t="s">
        <v>186</v>
      </c>
      <c r="B442" s="25" t="s">
        <v>421</v>
      </c>
      <c r="C442" s="25" t="s">
        <v>21</v>
      </c>
      <c r="D442" s="25" t="s">
        <v>26</v>
      </c>
      <c r="E442" s="25" t="s">
        <v>187</v>
      </c>
      <c r="F442" s="25"/>
      <c r="G442" s="191" t="e">
        <f aca="true" t="shared" si="149" ref="G442:N442">G443</f>
        <v>#REF!</v>
      </c>
      <c r="H442" s="527">
        <f t="shared" si="149"/>
        <v>0</v>
      </c>
      <c r="I442" s="191">
        <f t="shared" si="149"/>
        <v>0</v>
      </c>
      <c r="J442" s="26">
        <f t="shared" si="149"/>
        <v>1055.7</v>
      </c>
      <c r="K442" s="26">
        <f t="shared" si="149"/>
        <v>54</v>
      </c>
      <c r="L442" s="26">
        <f t="shared" si="149"/>
        <v>1109.7</v>
      </c>
      <c r="M442" s="55">
        <f t="shared" si="149"/>
        <v>0</v>
      </c>
      <c r="N442" s="52">
        <f t="shared" si="149"/>
        <v>1109.7</v>
      </c>
      <c r="O442" s="15">
        <f t="shared" si="126"/>
        <v>0</v>
      </c>
    </row>
    <row r="443" spans="1:16" s="102" customFormat="1" ht="30">
      <c r="A443" s="30" t="s">
        <v>133</v>
      </c>
      <c r="B443" s="25" t="s">
        <v>421</v>
      </c>
      <c r="C443" s="25" t="s">
        <v>21</v>
      </c>
      <c r="D443" s="25" t="s">
        <v>26</v>
      </c>
      <c r="E443" s="25" t="s">
        <v>187</v>
      </c>
      <c r="F443" s="25" t="s">
        <v>131</v>
      </c>
      <c r="G443" s="191" t="e">
        <f>H443-#REF!</f>
        <v>#REF!</v>
      </c>
      <c r="H443" s="527"/>
      <c r="I443" s="191"/>
      <c r="J443" s="26">
        <v>1055.7</v>
      </c>
      <c r="K443" s="26">
        <v>54</v>
      </c>
      <c r="L443" s="26">
        <f>J443+K443</f>
        <v>1109.7</v>
      </c>
      <c r="M443" s="55"/>
      <c r="N443" s="52">
        <f>L443+M443</f>
        <v>1109.7</v>
      </c>
      <c r="O443" s="15">
        <f t="shared" si="126"/>
        <v>0</v>
      </c>
      <c r="P443" s="134">
        <f>K443</f>
        <v>54</v>
      </c>
    </row>
    <row r="444" spans="1:15" ht="30">
      <c r="A444" s="99" t="s">
        <v>407</v>
      </c>
      <c r="B444" s="25" t="s">
        <v>421</v>
      </c>
      <c r="C444" s="25" t="s">
        <v>21</v>
      </c>
      <c r="D444" s="25" t="s">
        <v>26</v>
      </c>
      <c r="E444" s="25" t="s">
        <v>189</v>
      </c>
      <c r="F444" s="25"/>
      <c r="G444" s="135">
        <f aca="true" t="shared" si="150" ref="G444:N444">G445</f>
        <v>1312.7</v>
      </c>
      <c r="H444" s="135">
        <f t="shared" si="150"/>
        <v>10050.56</v>
      </c>
      <c r="I444" s="135">
        <f t="shared" si="150"/>
        <v>0</v>
      </c>
      <c r="J444" s="26">
        <f t="shared" si="150"/>
        <v>13902.439</v>
      </c>
      <c r="K444" s="26">
        <f t="shared" si="150"/>
        <v>107.70353</v>
      </c>
      <c r="L444" s="26">
        <f t="shared" si="150"/>
        <v>14010.142530000001</v>
      </c>
      <c r="M444" s="40">
        <f t="shared" si="150"/>
        <v>-88.62</v>
      </c>
      <c r="N444" s="41">
        <f t="shared" si="150"/>
        <v>13921.52253</v>
      </c>
      <c r="O444" s="15">
        <f t="shared" si="126"/>
        <v>0</v>
      </c>
    </row>
    <row r="445" spans="1:15" ht="15">
      <c r="A445" s="99" t="s">
        <v>190</v>
      </c>
      <c r="B445" s="25" t="s">
        <v>421</v>
      </c>
      <c r="C445" s="25" t="s">
        <v>21</v>
      </c>
      <c r="D445" s="25" t="s">
        <v>26</v>
      </c>
      <c r="E445" s="25" t="s">
        <v>191</v>
      </c>
      <c r="F445" s="25"/>
      <c r="G445" s="135">
        <f aca="true" t="shared" si="151" ref="G445:M445">G446+G447</f>
        <v>1312.7</v>
      </c>
      <c r="H445" s="135">
        <f t="shared" si="151"/>
        <v>10050.56</v>
      </c>
      <c r="I445" s="135">
        <f t="shared" si="151"/>
        <v>0</v>
      </c>
      <c r="J445" s="26">
        <f t="shared" si="151"/>
        <v>13902.439</v>
      </c>
      <c r="K445" s="26">
        <f t="shared" si="151"/>
        <v>107.70353</v>
      </c>
      <c r="L445" s="26">
        <f t="shared" si="151"/>
        <v>14010.142530000001</v>
      </c>
      <c r="M445" s="40">
        <f t="shared" si="151"/>
        <v>-88.62</v>
      </c>
      <c r="N445" s="41">
        <f>N446+N447</f>
        <v>13921.52253</v>
      </c>
      <c r="O445" s="15">
        <f t="shared" si="126"/>
        <v>0</v>
      </c>
    </row>
    <row r="446" spans="1:15" ht="30" hidden="1">
      <c r="A446" s="99" t="s">
        <v>278</v>
      </c>
      <c r="B446" s="25" t="s">
        <v>421</v>
      </c>
      <c r="C446" s="25" t="s">
        <v>21</v>
      </c>
      <c r="D446" s="25" t="s">
        <v>26</v>
      </c>
      <c r="E446" s="25" t="s">
        <v>191</v>
      </c>
      <c r="F446" s="25" t="s">
        <v>230</v>
      </c>
      <c r="G446" s="135">
        <v>-47.3</v>
      </c>
      <c r="H446" s="135">
        <v>49.6</v>
      </c>
      <c r="I446" s="135"/>
      <c r="J446" s="26"/>
      <c r="K446" s="26"/>
      <c r="L446" s="26">
        <f>J446+K446</f>
        <v>0</v>
      </c>
      <c r="M446" s="40"/>
      <c r="N446" s="29">
        <f>L446+M446</f>
        <v>0</v>
      </c>
      <c r="O446" s="15">
        <f t="shared" si="126"/>
        <v>0</v>
      </c>
    </row>
    <row r="447" spans="1:16" ht="30">
      <c r="A447" s="99" t="s">
        <v>133</v>
      </c>
      <c r="B447" s="25" t="s">
        <v>421</v>
      </c>
      <c r="C447" s="25" t="s">
        <v>21</v>
      </c>
      <c r="D447" s="25" t="s">
        <v>26</v>
      </c>
      <c r="E447" s="25" t="s">
        <v>191</v>
      </c>
      <c r="F447" s="25" t="s">
        <v>131</v>
      </c>
      <c r="G447" s="135">
        <f>10-200+200+80.47+1300-0.47-80+50</f>
        <v>1360</v>
      </c>
      <c r="H447" s="135">
        <f>49.6+117.4+10087.47-203.91-49.6</f>
        <v>10000.96</v>
      </c>
      <c r="I447" s="135"/>
      <c r="J447" s="26">
        <v>13902.439</v>
      </c>
      <c r="K447" s="26">
        <f>75.522+32.182-0.00047</f>
        <v>107.70353</v>
      </c>
      <c r="L447" s="26">
        <f>J447+K447</f>
        <v>14010.142530000001</v>
      </c>
      <c r="M447" s="27">
        <f>-176.62+88</f>
        <v>-88.62</v>
      </c>
      <c r="N447" s="29">
        <f>L447+M447</f>
        <v>13921.52253</v>
      </c>
      <c r="O447" s="15">
        <f t="shared" si="126"/>
        <v>0</v>
      </c>
      <c r="P447" s="42">
        <f>L447-O447</f>
        <v>14010.142530000001</v>
      </c>
    </row>
    <row r="448" spans="1:15" ht="47.25" customHeight="1">
      <c r="A448" s="99" t="s">
        <v>428</v>
      </c>
      <c r="B448" s="32" t="s">
        <v>421</v>
      </c>
      <c r="C448" s="32" t="s">
        <v>21</v>
      </c>
      <c r="D448" s="25" t="s">
        <v>26</v>
      </c>
      <c r="E448" s="25" t="s">
        <v>429</v>
      </c>
      <c r="F448" s="25"/>
      <c r="G448" s="520"/>
      <c r="H448" s="524">
        <f aca="true" t="shared" si="152" ref="H448:N448">H449</f>
        <v>0</v>
      </c>
      <c r="I448" s="524">
        <f t="shared" si="152"/>
        <v>0</v>
      </c>
      <c r="J448" s="26">
        <f t="shared" si="152"/>
        <v>54.3</v>
      </c>
      <c r="K448" s="26">
        <f t="shared" si="152"/>
        <v>0</v>
      </c>
      <c r="L448" s="26">
        <f t="shared" si="152"/>
        <v>54.3</v>
      </c>
      <c r="M448" s="28">
        <f t="shared" si="152"/>
        <v>0</v>
      </c>
      <c r="N448" s="29">
        <f t="shared" si="152"/>
        <v>54.3</v>
      </c>
      <c r="O448" s="15">
        <f t="shared" si="126"/>
        <v>0</v>
      </c>
    </row>
    <row r="449" spans="1:15" ht="29.25" customHeight="1">
      <c r="A449" s="30" t="s">
        <v>133</v>
      </c>
      <c r="B449" s="32" t="s">
        <v>421</v>
      </c>
      <c r="C449" s="32" t="s">
        <v>21</v>
      </c>
      <c r="D449" s="25" t="s">
        <v>26</v>
      </c>
      <c r="E449" s="25" t="s">
        <v>429</v>
      </c>
      <c r="F449" s="25" t="s">
        <v>131</v>
      </c>
      <c r="G449" s="520"/>
      <c r="H449" s="524"/>
      <c r="I449" s="520"/>
      <c r="J449" s="26">
        <v>54.3</v>
      </c>
      <c r="K449" s="622"/>
      <c r="L449" s="26">
        <f>J449+K449</f>
        <v>54.3</v>
      </c>
      <c r="M449" s="38"/>
      <c r="N449" s="29">
        <f>L449+M449</f>
        <v>54.3</v>
      </c>
      <c r="O449" s="15">
        <f t="shared" si="126"/>
        <v>0</v>
      </c>
    </row>
    <row r="450" spans="1:15" ht="14.25" customHeight="1" hidden="1">
      <c r="A450" s="99" t="s">
        <v>430</v>
      </c>
      <c r="B450" s="32" t="s">
        <v>421</v>
      </c>
      <c r="C450" s="32" t="s">
        <v>21</v>
      </c>
      <c r="D450" s="25" t="s">
        <v>26</v>
      </c>
      <c r="E450" s="25" t="s">
        <v>275</v>
      </c>
      <c r="F450" s="25"/>
      <c r="G450" s="520"/>
      <c r="H450" s="524">
        <f aca="true" t="shared" si="153" ref="H450:N450">H451</f>
        <v>0</v>
      </c>
      <c r="I450" s="524">
        <f t="shared" si="153"/>
        <v>0</v>
      </c>
      <c r="J450" s="26">
        <f t="shared" si="153"/>
        <v>0</v>
      </c>
      <c r="K450" s="26">
        <f t="shared" si="153"/>
        <v>0</v>
      </c>
      <c r="L450" s="26">
        <f t="shared" si="153"/>
        <v>0</v>
      </c>
      <c r="M450" s="28">
        <f t="shared" si="153"/>
        <v>0</v>
      </c>
      <c r="N450" s="29">
        <f t="shared" si="153"/>
        <v>0</v>
      </c>
      <c r="O450" s="15">
        <f t="shared" si="126"/>
        <v>0</v>
      </c>
    </row>
    <row r="451" spans="1:15" ht="14.25" customHeight="1" hidden="1">
      <c r="A451" s="100" t="s">
        <v>273</v>
      </c>
      <c r="B451" s="32" t="s">
        <v>421</v>
      </c>
      <c r="C451" s="32" t="s">
        <v>21</v>
      </c>
      <c r="D451" s="25" t="s">
        <v>26</v>
      </c>
      <c r="E451" s="25" t="s">
        <v>275</v>
      </c>
      <c r="F451" s="25" t="s">
        <v>131</v>
      </c>
      <c r="G451" s="520"/>
      <c r="H451" s="524"/>
      <c r="I451" s="520"/>
      <c r="J451" s="26">
        <f>H451+I451</f>
        <v>0</v>
      </c>
      <c r="K451" s="622"/>
      <c r="L451" s="26">
        <f>J451+K451</f>
        <v>0</v>
      </c>
      <c r="M451" s="38"/>
      <c r="N451" s="29">
        <f>L451+M451</f>
        <v>0</v>
      </c>
      <c r="O451" s="15">
        <f t="shared" si="126"/>
        <v>0</v>
      </c>
    </row>
    <row r="452" spans="1:15" ht="18" customHeight="1" hidden="1">
      <c r="A452" s="151" t="s">
        <v>27</v>
      </c>
      <c r="B452" s="152" t="s">
        <v>421</v>
      </c>
      <c r="C452" s="152" t="s">
        <v>21</v>
      </c>
      <c r="D452" s="152" t="s">
        <v>28</v>
      </c>
      <c r="E452" s="153"/>
      <c r="F452" s="153"/>
      <c r="G452" s="520"/>
      <c r="H452" s="524">
        <f>H453</f>
        <v>0</v>
      </c>
      <c r="I452" s="524">
        <f aca="true" t="shared" si="154" ref="I452:N453">I453</f>
        <v>0</v>
      </c>
      <c r="J452" s="26">
        <f t="shared" si="154"/>
        <v>0</v>
      </c>
      <c r="K452" s="26">
        <f t="shared" si="154"/>
        <v>0</v>
      </c>
      <c r="L452" s="26">
        <f t="shared" si="154"/>
        <v>0</v>
      </c>
      <c r="M452" s="154">
        <f t="shared" si="154"/>
        <v>0</v>
      </c>
      <c r="N452" s="46">
        <f t="shared" si="154"/>
        <v>0</v>
      </c>
      <c r="O452" s="15">
        <f t="shared" si="126"/>
        <v>0</v>
      </c>
    </row>
    <row r="453" spans="1:15" ht="17.25" customHeight="1" hidden="1">
      <c r="A453" s="30" t="s">
        <v>431</v>
      </c>
      <c r="B453" s="155" t="s">
        <v>421</v>
      </c>
      <c r="C453" s="155" t="s">
        <v>21</v>
      </c>
      <c r="D453" s="155" t="s">
        <v>28</v>
      </c>
      <c r="E453" s="155" t="s">
        <v>432</v>
      </c>
      <c r="F453" s="155"/>
      <c r="G453" s="520"/>
      <c r="H453" s="524">
        <f>H454</f>
        <v>0</v>
      </c>
      <c r="I453" s="524">
        <f t="shared" si="154"/>
        <v>0</v>
      </c>
      <c r="J453" s="26">
        <f t="shared" si="154"/>
        <v>0</v>
      </c>
      <c r="K453" s="26">
        <f t="shared" si="154"/>
        <v>0</v>
      </c>
      <c r="L453" s="26">
        <f t="shared" si="154"/>
        <v>0</v>
      </c>
      <c r="M453" s="28">
        <f t="shared" si="154"/>
        <v>0</v>
      </c>
      <c r="N453" s="29">
        <f t="shared" si="154"/>
        <v>0</v>
      </c>
      <c r="O453" s="15">
        <f t="shared" si="126"/>
        <v>0</v>
      </c>
    </row>
    <row r="454" spans="1:15" ht="15" customHeight="1" hidden="1">
      <c r="A454" s="99" t="s">
        <v>130</v>
      </c>
      <c r="B454" s="25" t="s">
        <v>421</v>
      </c>
      <c r="C454" s="25" t="s">
        <v>21</v>
      </c>
      <c r="D454" s="25" t="s">
        <v>28</v>
      </c>
      <c r="E454" s="25" t="s">
        <v>432</v>
      </c>
      <c r="F454" s="25" t="s">
        <v>230</v>
      </c>
      <c r="G454" s="135"/>
      <c r="H454" s="524"/>
      <c r="I454" s="135"/>
      <c r="J454" s="26">
        <f>H454+I454</f>
        <v>0</v>
      </c>
      <c r="K454" s="26"/>
      <c r="L454" s="26">
        <f>J454+K454</f>
        <v>0</v>
      </c>
      <c r="M454" s="107"/>
      <c r="N454" s="106">
        <f>L454+M454</f>
        <v>0</v>
      </c>
      <c r="O454" s="15">
        <f t="shared" si="126"/>
        <v>0</v>
      </c>
    </row>
    <row r="455" spans="1:15" s="102" customFormat="1" ht="29.25" customHeight="1">
      <c r="A455" s="98" t="s">
        <v>433</v>
      </c>
      <c r="B455" s="24" t="s">
        <v>421</v>
      </c>
      <c r="C455" s="24" t="s">
        <v>21</v>
      </c>
      <c r="D455" s="24" t="s">
        <v>32</v>
      </c>
      <c r="E455" s="156"/>
      <c r="F455" s="24"/>
      <c r="G455" s="503">
        <f aca="true" t="shared" si="155" ref="G455:N459">G456</f>
        <v>0</v>
      </c>
      <c r="H455" s="503">
        <f t="shared" si="155"/>
        <v>20</v>
      </c>
      <c r="I455" s="503">
        <f t="shared" si="155"/>
        <v>0</v>
      </c>
      <c r="J455" s="504">
        <f>J456</f>
        <v>134.289</v>
      </c>
      <c r="K455" s="504">
        <f t="shared" si="155"/>
        <v>0</v>
      </c>
      <c r="L455" s="504">
        <f t="shared" si="155"/>
        <v>134.289</v>
      </c>
      <c r="M455" s="505">
        <f t="shared" si="155"/>
        <v>0</v>
      </c>
      <c r="N455" s="86">
        <f t="shared" si="155"/>
        <v>48.04329</v>
      </c>
      <c r="O455" s="15">
        <f t="shared" si="126"/>
        <v>0</v>
      </c>
    </row>
    <row r="456" spans="1:15" ht="32.25" customHeight="1">
      <c r="A456" s="99" t="s">
        <v>434</v>
      </c>
      <c r="B456" s="25" t="s">
        <v>421</v>
      </c>
      <c r="C456" s="25" t="s">
        <v>21</v>
      </c>
      <c r="D456" s="25" t="s">
        <v>32</v>
      </c>
      <c r="E456" s="115" t="s">
        <v>435</v>
      </c>
      <c r="F456" s="25"/>
      <c r="G456" s="135">
        <f>G459</f>
        <v>0</v>
      </c>
      <c r="H456" s="135">
        <f>H459</f>
        <v>20</v>
      </c>
      <c r="I456" s="135">
        <f>I459</f>
        <v>0</v>
      </c>
      <c r="J456" s="26">
        <f>J459+J457</f>
        <v>134.289</v>
      </c>
      <c r="K456" s="26">
        <f>K459+K457</f>
        <v>0</v>
      </c>
      <c r="L456" s="26">
        <f>L459+L457</f>
        <v>134.289</v>
      </c>
      <c r="M456" s="40">
        <f>M459</f>
        <v>0</v>
      </c>
      <c r="N456" s="41">
        <f>N459</f>
        <v>48.04329</v>
      </c>
      <c r="O456" s="15">
        <f t="shared" si="126"/>
        <v>0</v>
      </c>
    </row>
    <row r="457" spans="1:15" ht="43.5" customHeight="1">
      <c r="A457" s="57" t="s">
        <v>436</v>
      </c>
      <c r="B457" s="25" t="s">
        <v>421</v>
      </c>
      <c r="C457" s="25" t="s">
        <v>21</v>
      </c>
      <c r="D457" s="25" t="s">
        <v>32</v>
      </c>
      <c r="E457" s="25" t="s">
        <v>437</v>
      </c>
      <c r="F457" s="25"/>
      <c r="G457" s="135">
        <f t="shared" si="155"/>
        <v>0</v>
      </c>
      <c r="H457" s="135">
        <f t="shared" si="155"/>
        <v>20</v>
      </c>
      <c r="I457" s="135">
        <f t="shared" si="155"/>
        <v>0</v>
      </c>
      <c r="J457" s="26">
        <f t="shared" si="155"/>
        <v>86.24571</v>
      </c>
      <c r="K457" s="26">
        <f t="shared" si="155"/>
        <v>0</v>
      </c>
      <c r="L457" s="26">
        <f t="shared" si="155"/>
        <v>86.24571</v>
      </c>
      <c r="M457" s="40"/>
      <c r="N457" s="41"/>
      <c r="O457" s="15">
        <f t="shared" si="126"/>
        <v>0</v>
      </c>
    </row>
    <row r="458" spans="1:15" ht="27" customHeight="1">
      <c r="A458" s="99" t="s">
        <v>133</v>
      </c>
      <c r="B458" s="25" t="s">
        <v>421</v>
      </c>
      <c r="C458" s="25" t="s">
        <v>21</v>
      </c>
      <c r="D458" s="25" t="s">
        <v>32</v>
      </c>
      <c r="E458" s="25" t="s">
        <v>437</v>
      </c>
      <c r="F458" s="25" t="s">
        <v>131</v>
      </c>
      <c r="G458" s="135"/>
      <c r="H458" s="135">
        <v>20</v>
      </c>
      <c r="I458" s="135"/>
      <c r="J458" s="26">
        <v>86.24571</v>
      </c>
      <c r="K458" s="26"/>
      <c r="L458" s="26">
        <f>J458+K458</f>
        <v>86.24571</v>
      </c>
      <c r="M458" s="40"/>
      <c r="N458" s="41"/>
      <c r="O458" s="15">
        <f t="shared" si="126"/>
        <v>0</v>
      </c>
    </row>
    <row r="459" spans="1:15" ht="30" customHeight="1">
      <c r="A459" s="99" t="s">
        <v>438</v>
      </c>
      <c r="B459" s="25" t="s">
        <v>421</v>
      </c>
      <c r="C459" s="25" t="s">
        <v>21</v>
      </c>
      <c r="D459" s="25" t="s">
        <v>32</v>
      </c>
      <c r="E459" s="25" t="s">
        <v>439</v>
      </c>
      <c r="F459" s="25"/>
      <c r="G459" s="135">
        <f t="shared" si="155"/>
        <v>0</v>
      </c>
      <c r="H459" s="135">
        <f t="shared" si="155"/>
        <v>20</v>
      </c>
      <c r="I459" s="135">
        <f t="shared" si="155"/>
        <v>0</v>
      </c>
      <c r="J459" s="26">
        <f t="shared" si="155"/>
        <v>48.04329</v>
      </c>
      <c r="K459" s="26">
        <f t="shared" si="155"/>
        <v>0</v>
      </c>
      <c r="L459" s="26">
        <f t="shared" si="155"/>
        <v>48.04329</v>
      </c>
      <c r="M459" s="40">
        <f t="shared" si="155"/>
        <v>0</v>
      </c>
      <c r="N459" s="41">
        <f t="shared" si="155"/>
        <v>48.04329</v>
      </c>
      <c r="O459" s="15">
        <f t="shared" si="126"/>
        <v>0</v>
      </c>
    </row>
    <row r="460" spans="1:15" ht="31.5" customHeight="1">
      <c r="A460" s="99" t="s">
        <v>133</v>
      </c>
      <c r="B460" s="25" t="s">
        <v>421</v>
      </c>
      <c r="C460" s="25" t="s">
        <v>21</v>
      </c>
      <c r="D460" s="25" t="s">
        <v>32</v>
      </c>
      <c r="E460" s="25" t="s">
        <v>439</v>
      </c>
      <c r="F460" s="25" t="s">
        <v>131</v>
      </c>
      <c r="G460" s="135"/>
      <c r="H460" s="135">
        <v>20</v>
      </c>
      <c r="I460" s="135"/>
      <c r="J460" s="26">
        <v>48.04329</v>
      </c>
      <c r="K460" s="26"/>
      <c r="L460" s="26">
        <f>J460+K460</f>
        <v>48.04329</v>
      </c>
      <c r="M460" s="40"/>
      <c r="N460" s="29">
        <f>L460+M460</f>
        <v>48.04329</v>
      </c>
      <c r="O460" s="15">
        <f t="shared" si="126"/>
        <v>0</v>
      </c>
    </row>
    <row r="461" spans="1:15" ht="25.5" customHeight="1">
      <c r="A461" s="157" t="s">
        <v>38</v>
      </c>
      <c r="B461" s="158" t="s">
        <v>421</v>
      </c>
      <c r="C461" s="158" t="s">
        <v>21</v>
      </c>
      <c r="D461" s="158" t="s">
        <v>37</v>
      </c>
      <c r="E461" s="158"/>
      <c r="F461" s="158"/>
      <c r="G461" s="190">
        <f>G464+G462</f>
        <v>0</v>
      </c>
      <c r="H461" s="190">
        <f>H464+H462</f>
        <v>265.4</v>
      </c>
      <c r="I461" s="190">
        <f>I464+I462</f>
        <v>0</v>
      </c>
      <c r="J461" s="504">
        <f>J464+J462+J467+J469</f>
        <v>2242.2799999999997</v>
      </c>
      <c r="K461" s="504">
        <f>K464+K462+K467+K469</f>
        <v>16.692</v>
      </c>
      <c r="L461" s="504">
        <f>L464+L462+L467+L469</f>
        <v>2258.9719999999998</v>
      </c>
      <c r="M461" s="40"/>
      <c r="N461" s="29"/>
      <c r="O461" s="15">
        <f>SUM(J461:K461)</f>
        <v>2258.9719999999998</v>
      </c>
    </row>
    <row r="462" spans="1:15" ht="30.75" customHeight="1">
      <c r="A462" s="159" t="s">
        <v>440</v>
      </c>
      <c r="B462" s="115" t="s">
        <v>421</v>
      </c>
      <c r="C462" s="115" t="s">
        <v>21</v>
      </c>
      <c r="D462" s="115" t="s">
        <v>37</v>
      </c>
      <c r="E462" s="115" t="s">
        <v>429</v>
      </c>
      <c r="F462" s="115"/>
      <c r="G462" s="62">
        <f aca="true" t="shared" si="156" ref="G462:L462">G463</f>
        <v>195</v>
      </c>
      <c r="H462" s="62">
        <f t="shared" si="156"/>
        <v>0</v>
      </c>
      <c r="I462" s="62">
        <f t="shared" si="156"/>
        <v>0</v>
      </c>
      <c r="J462" s="26">
        <f t="shared" si="156"/>
        <v>413</v>
      </c>
      <c r="K462" s="26">
        <f t="shared" si="156"/>
        <v>20.65</v>
      </c>
      <c r="L462" s="26">
        <f t="shared" si="156"/>
        <v>433.65</v>
      </c>
      <c r="M462" s="40"/>
      <c r="N462" s="29"/>
      <c r="O462" s="15">
        <f aca="true" t="shared" si="157" ref="O462:O524">J462+K462-L462</f>
        <v>0</v>
      </c>
    </row>
    <row r="463" spans="1:16" ht="28.5" customHeight="1">
      <c r="A463" s="160" t="s">
        <v>139</v>
      </c>
      <c r="B463" s="115" t="s">
        <v>421</v>
      </c>
      <c r="C463" s="115" t="s">
        <v>21</v>
      </c>
      <c r="D463" s="115" t="s">
        <v>37</v>
      </c>
      <c r="E463" s="115" t="s">
        <v>441</v>
      </c>
      <c r="F463" s="115" t="s">
        <v>140</v>
      </c>
      <c r="G463" s="62">
        <v>195</v>
      </c>
      <c r="H463" s="61"/>
      <c r="I463" s="62"/>
      <c r="J463" s="26">
        <v>413</v>
      </c>
      <c r="K463" s="26">
        <v>20.65</v>
      </c>
      <c r="L463" s="26">
        <f>J463+K463</f>
        <v>433.65</v>
      </c>
      <c r="M463" s="40"/>
      <c r="N463" s="29"/>
      <c r="O463" s="15">
        <f t="shared" si="157"/>
        <v>0</v>
      </c>
      <c r="P463" s="15">
        <f>K463</f>
        <v>20.65</v>
      </c>
    </row>
    <row r="464" spans="1:15" ht="43.5" customHeight="1">
      <c r="A464" s="160" t="s">
        <v>442</v>
      </c>
      <c r="B464" s="115" t="s">
        <v>421</v>
      </c>
      <c r="C464" s="115" t="s">
        <v>21</v>
      </c>
      <c r="D464" s="115" t="s">
        <v>37</v>
      </c>
      <c r="E464" s="115" t="s">
        <v>443</v>
      </c>
      <c r="F464" s="115"/>
      <c r="G464" s="62">
        <f aca="true" t="shared" si="158" ref="G464:L465">G465</f>
        <v>-195</v>
      </c>
      <c r="H464" s="62">
        <f t="shared" si="158"/>
        <v>265.4</v>
      </c>
      <c r="I464" s="62">
        <f t="shared" si="158"/>
        <v>0</v>
      </c>
      <c r="J464" s="26">
        <f t="shared" si="158"/>
        <v>112.73</v>
      </c>
      <c r="K464" s="26">
        <f t="shared" si="158"/>
        <v>0</v>
      </c>
      <c r="L464" s="26">
        <f t="shared" si="158"/>
        <v>112.73</v>
      </c>
      <c r="M464" s="40"/>
      <c r="N464" s="29"/>
      <c r="O464" s="15">
        <f t="shared" si="157"/>
        <v>0</v>
      </c>
    </row>
    <row r="465" spans="1:15" ht="27.75" customHeight="1">
      <c r="A465" s="160" t="s">
        <v>143</v>
      </c>
      <c r="B465" s="115" t="s">
        <v>421</v>
      </c>
      <c r="C465" s="115" t="s">
        <v>21</v>
      </c>
      <c r="D465" s="115" t="s">
        <v>37</v>
      </c>
      <c r="E465" s="115" t="s">
        <v>444</v>
      </c>
      <c r="F465" s="115"/>
      <c r="G465" s="62">
        <f t="shared" si="158"/>
        <v>-195</v>
      </c>
      <c r="H465" s="62">
        <f t="shared" si="158"/>
        <v>265.4</v>
      </c>
      <c r="I465" s="62">
        <f t="shared" si="158"/>
        <v>0</v>
      </c>
      <c r="J465" s="26">
        <f t="shared" si="158"/>
        <v>112.73</v>
      </c>
      <c r="K465" s="26">
        <f t="shared" si="158"/>
        <v>0</v>
      </c>
      <c r="L465" s="26">
        <f t="shared" si="158"/>
        <v>112.73</v>
      </c>
      <c r="M465" s="40"/>
      <c r="N465" s="29"/>
      <c r="O465" s="15">
        <f t="shared" si="157"/>
        <v>0</v>
      </c>
    </row>
    <row r="466" spans="1:15" ht="27.75" customHeight="1">
      <c r="A466" s="160" t="s">
        <v>139</v>
      </c>
      <c r="B466" s="115" t="s">
        <v>421</v>
      </c>
      <c r="C466" s="115" t="s">
        <v>21</v>
      </c>
      <c r="D466" s="115" t="s">
        <v>37</v>
      </c>
      <c r="E466" s="115" t="s">
        <v>444</v>
      </c>
      <c r="F466" s="115" t="s">
        <v>140</v>
      </c>
      <c r="G466" s="62">
        <v>-195</v>
      </c>
      <c r="H466" s="62">
        <f>204.4+61</f>
        <v>265.4</v>
      </c>
      <c r="I466" s="62"/>
      <c r="J466" s="26">
        <v>112.73</v>
      </c>
      <c r="K466" s="26"/>
      <c r="L466" s="26">
        <f>J466+K466</f>
        <v>112.73</v>
      </c>
      <c r="M466" s="40"/>
      <c r="N466" s="29"/>
      <c r="O466" s="15">
        <f t="shared" si="157"/>
        <v>0</v>
      </c>
    </row>
    <row r="467" spans="1:15" ht="42" customHeight="1">
      <c r="A467" s="160" t="s">
        <v>445</v>
      </c>
      <c r="B467" s="115" t="s">
        <v>421</v>
      </c>
      <c r="C467" s="115" t="s">
        <v>21</v>
      </c>
      <c r="D467" s="115" t="s">
        <v>37</v>
      </c>
      <c r="E467" s="115" t="s">
        <v>446</v>
      </c>
      <c r="F467" s="115"/>
      <c r="G467" s="62"/>
      <c r="H467" s="61"/>
      <c r="I467" s="62"/>
      <c r="J467" s="26">
        <f>J468</f>
        <v>175.8</v>
      </c>
      <c r="K467" s="26">
        <f>K468</f>
        <v>-3.958</v>
      </c>
      <c r="L467" s="26">
        <f>L468</f>
        <v>171.842</v>
      </c>
      <c r="M467" s="40"/>
      <c r="N467" s="29"/>
      <c r="O467" s="15">
        <f t="shared" si="157"/>
        <v>0</v>
      </c>
    </row>
    <row r="468" spans="1:19" s="371" customFormat="1" ht="27.75" customHeight="1">
      <c r="A468" s="160" t="s">
        <v>133</v>
      </c>
      <c r="B468" s="115" t="s">
        <v>421</v>
      </c>
      <c r="C468" s="115" t="s">
        <v>21</v>
      </c>
      <c r="D468" s="115" t="s">
        <v>37</v>
      </c>
      <c r="E468" s="115" t="s">
        <v>446</v>
      </c>
      <c r="F468" s="115" t="s">
        <v>131</v>
      </c>
      <c r="G468" s="62"/>
      <c r="H468" s="61"/>
      <c r="I468" s="62"/>
      <c r="J468" s="26">
        <v>175.8</v>
      </c>
      <c r="K468" s="26">
        <v>-3.958</v>
      </c>
      <c r="L468" s="26">
        <f>J468+K468</f>
        <v>171.842</v>
      </c>
      <c r="M468" s="369"/>
      <c r="N468" s="370"/>
      <c r="O468" s="15">
        <f t="shared" si="157"/>
        <v>0</v>
      </c>
      <c r="P468" s="373">
        <f>K468</f>
        <v>-3.958</v>
      </c>
      <c r="Q468" s="372"/>
      <c r="R468" s="372" t="s">
        <v>949</v>
      </c>
      <c r="S468" s="372"/>
    </row>
    <row r="469" spans="1:16" ht="42" customHeight="1">
      <c r="A469" s="99" t="s">
        <v>221</v>
      </c>
      <c r="B469" s="25" t="s">
        <v>421</v>
      </c>
      <c r="C469" s="25" t="s">
        <v>21</v>
      </c>
      <c r="D469" s="25" t="s">
        <v>37</v>
      </c>
      <c r="E469" s="25" t="s">
        <v>222</v>
      </c>
      <c r="F469" s="25"/>
      <c r="G469" s="62"/>
      <c r="H469" s="61"/>
      <c r="I469" s="62"/>
      <c r="J469" s="26">
        <f>J470</f>
        <v>1540.75</v>
      </c>
      <c r="K469" s="26">
        <f>K470</f>
        <v>0</v>
      </c>
      <c r="L469" s="26">
        <f>L470</f>
        <v>1540.75</v>
      </c>
      <c r="M469" s="40"/>
      <c r="N469" s="29"/>
      <c r="O469" s="15">
        <f t="shared" si="157"/>
        <v>0</v>
      </c>
      <c r="P469" s="15"/>
    </row>
    <row r="470" spans="1:16" ht="27.75" customHeight="1">
      <c r="A470" s="99" t="s">
        <v>133</v>
      </c>
      <c r="B470" s="25" t="s">
        <v>421</v>
      </c>
      <c r="C470" s="25" t="s">
        <v>21</v>
      </c>
      <c r="D470" s="25" t="s">
        <v>37</v>
      </c>
      <c r="E470" s="25" t="s">
        <v>222</v>
      </c>
      <c r="F470" s="25" t="s">
        <v>131</v>
      </c>
      <c r="G470" s="62"/>
      <c r="H470" s="61"/>
      <c r="I470" s="62"/>
      <c r="J470" s="26">
        <v>1540.75</v>
      </c>
      <c r="K470" s="26"/>
      <c r="L470" s="26">
        <f>J470+K470</f>
        <v>1540.75</v>
      </c>
      <c r="M470" s="40"/>
      <c r="N470" s="29"/>
      <c r="O470" s="15">
        <f t="shared" si="157"/>
        <v>0</v>
      </c>
      <c r="P470" s="15"/>
    </row>
    <row r="471" spans="1:15" s="102" customFormat="1" ht="29.25" hidden="1">
      <c r="A471" s="98" t="s">
        <v>38</v>
      </c>
      <c r="B471" s="24" t="s">
        <v>421</v>
      </c>
      <c r="C471" s="24" t="s">
        <v>21</v>
      </c>
      <c r="D471" s="24" t="s">
        <v>39</v>
      </c>
      <c r="E471" s="24"/>
      <c r="F471" s="24"/>
      <c r="G471" s="503">
        <f aca="true" t="shared" si="159" ref="G471:M471">G474+G472</f>
        <v>0</v>
      </c>
      <c r="H471" s="503">
        <f t="shared" si="159"/>
        <v>265.4</v>
      </c>
      <c r="I471" s="503">
        <f t="shared" si="159"/>
        <v>0</v>
      </c>
      <c r="J471" s="504">
        <f t="shared" si="159"/>
        <v>0</v>
      </c>
      <c r="K471" s="504">
        <f t="shared" si="159"/>
        <v>0</v>
      </c>
      <c r="L471" s="504">
        <f t="shared" si="159"/>
        <v>0</v>
      </c>
      <c r="M471" s="505">
        <f t="shared" si="159"/>
        <v>-88</v>
      </c>
      <c r="N471" s="86">
        <f>N474+N472</f>
        <v>-88</v>
      </c>
      <c r="O471" s="15">
        <f t="shared" si="157"/>
        <v>0</v>
      </c>
    </row>
    <row r="472" spans="1:15" s="102" customFormat="1" ht="44.25" customHeight="1" hidden="1">
      <c r="A472" s="84" t="s">
        <v>440</v>
      </c>
      <c r="B472" s="25" t="s">
        <v>421</v>
      </c>
      <c r="C472" s="25" t="s">
        <v>21</v>
      </c>
      <c r="D472" s="25" t="s">
        <v>39</v>
      </c>
      <c r="E472" s="25" t="s">
        <v>429</v>
      </c>
      <c r="F472" s="25"/>
      <c r="G472" s="135">
        <f aca="true" t="shared" si="160" ref="G472:N472">G473</f>
        <v>195</v>
      </c>
      <c r="H472" s="135">
        <f t="shared" si="160"/>
        <v>0</v>
      </c>
      <c r="I472" s="135">
        <f t="shared" si="160"/>
        <v>0</v>
      </c>
      <c r="J472" s="26">
        <f t="shared" si="160"/>
        <v>0</v>
      </c>
      <c r="K472" s="26">
        <f t="shared" si="160"/>
        <v>0</v>
      </c>
      <c r="L472" s="26">
        <f t="shared" si="160"/>
        <v>0</v>
      </c>
      <c r="M472" s="40">
        <f t="shared" si="160"/>
        <v>0</v>
      </c>
      <c r="N472" s="41">
        <f t="shared" si="160"/>
        <v>0</v>
      </c>
      <c r="O472" s="15">
        <f t="shared" si="157"/>
        <v>0</v>
      </c>
    </row>
    <row r="473" spans="1:16" s="102" customFormat="1" ht="30.75" customHeight="1" hidden="1">
      <c r="A473" s="99" t="s">
        <v>139</v>
      </c>
      <c r="B473" s="25" t="s">
        <v>421</v>
      </c>
      <c r="C473" s="25" t="s">
        <v>21</v>
      </c>
      <c r="D473" s="25" t="s">
        <v>39</v>
      </c>
      <c r="E473" s="25" t="s">
        <v>441</v>
      </c>
      <c r="F473" s="25" t="s">
        <v>140</v>
      </c>
      <c r="G473" s="135">
        <v>195</v>
      </c>
      <c r="H473" s="524"/>
      <c r="I473" s="135"/>
      <c r="J473" s="26"/>
      <c r="K473" s="26"/>
      <c r="L473" s="26">
        <f>J473+K473</f>
        <v>0</v>
      </c>
      <c r="M473" s="40"/>
      <c r="N473" s="29">
        <f>L473+M473</f>
        <v>0</v>
      </c>
      <c r="O473" s="15">
        <f t="shared" si="157"/>
        <v>0</v>
      </c>
      <c r="P473" s="134">
        <f>K473</f>
        <v>0</v>
      </c>
    </row>
    <row r="474" spans="1:15" ht="45" hidden="1">
      <c r="A474" s="99" t="s">
        <v>442</v>
      </c>
      <c r="B474" s="25" t="s">
        <v>421</v>
      </c>
      <c r="C474" s="25" t="s">
        <v>21</v>
      </c>
      <c r="D474" s="25" t="s">
        <v>39</v>
      </c>
      <c r="E474" s="25" t="s">
        <v>443</v>
      </c>
      <c r="F474" s="25"/>
      <c r="G474" s="135">
        <f aca="true" t="shared" si="161" ref="G474:N475">G475</f>
        <v>-195</v>
      </c>
      <c r="H474" s="135">
        <f t="shared" si="161"/>
        <v>265.4</v>
      </c>
      <c r="I474" s="135">
        <f t="shared" si="161"/>
        <v>0</v>
      </c>
      <c r="J474" s="26">
        <f t="shared" si="161"/>
        <v>0</v>
      </c>
      <c r="K474" s="26">
        <f t="shared" si="161"/>
        <v>0</v>
      </c>
      <c r="L474" s="26">
        <f t="shared" si="161"/>
        <v>0</v>
      </c>
      <c r="M474" s="40">
        <f t="shared" si="161"/>
        <v>-88</v>
      </c>
      <c r="N474" s="41">
        <f t="shared" si="161"/>
        <v>-88</v>
      </c>
      <c r="O474" s="15">
        <f t="shared" si="157"/>
        <v>0</v>
      </c>
    </row>
    <row r="475" spans="1:15" ht="18" customHeight="1" hidden="1">
      <c r="A475" s="99" t="s">
        <v>143</v>
      </c>
      <c r="B475" s="25" t="s">
        <v>421</v>
      </c>
      <c r="C475" s="25" t="s">
        <v>21</v>
      </c>
      <c r="D475" s="25" t="s">
        <v>39</v>
      </c>
      <c r="E475" s="25" t="s">
        <v>444</v>
      </c>
      <c r="F475" s="25"/>
      <c r="G475" s="135">
        <f t="shared" si="161"/>
        <v>-195</v>
      </c>
      <c r="H475" s="135">
        <f t="shared" si="161"/>
        <v>265.4</v>
      </c>
      <c r="I475" s="135">
        <f t="shared" si="161"/>
        <v>0</v>
      </c>
      <c r="J475" s="26">
        <f t="shared" si="161"/>
        <v>0</v>
      </c>
      <c r="K475" s="26">
        <f t="shared" si="161"/>
        <v>0</v>
      </c>
      <c r="L475" s="26">
        <f t="shared" si="161"/>
        <v>0</v>
      </c>
      <c r="M475" s="40">
        <f t="shared" si="161"/>
        <v>-88</v>
      </c>
      <c r="N475" s="41">
        <f t="shared" si="161"/>
        <v>-88</v>
      </c>
      <c r="O475" s="15">
        <f t="shared" si="157"/>
        <v>0</v>
      </c>
    </row>
    <row r="476" spans="1:16" ht="18" customHeight="1" hidden="1">
      <c r="A476" s="99" t="s">
        <v>139</v>
      </c>
      <c r="B476" s="25" t="s">
        <v>421</v>
      </c>
      <c r="C476" s="25" t="s">
        <v>21</v>
      </c>
      <c r="D476" s="25" t="s">
        <v>39</v>
      </c>
      <c r="E476" s="25" t="s">
        <v>444</v>
      </c>
      <c r="F476" s="25" t="s">
        <v>140</v>
      </c>
      <c r="G476" s="135">
        <v>-195</v>
      </c>
      <c r="H476" s="135">
        <f>204.4+61</f>
        <v>265.4</v>
      </c>
      <c r="I476" s="135"/>
      <c r="J476" s="26"/>
      <c r="K476" s="26"/>
      <c r="L476" s="26">
        <f>J476+K476</f>
        <v>0</v>
      </c>
      <c r="M476" s="40">
        <f>-88</f>
        <v>-88</v>
      </c>
      <c r="N476" s="29">
        <f>L476+M476</f>
        <v>-88</v>
      </c>
      <c r="O476" s="15">
        <f t="shared" si="157"/>
        <v>0</v>
      </c>
      <c r="P476" s="87"/>
    </row>
    <row r="477" spans="1:15" s="148" customFormat="1" ht="43.5">
      <c r="A477" s="161" t="s">
        <v>43</v>
      </c>
      <c r="B477" s="32" t="s">
        <v>421</v>
      </c>
      <c r="C477" s="32" t="s">
        <v>24</v>
      </c>
      <c r="D477" s="32"/>
      <c r="E477" s="32"/>
      <c r="F477" s="32"/>
      <c r="G477" s="363">
        <f aca="true" t="shared" si="162" ref="G477:N477">G478+G482</f>
        <v>0</v>
      </c>
      <c r="H477" s="363">
        <f t="shared" si="162"/>
        <v>57.6</v>
      </c>
      <c r="I477" s="363">
        <f t="shared" si="162"/>
        <v>0</v>
      </c>
      <c r="J477" s="622">
        <f t="shared" si="162"/>
        <v>45</v>
      </c>
      <c r="K477" s="622">
        <f t="shared" si="162"/>
        <v>-10</v>
      </c>
      <c r="L477" s="622">
        <f t="shared" si="162"/>
        <v>35</v>
      </c>
      <c r="M477" s="506">
        <f t="shared" si="162"/>
        <v>0</v>
      </c>
      <c r="N477" s="363">
        <f t="shared" si="162"/>
        <v>20</v>
      </c>
      <c r="O477" s="15">
        <f>SUM(J477:K477)</f>
        <v>35</v>
      </c>
    </row>
    <row r="478" spans="1:15" s="102" customFormat="1" ht="72">
      <c r="A478" s="98" t="s">
        <v>447</v>
      </c>
      <c r="B478" s="24" t="s">
        <v>421</v>
      </c>
      <c r="C478" s="24" t="s">
        <v>24</v>
      </c>
      <c r="D478" s="24" t="s">
        <v>47</v>
      </c>
      <c r="E478" s="24"/>
      <c r="F478" s="24"/>
      <c r="G478" s="503">
        <f aca="true" t="shared" si="163" ref="G478:N480">G479</f>
        <v>0</v>
      </c>
      <c r="H478" s="503">
        <f t="shared" si="163"/>
        <v>57.6</v>
      </c>
      <c r="I478" s="503">
        <f t="shared" si="163"/>
        <v>0</v>
      </c>
      <c r="J478" s="504">
        <f t="shared" si="163"/>
        <v>30</v>
      </c>
      <c r="K478" s="504">
        <f t="shared" si="163"/>
        <v>-10</v>
      </c>
      <c r="L478" s="504">
        <f t="shared" si="163"/>
        <v>20</v>
      </c>
      <c r="M478" s="505">
        <f t="shared" si="163"/>
        <v>0</v>
      </c>
      <c r="N478" s="86">
        <f t="shared" si="163"/>
        <v>20</v>
      </c>
      <c r="O478" s="15">
        <f t="shared" si="157"/>
        <v>0</v>
      </c>
    </row>
    <row r="479" spans="1:15" ht="60">
      <c r="A479" s="99" t="s">
        <v>448</v>
      </c>
      <c r="B479" s="25" t="s">
        <v>421</v>
      </c>
      <c r="C479" s="25" t="s">
        <v>24</v>
      </c>
      <c r="D479" s="25" t="s">
        <v>47</v>
      </c>
      <c r="E479" s="25" t="s">
        <v>449</v>
      </c>
      <c r="F479" s="25"/>
      <c r="G479" s="135">
        <f t="shared" si="163"/>
        <v>0</v>
      </c>
      <c r="H479" s="135">
        <f t="shared" si="163"/>
        <v>57.6</v>
      </c>
      <c r="I479" s="135">
        <f t="shared" si="163"/>
        <v>0</v>
      </c>
      <c r="J479" s="26">
        <f t="shared" si="163"/>
        <v>30</v>
      </c>
      <c r="K479" s="26">
        <f t="shared" si="163"/>
        <v>-10</v>
      </c>
      <c r="L479" s="26">
        <f t="shared" si="163"/>
        <v>20</v>
      </c>
      <c r="M479" s="40">
        <f t="shared" si="163"/>
        <v>0</v>
      </c>
      <c r="N479" s="41">
        <f t="shared" si="163"/>
        <v>20</v>
      </c>
      <c r="O479" s="15">
        <f t="shared" si="157"/>
        <v>0</v>
      </c>
    </row>
    <row r="480" spans="1:15" ht="60">
      <c r="A480" s="99" t="s">
        <v>450</v>
      </c>
      <c r="B480" s="25" t="s">
        <v>421</v>
      </c>
      <c r="C480" s="25" t="s">
        <v>24</v>
      </c>
      <c r="D480" s="25" t="s">
        <v>47</v>
      </c>
      <c r="E480" s="25" t="s">
        <v>451</v>
      </c>
      <c r="F480" s="25"/>
      <c r="G480" s="135">
        <f t="shared" si="163"/>
        <v>0</v>
      </c>
      <c r="H480" s="135">
        <f t="shared" si="163"/>
        <v>57.6</v>
      </c>
      <c r="I480" s="135">
        <f t="shared" si="163"/>
        <v>0</v>
      </c>
      <c r="J480" s="26">
        <f t="shared" si="163"/>
        <v>30</v>
      </c>
      <c r="K480" s="26">
        <f t="shared" si="163"/>
        <v>-10</v>
      </c>
      <c r="L480" s="26">
        <f t="shared" si="163"/>
        <v>20</v>
      </c>
      <c r="M480" s="40">
        <f t="shared" si="163"/>
        <v>0</v>
      </c>
      <c r="N480" s="41">
        <f t="shared" si="163"/>
        <v>20</v>
      </c>
      <c r="O480" s="15">
        <f t="shared" si="157"/>
        <v>0</v>
      </c>
    </row>
    <row r="481" spans="1:15" ht="60">
      <c r="A481" s="105" t="s">
        <v>452</v>
      </c>
      <c r="B481" s="25" t="s">
        <v>421</v>
      </c>
      <c r="C481" s="25" t="s">
        <v>24</v>
      </c>
      <c r="D481" s="25" t="s">
        <v>47</v>
      </c>
      <c r="E481" s="25" t="s">
        <v>451</v>
      </c>
      <c r="F481" s="25" t="s">
        <v>453</v>
      </c>
      <c r="G481" s="135"/>
      <c r="H481" s="135">
        <v>57.6</v>
      </c>
      <c r="I481" s="135"/>
      <c r="J481" s="26">
        <v>30</v>
      </c>
      <c r="K481" s="26">
        <v>-10</v>
      </c>
      <c r="L481" s="26">
        <f>J481+K481</f>
        <v>20</v>
      </c>
      <c r="M481" s="40"/>
      <c r="N481" s="29">
        <f>L481+M481</f>
        <v>20</v>
      </c>
      <c r="O481" s="15">
        <f t="shared" si="157"/>
        <v>0</v>
      </c>
    </row>
    <row r="482" spans="1:15" ht="45">
      <c r="A482" s="105" t="s">
        <v>1027</v>
      </c>
      <c r="B482" s="25" t="s">
        <v>421</v>
      </c>
      <c r="C482" s="25" t="s">
        <v>24</v>
      </c>
      <c r="D482" s="25" t="s">
        <v>39</v>
      </c>
      <c r="E482" s="25"/>
      <c r="F482" s="25"/>
      <c r="G482" s="135"/>
      <c r="H482" s="135"/>
      <c r="I482" s="135"/>
      <c r="J482" s="26">
        <f aca="true" t="shared" si="164" ref="J482:L483">J483</f>
        <v>15</v>
      </c>
      <c r="K482" s="26">
        <f t="shared" si="164"/>
        <v>0</v>
      </c>
      <c r="L482" s="26">
        <f t="shared" si="164"/>
        <v>15</v>
      </c>
      <c r="M482" s="40"/>
      <c r="N482" s="29"/>
      <c r="O482" s="15">
        <f t="shared" si="157"/>
        <v>0</v>
      </c>
    </row>
    <row r="483" spans="1:15" ht="105">
      <c r="A483" s="105" t="s">
        <v>1028</v>
      </c>
      <c r="B483" s="25" t="s">
        <v>421</v>
      </c>
      <c r="C483" s="25" t="s">
        <v>24</v>
      </c>
      <c r="D483" s="25" t="s">
        <v>39</v>
      </c>
      <c r="E483" s="25" t="s">
        <v>1013</v>
      </c>
      <c r="F483" s="25"/>
      <c r="G483" s="135"/>
      <c r="H483" s="135"/>
      <c r="I483" s="135"/>
      <c r="J483" s="26">
        <f t="shared" si="164"/>
        <v>15</v>
      </c>
      <c r="K483" s="26">
        <f t="shared" si="164"/>
        <v>0</v>
      </c>
      <c r="L483" s="26">
        <f t="shared" si="164"/>
        <v>15</v>
      </c>
      <c r="M483" s="40"/>
      <c r="N483" s="29"/>
      <c r="O483" s="15">
        <f t="shared" si="157"/>
        <v>0</v>
      </c>
    </row>
    <row r="484" spans="1:15" ht="15">
      <c r="A484" s="105" t="s">
        <v>1014</v>
      </c>
      <c r="B484" s="25" t="s">
        <v>421</v>
      </c>
      <c r="C484" s="25" t="s">
        <v>24</v>
      </c>
      <c r="D484" s="25" t="s">
        <v>39</v>
      </c>
      <c r="E484" s="25" t="s">
        <v>1013</v>
      </c>
      <c r="F484" s="25" t="s">
        <v>131</v>
      </c>
      <c r="G484" s="135"/>
      <c r="H484" s="135"/>
      <c r="I484" s="135"/>
      <c r="J484" s="26">
        <v>15</v>
      </c>
      <c r="K484" s="26"/>
      <c r="L484" s="26">
        <f>J484+K484</f>
        <v>15</v>
      </c>
      <c r="M484" s="40"/>
      <c r="N484" s="29"/>
      <c r="O484" s="15">
        <f t="shared" si="157"/>
        <v>0</v>
      </c>
    </row>
    <row r="485" spans="1:15" s="148" customFormat="1" ht="15">
      <c r="A485" s="162" t="s">
        <v>48</v>
      </c>
      <c r="B485" s="32" t="s">
        <v>421</v>
      </c>
      <c r="C485" s="32" t="s">
        <v>26</v>
      </c>
      <c r="D485" s="32"/>
      <c r="E485" s="32"/>
      <c r="F485" s="32"/>
      <c r="G485" s="520">
        <f>G489+G498+G492</f>
        <v>4086.5</v>
      </c>
      <c r="H485" s="522">
        <f aca="true" t="shared" si="165" ref="H485:N485">H489+H498+H492+H495</f>
        <v>2102.18</v>
      </c>
      <c r="I485" s="522">
        <f t="shared" si="165"/>
        <v>0</v>
      </c>
      <c r="J485" s="622">
        <f>J489+J498+J492+J495+J486</f>
        <v>6629.4180400000005</v>
      </c>
      <c r="K485" s="622">
        <f>K489+K498+K492+K495+K486</f>
        <v>90</v>
      </c>
      <c r="L485" s="622">
        <f>L489+L498+L492+L495+L486</f>
        <v>6719.4180400000005</v>
      </c>
      <c r="M485" s="35">
        <f t="shared" si="165"/>
        <v>0</v>
      </c>
      <c r="N485" s="36">
        <f t="shared" si="165"/>
        <v>4889.4259999999995</v>
      </c>
      <c r="O485" s="15">
        <f t="shared" si="157"/>
        <v>0</v>
      </c>
    </row>
    <row r="486" spans="1:15" s="102" customFormat="1" ht="15">
      <c r="A486" s="110" t="s">
        <v>50</v>
      </c>
      <c r="B486" s="24" t="s">
        <v>421</v>
      </c>
      <c r="C486" s="24" t="s">
        <v>26</v>
      </c>
      <c r="D486" s="24" t="s">
        <v>21</v>
      </c>
      <c r="E486" s="24"/>
      <c r="F486" s="24"/>
      <c r="G486" s="503"/>
      <c r="H486" s="192"/>
      <c r="I486" s="192"/>
      <c r="J486" s="504">
        <f aca="true" t="shared" si="166" ref="J486:L487">J487</f>
        <v>121.28404</v>
      </c>
      <c r="K486" s="504">
        <f t="shared" si="166"/>
        <v>0</v>
      </c>
      <c r="L486" s="504">
        <f t="shared" si="166"/>
        <v>121.28404</v>
      </c>
      <c r="M486" s="65"/>
      <c r="N486" s="111"/>
      <c r="O486" s="15">
        <f t="shared" si="157"/>
        <v>0</v>
      </c>
    </row>
    <row r="487" spans="1:15" ht="30">
      <c r="A487" s="112" t="s">
        <v>1021</v>
      </c>
      <c r="B487" s="25" t="s">
        <v>421</v>
      </c>
      <c r="C487" s="25" t="s">
        <v>26</v>
      </c>
      <c r="D487" s="25" t="s">
        <v>21</v>
      </c>
      <c r="E487" s="25" t="s">
        <v>1011</v>
      </c>
      <c r="F487" s="25"/>
      <c r="G487" s="135"/>
      <c r="H487" s="524"/>
      <c r="I487" s="524"/>
      <c r="J487" s="26">
        <f t="shared" si="166"/>
        <v>121.28404</v>
      </c>
      <c r="K487" s="26">
        <f t="shared" si="166"/>
        <v>0</v>
      </c>
      <c r="L487" s="26">
        <f t="shared" si="166"/>
        <v>121.28404</v>
      </c>
      <c r="M487" s="28"/>
      <c r="N487" s="29"/>
      <c r="O487" s="15">
        <f t="shared" si="157"/>
        <v>0</v>
      </c>
    </row>
    <row r="488" spans="1:15" ht="30">
      <c r="A488" s="105" t="s">
        <v>133</v>
      </c>
      <c r="B488" s="25" t="s">
        <v>421</v>
      </c>
      <c r="C488" s="25" t="s">
        <v>26</v>
      </c>
      <c r="D488" s="25" t="s">
        <v>21</v>
      </c>
      <c r="E488" s="25" t="s">
        <v>1011</v>
      </c>
      <c r="F488" s="25" t="s">
        <v>140</v>
      </c>
      <c r="G488" s="135"/>
      <c r="H488" s="524"/>
      <c r="I488" s="524"/>
      <c r="J488" s="26">
        <v>121.28404</v>
      </c>
      <c r="K488" s="26"/>
      <c r="L488" s="26">
        <f>J488+K488</f>
        <v>121.28404</v>
      </c>
      <c r="M488" s="28"/>
      <c r="N488" s="29"/>
      <c r="O488" s="15">
        <f t="shared" si="157"/>
        <v>0</v>
      </c>
    </row>
    <row r="489" spans="1:15" s="102" customFormat="1" ht="15">
      <c r="A489" s="99" t="s">
        <v>51</v>
      </c>
      <c r="B489" s="24" t="s">
        <v>421</v>
      </c>
      <c r="C489" s="24" t="s">
        <v>26</v>
      </c>
      <c r="D489" s="24" t="s">
        <v>28</v>
      </c>
      <c r="E489" s="24"/>
      <c r="F489" s="24"/>
      <c r="G489" s="503">
        <f aca="true" t="shared" si="167" ref="G489:N490">G490</f>
        <v>0</v>
      </c>
      <c r="H489" s="503">
        <f t="shared" si="167"/>
        <v>167.68</v>
      </c>
      <c r="I489" s="503">
        <f t="shared" si="167"/>
        <v>0</v>
      </c>
      <c r="J489" s="504">
        <f t="shared" si="167"/>
        <v>3348.631</v>
      </c>
      <c r="K489" s="504">
        <f t="shared" si="167"/>
        <v>0</v>
      </c>
      <c r="L489" s="504">
        <f t="shared" si="167"/>
        <v>3348.631</v>
      </c>
      <c r="M489" s="505">
        <f t="shared" si="167"/>
        <v>0</v>
      </c>
      <c r="N489" s="86">
        <f t="shared" si="167"/>
        <v>3348.631</v>
      </c>
      <c r="O489" s="15">
        <f t="shared" si="157"/>
        <v>0</v>
      </c>
    </row>
    <row r="490" spans="1:15" ht="45">
      <c r="A490" s="105" t="s">
        <v>454</v>
      </c>
      <c r="B490" s="25" t="s">
        <v>421</v>
      </c>
      <c r="C490" s="25" t="s">
        <v>26</v>
      </c>
      <c r="D490" s="25" t="s">
        <v>28</v>
      </c>
      <c r="E490" s="25" t="s">
        <v>455</v>
      </c>
      <c r="F490" s="25"/>
      <c r="G490" s="135">
        <f t="shared" si="167"/>
        <v>0</v>
      </c>
      <c r="H490" s="135">
        <f t="shared" si="167"/>
        <v>167.68</v>
      </c>
      <c r="I490" s="135">
        <f t="shared" si="167"/>
        <v>0</v>
      </c>
      <c r="J490" s="26">
        <f t="shared" si="167"/>
        <v>3348.631</v>
      </c>
      <c r="K490" s="26">
        <f t="shared" si="167"/>
        <v>0</v>
      </c>
      <c r="L490" s="26">
        <f t="shared" si="167"/>
        <v>3348.631</v>
      </c>
      <c r="M490" s="40">
        <f t="shared" si="167"/>
        <v>0</v>
      </c>
      <c r="N490" s="41">
        <f t="shared" si="167"/>
        <v>3348.631</v>
      </c>
      <c r="O490" s="15">
        <f t="shared" si="157"/>
        <v>0</v>
      </c>
    </row>
    <row r="491" spans="1:15" ht="30.75" customHeight="1">
      <c r="A491" s="105" t="s">
        <v>456</v>
      </c>
      <c r="B491" s="25" t="s">
        <v>421</v>
      </c>
      <c r="C491" s="25" t="s">
        <v>26</v>
      </c>
      <c r="D491" s="25" t="s">
        <v>28</v>
      </c>
      <c r="E491" s="25" t="s">
        <v>455</v>
      </c>
      <c r="F491" s="25" t="s">
        <v>457</v>
      </c>
      <c r="G491" s="135"/>
      <c r="H491" s="524">
        <v>167.68</v>
      </c>
      <c r="I491" s="135"/>
      <c r="J491" s="26">
        <v>3348.631</v>
      </c>
      <c r="K491" s="26"/>
      <c r="L491" s="26">
        <f>J491+K491</f>
        <v>3348.631</v>
      </c>
      <c r="M491" s="40"/>
      <c r="N491" s="29">
        <f>L491+M491</f>
        <v>3348.631</v>
      </c>
      <c r="O491" s="15">
        <f t="shared" si="157"/>
        <v>0</v>
      </c>
    </row>
    <row r="492" spans="1:15" ht="15" hidden="1">
      <c r="A492" s="105" t="s">
        <v>458</v>
      </c>
      <c r="B492" s="25" t="s">
        <v>421</v>
      </c>
      <c r="C492" s="25" t="s">
        <v>26</v>
      </c>
      <c r="D492" s="25" t="s">
        <v>47</v>
      </c>
      <c r="E492" s="25"/>
      <c r="F492" s="25"/>
      <c r="G492" s="135">
        <f aca="true" t="shared" si="168" ref="G492:N493">G493</f>
        <v>786.5</v>
      </c>
      <c r="H492" s="135">
        <f t="shared" si="168"/>
        <v>0</v>
      </c>
      <c r="I492" s="135">
        <f t="shared" si="168"/>
        <v>0</v>
      </c>
      <c r="J492" s="26">
        <f t="shared" si="168"/>
        <v>0</v>
      </c>
      <c r="K492" s="26">
        <f t="shared" si="168"/>
        <v>0</v>
      </c>
      <c r="L492" s="26">
        <f t="shared" si="168"/>
        <v>0</v>
      </c>
      <c r="M492" s="40">
        <f t="shared" si="168"/>
        <v>0</v>
      </c>
      <c r="N492" s="41">
        <f t="shared" si="168"/>
        <v>0</v>
      </c>
      <c r="O492" s="15">
        <f t="shared" si="157"/>
        <v>0</v>
      </c>
    </row>
    <row r="493" spans="1:15" ht="75" hidden="1">
      <c r="A493" s="160" t="s">
        <v>459</v>
      </c>
      <c r="B493" s="25" t="s">
        <v>421</v>
      </c>
      <c r="C493" s="25" t="s">
        <v>26</v>
      </c>
      <c r="D493" s="25" t="s">
        <v>47</v>
      </c>
      <c r="E493" s="25" t="s">
        <v>460</v>
      </c>
      <c r="F493" s="25"/>
      <c r="G493" s="135">
        <f t="shared" si="168"/>
        <v>786.5</v>
      </c>
      <c r="H493" s="135">
        <f t="shared" si="168"/>
        <v>0</v>
      </c>
      <c r="I493" s="135">
        <f t="shared" si="168"/>
        <v>0</v>
      </c>
      <c r="J493" s="26">
        <f t="shared" si="168"/>
        <v>0</v>
      </c>
      <c r="K493" s="26">
        <f t="shared" si="168"/>
        <v>0</v>
      </c>
      <c r="L493" s="26">
        <f t="shared" si="168"/>
        <v>0</v>
      </c>
      <c r="M493" s="40">
        <f t="shared" si="168"/>
        <v>0</v>
      </c>
      <c r="N493" s="41">
        <f t="shared" si="168"/>
        <v>0</v>
      </c>
      <c r="O493" s="15">
        <f t="shared" si="157"/>
        <v>0</v>
      </c>
    </row>
    <row r="494" spans="1:15" ht="30" hidden="1">
      <c r="A494" s="105" t="s">
        <v>133</v>
      </c>
      <c r="B494" s="25" t="s">
        <v>421</v>
      </c>
      <c r="C494" s="25" t="s">
        <v>26</v>
      </c>
      <c r="D494" s="25" t="s">
        <v>47</v>
      </c>
      <c r="E494" s="25" t="s">
        <v>460</v>
      </c>
      <c r="F494" s="25" t="s">
        <v>131</v>
      </c>
      <c r="G494" s="135">
        <v>786.5</v>
      </c>
      <c r="H494" s="524"/>
      <c r="I494" s="135"/>
      <c r="J494" s="26"/>
      <c r="K494" s="26"/>
      <c r="L494" s="26">
        <f>J494+K494</f>
        <v>0</v>
      </c>
      <c r="M494" s="40"/>
      <c r="N494" s="29">
        <f>L494+M494</f>
        <v>0</v>
      </c>
      <c r="O494" s="15">
        <f t="shared" si="157"/>
        <v>0</v>
      </c>
    </row>
    <row r="495" spans="1:15" ht="30" customHeight="1" hidden="1">
      <c r="A495" s="164" t="s">
        <v>55</v>
      </c>
      <c r="B495" s="24" t="s">
        <v>421</v>
      </c>
      <c r="C495" s="24" t="s">
        <v>26</v>
      </c>
      <c r="D495" s="24" t="s">
        <v>34</v>
      </c>
      <c r="E495" s="24"/>
      <c r="F495" s="24"/>
      <c r="G495" s="503"/>
      <c r="H495" s="192">
        <f aca="true" t="shared" si="169" ref="H495:N496">H496</f>
        <v>0</v>
      </c>
      <c r="I495" s="192">
        <f t="shared" si="169"/>
        <v>0</v>
      </c>
      <c r="J495" s="504">
        <f t="shared" si="169"/>
        <v>0</v>
      </c>
      <c r="K495" s="504">
        <f t="shared" si="169"/>
        <v>0</v>
      </c>
      <c r="L495" s="504">
        <f t="shared" si="169"/>
        <v>0</v>
      </c>
      <c r="M495" s="28">
        <f t="shared" si="169"/>
        <v>0</v>
      </c>
      <c r="N495" s="29">
        <f t="shared" si="169"/>
        <v>0</v>
      </c>
      <c r="O495" s="15">
        <f t="shared" si="157"/>
        <v>0</v>
      </c>
    </row>
    <row r="496" spans="1:15" ht="75" customHeight="1" hidden="1">
      <c r="A496" s="105" t="s">
        <v>461</v>
      </c>
      <c r="B496" s="25" t="s">
        <v>421</v>
      </c>
      <c r="C496" s="25" t="s">
        <v>26</v>
      </c>
      <c r="D496" s="25" t="s">
        <v>34</v>
      </c>
      <c r="E496" s="25" t="s">
        <v>462</v>
      </c>
      <c r="F496" s="25"/>
      <c r="G496" s="135"/>
      <c r="H496" s="524">
        <f t="shared" si="169"/>
        <v>0</v>
      </c>
      <c r="I496" s="524">
        <f t="shared" si="169"/>
        <v>0</v>
      </c>
      <c r="J496" s="26">
        <f t="shared" si="169"/>
        <v>0</v>
      </c>
      <c r="K496" s="26">
        <f t="shared" si="169"/>
        <v>0</v>
      </c>
      <c r="L496" s="26">
        <f t="shared" si="169"/>
        <v>0</v>
      </c>
      <c r="M496" s="28">
        <f t="shared" si="169"/>
        <v>0</v>
      </c>
      <c r="N496" s="29">
        <f t="shared" si="169"/>
        <v>0</v>
      </c>
      <c r="O496" s="15">
        <f t="shared" si="157"/>
        <v>0</v>
      </c>
    </row>
    <row r="497" spans="1:15" ht="30" customHeight="1" hidden="1">
      <c r="A497" s="105" t="s">
        <v>133</v>
      </c>
      <c r="B497" s="25" t="s">
        <v>421</v>
      </c>
      <c r="C497" s="25" t="s">
        <v>26</v>
      </c>
      <c r="D497" s="25" t="s">
        <v>34</v>
      </c>
      <c r="E497" s="25" t="s">
        <v>462</v>
      </c>
      <c r="F497" s="25" t="s">
        <v>131</v>
      </c>
      <c r="G497" s="135"/>
      <c r="H497" s="524"/>
      <c r="I497" s="135"/>
      <c r="J497" s="26">
        <f>H497+I497</f>
        <v>0</v>
      </c>
      <c r="K497" s="26"/>
      <c r="L497" s="26">
        <f>J497+K497</f>
        <v>0</v>
      </c>
      <c r="M497" s="40"/>
      <c r="N497" s="29">
        <f>L497+M497</f>
        <v>0</v>
      </c>
      <c r="O497" s="15">
        <f t="shared" si="157"/>
        <v>0</v>
      </c>
    </row>
    <row r="498" spans="1:15" s="102" customFormat="1" ht="30">
      <c r="A498" s="99" t="s">
        <v>463</v>
      </c>
      <c r="B498" s="24" t="s">
        <v>421</v>
      </c>
      <c r="C498" s="24" t="s">
        <v>26</v>
      </c>
      <c r="D498" s="24" t="s">
        <v>36</v>
      </c>
      <c r="E498" s="24"/>
      <c r="F498" s="24"/>
      <c r="G498" s="504">
        <f aca="true" t="shared" si="170" ref="G498:L498">G501+G505+G499+G508</f>
        <v>3300</v>
      </c>
      <c r="H498" s="504">
        <f t="shared" si="170"/>
        <v>1934.5</v>
      </c>
      <c r="I498" s="504">
        <f t="shared" si="170"/>
        <v>0</v>
      </c>
      <c r="J498" s="504">
        <f t="shared" si="170"/>
        <v>3159.503</v>
      </c>
      <c r="K498" s="504">
        <f t="shared" si="170"/>
        <v>90</v>
      </c>
      <c r="L498" s="504">
        <f t="shared" si="170"/>
        <v>3249.503</v>
      </c>
      <c r="M498" s="505">
        <f>M501+M505+M499</f>
        <v>0</v>
      </c>
      <c r="N498" s="86">
        <f>N501+N505+N499</f>
        <v>1540.795</v>
      </c>
      <c r="O498" s="15">
        <f t="shared" si="157"/>
        <v>0</v>
      </c>
    </row>
    <row r="499" spans="1:15" s="102" customFormat="1" ht="60" customHeight="1" hidden="1">
      <c r="A499" s="99" t="s">
        <v>464</v>
      </c>
      <c r="B499" s="25" t="s">
        <v>421</v>
      </c>
      <c r="C499" s="25" t="s">
        <v>26</v>
      </c>
      <c r="D499" s="25" t="s">
        <v>36</v>
      </c>
      <c r="E499" s="25" t="s">
        <v>465</v>
      </c>
      <c r="F499" s="25"/>
      <c r="G499" s="135">
        <f aca="true" t="shared" si="171" ref="G499:N499">G500</f>
        <v>0</v>
      </c>
      <c r="H499" s="524">
        <f t="shared" si="171"/>
        <v>0</v>
      </c>
      <c r="I499" s="135">
        <f t="shared" si="171"/>
        <v>0</v>
      </c>
      <c r="J499" s="26">
        <f t="shared" si="171"/>
        <v>0</v>
      </c>
      <c r="K499" s="26">
        <f t="shared" si="171"/>
        <v>0</v>
      </c>
      <c r="L499" s="26">
        <f t="shared" si="171"/>
        <v>0</v>
      </c>
      <c r="M499" s="505">
        <f t="shared" si="171"/>
        <v>0</v>
      </c>
      <c r="N499" s="111">
        <f t="shared" si="171"/>
        <v>0</v>
      </c>
      <c r="O499" s="15">
        <f t="shared" si="157"/>
        <v>0</v>
      </c>
    </row>
    <row r="500" spans="1:15" s="102" customFormat="1" ht="17.25" customHeight="1" hidden="1">
      <c r="A500" s="99" t="s">
        <v>466</v>
      </c>
      <c r="B500" s="25" t="s">
        <v>421</v>
      </c>
      <c r="C500" s="25" t="s">
        <v>26</v>
      </c>
      <c r="D500" s="25" t="s">
        <v>36</v>
      </c>
      <c r="E500" s="25" t="s">
        <v>465</v>
      </c>
      <c r="F500" s="25" t="s">
        <v>467</v>
      </c>
      <c r="G500" s="135">
        <f>50-50</f>
        <v>0</v>
      </c>
      <c r="H500" s="524"/>
      <c r="I500" s="135">
        <f>50-50</f>
        <v>0</v>
      </c>
      <c r="J500" s="26">
        <f>H500+I500</f>
        <v>0</v>
      </c>
      <c r="K500" s="26"/>
      <c r="L500" s="26">
        <f>J500+K500</f>
        <v>0</v>
      </c>
      <c r="M500" s="505">
        <f>50-50</f>
        <v>0</v>
      </c>
      <c r="N500" s="29">
        <f>L500+M500</f>
        <v>0</v>
      </c>
      <c r="O500" s="15">
        <f t="shared" si="157"/>
        <v>0</v>
      </c>
    </row>
    <row r="501" spans="1:15" ht="45">
      <c r="A501" s="105" t="s">
        <v>468</v>
      </c>
      <c r="B501" s="25" t="s">
        <v>421</v>
      </c>
      <c r="C501" s="25" t="s">
        <v>26</v>
      </c>
      <c r="D501" s="25" t="s">
        <v>36</v>
      </c>
      <c r="E501" s="25" t="s">
        <v>469</v>
      </c>
      <c r="F501" s="25"/>
      <c r="G501" s="135">
        <f aca="true" t="shared" si="172" ref="G501:N501">G502</f>
        <v>2750</v>
      </c>
      <c r="H501" s="135">
        <f t="shared" si="172"/>
        <v>1620.1</v>
      </c>
      <c r="I501" s="135">
        <f t="shared" si="172"/>
        <v>0</v>
      </c>
      <c r="J501" s="26">
        <f>J502+J503+J504</f>
        <v>1708.708</v>
      </c>
      <c r="K501" s="26">
        <f>K502+K503+K504</f>
        <v>0</v>
      </c>
      <c r="L501" s="26">
        <f>L502+L503+L504</f>
        <v>1708.708</v>
      </c>
      <c r="M501" s="40">
        <f t="shared" si="172"/>
        <v>0</v>
      </c>
      <c r="N501" s="41">
        <f t="shared" si="172"/>
        <v>1000</v>
      </c>
      <c r="O501" s="15">
        <f t="shared" si="157"/>
        <v>0</v>
      </c>
    </row>
    <row r="502" spans="1:16" ht="30">
      <c r="A502" s="105" t="s">
        <v>133</v>
      </c>
      <c r="B502" s="25" t="s">
        <v>421</v>
      </c>
      <c r="C502" s="25" t="s">
        <v>26</v>
      </c>
      <c r="D502" s="25" t="s">
        <v>36</v>
      </c>
      <c r="E502" s="25" t="s">
        <v>469</v>
      </c>
      <c r="F502" s="25" t="s">
        <v>131</v>
      </c>
      <c r="G502" s="135">
        <f>2377+151+222</f>
        <v>2750</v>
      </c>
      <c r="H502" s="135">
        <f>1358.1+262</f>
        <v>1620.1</v>
      </c>
      <c r="I502" s="135"/>
      <c r="J502" s="26">
        <v>1000</v>
      </c>
      <c r="K502" s="26"/>
      <c r="L502" s="26">
        <f>J502+K502</f>
        <v>1000</v>
      </c>
      <c r="M502" s="40"/>
      <c r="N502" s="29">
        <f>L502+M502</f>
        <v>1000</v>
      </c>
      <c r="O502" s="15">
        <f t="shared" si="157"/>
        <v>0</v>
      </c>
      <c r="P502" s="15">
        <f>L502-O502</f>
        <v>1000</v>
      </c>
    </row>
    <row r="503" spans="1:16" ht="15">
      <c r="A503" s="105" t="s">
        <v>300</v>
      </c>
      <c r="B503" s="25" t="s">
        <v>421</v>
      </c>
      <c r="C503" s="25" t="s">
        <v>26</v>
      </c>
      <c r="D503" s="25" t="s">
        <v>36</v>
      </c>
      <c r="E503" s="25" t="s">
        <v>470</v>
      </c>
      <c r="F503" s="25" t="s">
        <v>301</v>
      </c>
      <c r="G503" s="135"/>
      <c r="H503" s="135"/>
      <c r="I503" s="135"/>
      <c r="J503" s="26">
        <v>135</v>
      </c>
      <c r="K503" s="26"/>
      <c r="L503" s="26">
        <f>J503+K503</f>
        <v>135</v>
      </c>
      <c r="M503" s="40"/>
      <c r="N503" s="29"/>
      <c r="O503" s="15">
        <f t="shared" si="157"/>
        <v>0</v>
      </c>
      <c r="P503" s="15"/>
    </row>
    <row r="504" spans="1:16" ht="30">
      <c r="A504" s="160" t="s">
        <v>139</v>
      </c>
      <c r="B504" s="25" t="s">
        <v>421</v>
      </c>
      <c r="C504" s="25" t="s">
        <v>26</v>
      </c>
      <c r="D504" s="25" t="s">
        <v>36</v>
      </c>
      <c r="E504" s="25" t="s">
        <v>470</v>
      </c>
      <c r="F504" s="25" t="s">
        <v>140</v>
      </c>
      <c r="G504" s="135"/>
      <c r="H504" s="135"/>
      <c r="I504" s="135"/>
      <c r="J504" s="26">
        <v>573.708</v>
      </c>
      <c r="K504" s="26"/>
      <c r="L504" s="26">
        <f>J504+K504</f>
        <v>573.708</v>
      </c>
      <c r="M504" s="40"/>
      <c r="N504" s="29"/>
      <c r="O504" s="15">
        <f t="shared" si="157"/>
        <v>0</v>
      </c>
      <c r="P504" s="15"/>
    </row>
    <row r="505" spans="1:15" ht="30" customHeight="1">
      <c r="A505" s="99" t="s">
        <v>471</v>
      </c>
      <c r="B505" s="25" t="s">
        <v>421</v>
      </c>
      <c r="C505" s="25" t="s">
        <v>26</v>
      </c>
      <c r="D505" s="25" t="s">
        <v>36</v>
      </c>
      <c r="E505" s="25" t="s">
        <v>472</v>
      </c>
      <c r="F505" s="25"/>
      <c r="G505" s="135">
        <f aca="true" t="shared" si="173" ref="G505:N506">G506</f>
        <v>550</v>
      </c>
      <c r="H505" s="135">
        <f t="shared" si="173"/>
        <v>314.4</v>
      </c>
      <c r="I505" s="135">
        <f t="shared" si="173"/>
        <v>0</v>
      </c>
      <c r="J505" s="26">
        <f t="shared" si="173"/>
        <v>450.795</v>
      </c>
      <c r="K505" s="26">
        <f t="shared" si="173"/>
        <v>90</v>
      </c>
      <c r="L505" s="26">
        <f t="shared" si="173"/>
        <v>540.7950000000001</v>
      </c>
      <c r="M505" s="40">
        <f t="shared" si="173"/>
        <v>0</v>
      </c>
      <c r="N505" s="41">
        <f t="shared" si="173"/>
        <v>540.7950000000001</v>
      </c>
      <c r="O505" s="15">
        <f t="shared" si="157"/>
        <v>0</v>
      </c>
    </row>
    <row r="506" spans="1:15" ht="30">
      <c r="A506" s="99" t="s">
        <v>473</v>
      </c>
      <c r="B506" s="25" t="s">
        <v>421</v>
      </c>
      <c r="C506" s="25" t="s">
        <v>26</v>
      </c>
      <c r="D506" s="25" t="s">
        <v>36</v>
      </c>
      <c r="E506" s="25" t="s">
        <v>474</v>
      </c>
      <c r="F506" s="25"/>
      <c r="G506" s="135">
        <f t="shared" si="173"/>
        <v>550</v>
      </c>
      <c r="H506" s="135">
        <f t="shared" si="173"/>
        <v>314.4</v>
      </c>
      <c r="I506" s="135">
        <f t="shared" si="173"/>
        <v>0</v>
      </c>
      <c r="J506" s="26">
        <f t="shared" si="173"/>
        <v>450.795</v>
      </c>
      <c r="K506" s="26">
        <f t="shared" si="173"/>
        <v>90</v>
      </c>
      <c r="L506" s="26">
        <f>L507</f>
        <v>540.7950000000001</v>
      </c>
      <c r="M506" s="40">
        <f t="shared" si="173"/>
        <v>0</v>
      </c>
      <c r="N506" s="41">
        <f t="shared" si="173"/>
        <v>540.7950000000001</v>
      </c>
      <c r="O506" s="15">
        <f t="shared" si="157"/>
        <v>0</v>
      </c>
    </row>
    <row r="507" spans="1:16" ht="30">
      <c r="A507" s="105" t="s">
        <v>133</v>
      </c>
      <c r="B507" s="25" t="s">
        <v>421</v>
      </c>
      <c r="C507" s="25" t="s">
        <v>26</v>
      </c>
      <c r="D507" s="25" t="s">
        <v>36</v>
      </c>
      <c r="E507" s="25" t="s">
        <v>474</v>
      </c>
      <c r="F507" s="25" t="s">
        <v>131</v>
      </c>
      <c r="G507" s="135">
        <v>550</v>
      </c>
      <c r="H507" s="135">
        <v>314.4</v>
      </c>
      <c r="I507" s="135"/>
      <c r="J507" s="26">
        <v>450.795</v>
      </c>
      <c r="K507" s="26">
        <f>90</f>
        <v>90</v>
      </c>
      <c r="L507" s="26">
        <f>J507+K507</f>
        <v>540.7950000000001</v>
      </c>
      <c r="M507" s="40"/>
      <c r="N507" s="29">
        <f>L507+M507</f>
        <v>540.7950000000001</v>
      </c>
      <c r="O507" s="15">
        <f t="shared" si="157"/>
        <v>0</v>
      </c>
      <c r="P507" s="14">
        <f>L507-O507</f>
        <v>540.7950000000001</v>
      </c>
    </row>
    <row r="508" spans="1:16" ht="60">
      <c r="A508" s="105" t="s">
        <v>944</v>
      </c>
      <c r="B508" s="25" t="s">
        <v>421</v>
      </c>
      <c r="C508" s="25" t="s">
        <v>26</v>
      </c>
      <c r="D508" s="25" t="s">
        <v>36</v>
      </c>
      <c r="E508" s="25" t="s">
        <v>462</v>
      </c>
      <c r="F508" s="25"/>
      <c r="G508" s="135"/>
      <c r="H508" s="135"/>
      <c r="I508" s="135"/>
      <c r="J508" s="26">
        <f>J509</f>
        <v>1000</v>
      </c>
      <c r="K508" s="26">
        <f>K509</f>
        <v>0</v>
      </c>
      <c r="L508" s="26">
        <f>L509</f>
        <v>1000</v>
      </c>
      <c r="M508" s="40"/>
      <c r="N508" s="29"/>
      <c r="O508" s="15">
        <f t="shared" si="157"/>
        <v>0</v>
      </c>
      <c r="P508" s="14"/>
    </row>
    <row r="509" spans="1:16" ht="30">
      <c r="A509" s="105" t="s">
        <v>133</v>
      </c>
      <c r="B509" s="25" t="s">
        <v>421</v>
      </c>
      <c r="C509" s="25" t="s">
        <v>26</v>
      </c>
      <c r="D509" s="25" t="s">
        <v>36</v>
      </c>
      <c r="E509" s="25" t="s">
        <v>462</v>
      </c>
      <c r="F509" s="25" t="s">
        <v>131</v>
      </c>
      <c r="G509" s="135"/>
      <c r="H509" s="135"/>
      <c r="I509" s="135"/>
      <c r="J509" s="26">
        <v>1000</v>
      </c>
      <c r="K509" s="26"/>
      <c r="L509" s="26">
        <f>J509+K509</f>
        <v>1000</v>
      </c>
      <c r="M509" s="40"/>
      <c r="N509" s="29"/>
      <c r="O509" s="15">
        <f t="shared" si="157"/>
        <v>0</v>
      </c>
      <c r="P509" s="14"/>
    </row>
    <row r="510" spans="1:15" s="148" customFormat="1" ht="29.25">
      <c r="A510" s="162" t="s">
        <v>306</v>
      </c>
      <c r="B510" s="32" t="s">
        <v>421</v>
      </c>
      <c r="C510" s="32" t="s">
        <v>28</v>
      </c>
      <c r="D510" s="32"/>
      <c r="E510" s="32"/>
      <c r="F510" s="32"/>
      <c r="G510" s="520">
        <f aca="true" t="shared" si="174" ref="G510:N510">G511+G523+G560+G566</f>
        <v>-1048.5</v>
      </c>
      <c r="H510" s="520">
        <f t="shared" si="174"/>
        <v>1667</v>
      </c>
      <c r="I510" s="520">
        <f t="shared" si="174"/>
        <v>0</v>
      </c>
      <c r="J510" s="622">
        <f t="shared" si="174"/>
        <v>32619.929999999997</v>
      </c>
      <c r="K510" s="622">
        <f t="shared" si="174"/>
        <v>-374.77194000000003</v>
      </c>
      <c r="L510" s="622">
        <f t="shared" si="174"/>
        <v>32245.158059999998</v>
      </c>
      <c r="M510" s="35">
        <f t="shared" si="174"/>
        <v>550</v>
      </c>
      <c r="N510" s="39">
        <f t="shared" si="174"/>
        <v>26931.59806</v>
      </c>
      <c r="O510" s="15">
        <f>SUM(J510:K510)</f>
        <v>32245.158059999998</v>
      </c>
    </row>
    <row r="511" spans="1:15" s="102" customFormat="1" ht="12.75" customHeight="1">
      <c r="A511" s="163" t="s">
        <v>59</v>
      </c>
      <c r="B511" s="24" t="s">
        <v>421</v>
      </c>
      <c r="C511" s="24" t="s">
        <v>28</v>
      </c>
      <c r="D511" s="24" t="s">
        <v>21</v>
      </c>
      <c r="E511" s="24"/>
      <c r="F511" s="24"/>
      <c r="G511" s="503">
        <f aca="true" t="shared" si="175" ref="G511:N512">G512</f>
        <v>-40</v>
      </c>
      <c r="H511" s="192">
        <f aca="true" t="shared" si="176" ref="H511:N511">H512+H514+H517</f>
        <v>0</v>
      </c>
      <c r="I511" s="192">
        <f t="shared" si="176"/>
        <v>0</v>
      </c>
      <c r="J511" s="504">
        <f>J512+J514+J517+J521+J519</f>
        <v>1319.7900000000002</v>
      </c>
      <c r="K511" s="504">
        <f>K512+K514+K517+K521+K519</f>
        <v>0.00047</v>
      </c>
      <c r="L511" s="504">
        <f>L512+L514+L517+L521+L519</f>
        <v>1319.7904700000001</v>
      </c>
      <c r="M511" s="65">
        <f t="shared" si="176"/>
        <v>0</v>
      </c>
      <c r="N511" s="111">
        <f t="shared" si="176"/>
        <v>1071.39047</v>
      </c>
      <c r="O511" s="15">
        <f t="shared" si="157"/>
        <v>0</v>
      </c>
    </row>
    <row r="512" spans="1:15" ht="26.25" customHeight="1">
      <c r="A512" s="105" t="s">
        <v>475</v>
      </c>
      <c r="B512" s="25" t="s">
        <v>421</v>
      </c>
      <c r="C512" s="25" t="s">
        <v>28</v>
      </c>
      <c r="D512" s="25" t="s">
        <v>21</v>
      </c>
      <c r="E512" s="25" t="s">
        <v>476</v>
      </c>
      <c r="F512" s="25"/>
      <c r="G512" s="135">
        <f t="shared" si="175"/>
        <v>-40</v>
      </c>
      <c r="H512" s="135">
        <f t="shared" si="175"/>
        <v>0</v>
      </c>
      <c r="I512" s="135">
        <f t="shared" si="175"/>
        <v>0</v>
      </c>
      <c r="J512" s="26">
        <f t="shared" si="175"/>
        <v>1000</v>
      </c>
      <c r="K512" s="26">
        <f t="shared" si="175"/>
        <v>0</v>
      </c>
      <c r="L512" s="26">
        <f t="shared" si="175"/>
        <v>1000</v>
      </c>
      <c r="M512" s="40">
        <f t="shared" si="175"/>
        <v>0</v>
      </c>
      <c r="N512" s="41">
        <f t="shared" si="175"/>
        <v>1000</v>
      </c>
      <c r="O512" s="15">
        <f t="shared" si="157"/>
        <v>0</v>
      </c>
    </row>
    <row r="513" spans="1:15" ht="28.5" customHeight="1">
      <c r="A513" s="105" t="s">
        <v>133</v>
      </c>
      <c r="B513" s="25" t="s">
        <v>421</v>
      </c>
      <c r="C513" s="25" t="s">
        <v>28</v>
      </c>
      <c r="D513" s="25" t="s">
        <v>21</v>
      </c>
      <c r="E513" s="25" t="s">
        <v>476</v>
      </c>
      <c r="F513" s="25" t="s">
        <v>131</v>
      </c>
      <c r="G513" s="135">
        <v>-40</v>
      </c>
      <c r="H513" s="524"/>
      <c r="I513" s="135"/>
      <c r="J513" s="26">
        <v>1000</v>
      </c>
      <c r="K513" s="26"/>
      <c r="L513" s="26">
        <f>J513+K513</f>
        <v>1000</v>
      </c>
      <c r="M513" s="40"/>
      <c r="N513" s="29">
        <f>L513+M513</f>
        <v>1000</v>
      </c>
      <c r="O513" s="15">
        <f t="shared" si="157"/>
        <v>0</v>
      </c>
    </row>
    <row r="514" spans="1:15" ht="75.75" customHeight="1">
      <c r="A514" s="164" t="s">
        <v>310</v>
      </c>
      <c r="B514" s="25" t="s">
        <v>421</v>
      </c>
      <c r="C514" s="25" t="s">
        <v>28</v>
      </c>
      <c r="D514" s="25" t="s">
        <v>21</v>
      </c>
      <c r="E514" s="25" t="s">
        <v>311</v>
      </c>
      <c r="F514" s="25"/>
      <c r="G514" s="135"/>
      <c r="H514" s="524">
        <f aca="true" t="shared" si="177" ref="H514:N514">H515</f>
        <v>0</v>
      </c>
      <c r="I514" s="524">
        <f t="shared" si="177"/>
        <v>0</v>
      </c>
      <c r="J514" s="26">
        <f t="shared" si="177"/>
        <v>71.39</v>
      </c>
      <c r="K514" s="26">
        <f t="shared" si="177"/>
        <v>0.00047</v>
      </c>
      <c r="L514" s="26">
        <f t="shared" si="177"/>
        <v>71.39047000000001</v>
      </c>
      <c r="M514" s="28">
        <f t="shared" si="177"/>
        <v>0</v>
      </c>
      <c r="N514" s="29">
        <f t="shared" si="177"/>
        <v>71.39047000000001</v>
      </c>
      <c r="O514" s="15">
        <f t="shared" si="157"/>
        <v>0</v>
      </c>
    </row>
    <row r="515" spans="1:15" ht="15">
      <c r="A515" s="499" t="s">
        <v>300</v>
      </c>
      <c r="B515" s="25" t="s">
        <v>421</v>
      </c>
      <c r="C515" s="25" t="s">
        <v>28</v>
      </c>
      <c r="D515" s="25" t="s">
        <v>21</v>
      </c>
      <c r="E515" s="25" t="s">
        <v>477</v>
      </c>
      <c r="F515" s="25" t="s">
        <v>301</v>
      </c>
      <c r="G515" s="135"/>
      <c r="H515" s="524"/>
      <c r="I515" s="524"/>
      <c r="J515" s="26">
        <v>71.39</v>
      </c>
      <c r="K515" s="26">
        <v>0.00047</v>
      </c>
      <c r="L515" s="26">
        <f>J515+K515</f>
        <v>71.39047000000001</v>
      </c>
      <c r="M515" s="28"/>
      <c r="N515" s="29">
        <f>L515+M515</f>
        <v>71.39047000000001</v>
      </c>
      <c r="O515" s="15">
        <f t="shared" si="157"/>
        <v>0</v>
      </c>
    </row>
    <row r="516" spans="1:15" ht="17.25" customHeight="1" hidden="1">
      <c r="A516" s="99" t="s">
        <v>478</v>
      </c>
      <c r="B516" s="25" t="s">
        <v>421</v>
      </c>
      <c r="C516" s="25" t="s">
        <v>28</v>
      </c>
      <c r="D516" s="25" t="s">
        <v>21</v>
      </c>
      <c r="E516" s="25" t="s">
        <v>465</v>
      </c>
      <c r="F516" s="25" t="s">
        <v>131</v>
      </c>
      <c r="G516" s="135"/>
      <c r="H516" s="524"/>
      <c r="I516" s="524"/>
      <c r="J516" s="26"/>
      <c r="K516" s="26"/>
      <c r="L516" s="26"/>
      <c r="M516" s="28"/>
      <c r="N516" s="29"/>
      <c r="O516" s="15">
        <f t="shared" si="157"/>
        <v>0</v>
      </c>
    </row>
    <row r="517" spans="1:18" ht="72.75" customHeight="1">
      <c r="A517" s="498" t="s">
        <v>310</v>
      </c>
      <c r="B517" s="25" t="s">
        <v>421</v>
      </c>
      <c r="C517" s="25" t="s">
        <v>28</v>
      </c>
      <c r="D517" s="25" t="s">
        <v>21</v>
      </c>
      <c r="E517" s="25" t="s">
        <v>311</v>
      </c>
      <c r="F517" s="25"/>
      <c r="G517" s="135"/>
      <c r="H517" s="524">
        <f aca="true" t="shared" si="178" ref="H517:N517">H518</f>
        <v>0</v>
      </c>
      <c r="I517" s="524">
        <f t="shared" si="178"/>
        <v>0</v>
      </c>
      <c r="J517" s="26">
        <f t="shared" si="178"/>
        <v>0</v>
      </c>
      <c r="K517" s="26">
        <f t="shared" si="178"/>
        <v>0</v>
      </c>
      <c r="L517" s="26">
        <f t="shared" si="178"/>
        <v>0</v>
      </c>
      <c r="M517" s="28">
        <f t="shared" si="178"/>
        <v>0</v>
      </c>
      <c r="N517" s="29">
        <f t="shared" si="178"/>
        <v>0</v>
      </c>
      <c r="O517" s="15">
        <f t="shared" si="157"/>
        <v>0</v>
      </c>
      <c r="R517" s="11">
        <f>O515+O518</f>
        <v>0</v>
      </c>
    </row>
    <row r="518" spans="1:15" ht="15">
      <c r="A518" s="499" t="s">
        <v>300</v>
      </c>
      <c r="B518" s="25" t="s">
        <v>421</v>
      </c>
      <c r="C518" s="25" t="s">
        <v>28</v>
      </c>
      <c r="D518" s="25" t="s">
        <v>21</v>
      </c>
      <c r="E518" s="25" t="s">
        <v>313</v>
      </c>
      <c r="F518" s="25" t="s">
        <v>301</v>
      </c>
      <c r="G518" s="135"/>
      <c r="H518" s="524"/>
      <c r="I518" s="135"/>
      <c r="J518" s="26">
        <v>0</v>
      </c>
      <c r="K518" s="26"/>
      <c r="L518" s="26">
        <f>J518+K518</f>
        <v>0</v>
      </c>
      <c r="M518" s="40"/>
      <c r="N518" s="29">
        <f>L518+M518</f>
        <v>0</v>
      </c>
      <c r="O518" s="15">
        <f t="shared" si="157"/>
        <v>0</v>
      </c>
    </row>
    <row r="519" spans="1:15" ht="64.5">
      <c r="A519" s="500" t="s">
        <v>1071</v>
      </c>
      <c r="B519" s="25" t="s">
        <v>421</v>
      </c>
      <c r="C519" s="25" t="s">
        <v>28</v>
      </c>
      <c r="D519" s="25" t="s">
        <v>21</v>
      </c>
      <c r="E519" s="25" t="s">
        <v>1072</v>
      </c>
      <c r="F519" s="25"/>
      <c r="G519" s="135"/>
      <c r="H519" s="524"/>
      <c r="I519" s="135"/>
      <c r="J519" s="26">
        <f>J520</f>
        <v>124.2</v>
      </c>
      <c r="K519" s="26">
        <f>K520</f>
        <v>0</v>
      </c>
      <c r="L519" s="26">
        <f>L520</f>
        <v>124.2</v>
      </c>
      <c r="M519" s="40"/>
      <c r="N519" s="56"/>
      <c r="O519" s="15">
        <f t="shared" si="157"/>
        <v>0</v>
      </c>
    </row>
    <row r="520" spans="1:15" ht="15">
      <c r="A520" s="499" t="s">
        <v>300</v>
      </c>
      <c r="B520" s="25" t="s">
        <v>421</v>
      </c>
      <c r="C520" s="25" t="s">
        <v>28</v>
      </c>
      <c r="D520" s="25" t="s">
        <v>21</v>
      </c>
      <c r="E520" s="25" t="s">
        <v>1072</v>
      </c>
      <c r="F520" s="25" t="s">
        <v>301</v>
      </c>
      <c r="G520" s="135"/>
      <c r="H520" s="524"/>
      <c r="I520" s="135"/>
      <c r="J520" s="26">
        <v>124.2</v>
      </c>
      <c r="K520" s="26"/>
      <c r="L520" s="26">
        <f>J520+K520</f>
        <v>124.2</v>
      </c>
      <c r="M520" s="40"/>
      <c r="N520" s="56"/>
      <c r="O520" s="15">
        <f t="shared" si="157"/>
        <v>0</v>
      </c>
    </row>
    <row r="521" spans="1:15" ht="75">
      <c r="A521" s="164" t="s">
        <v>1055</v>
      </c>
      <c r="B521" s="25" t="s">
        <v>421</v>
      </c>
      <c r="C521" s="25" t="s">
        <v>28</v>
      </c>
      <c r="D521" s="25" t="s">
        <v>21</v>
      </c>
      <c r="E521" s="25" t="s">
        <v>1045</v>
      </c>
      <c r="F521" s="25"/>
      <c r="G521" s="135"/>
      <c r="H521" s="524"/>
      <c r="I521" s="135"/>
      <c r="J521" s="26">
        <f>J522</f>
        <v>124.2</v>
      </c>
      <c r="K521" s="26">
        <f>K522</f>
        <v>0</v>
      </c>
      <c r="L521" s="26">
        <f>L522</f>
        <v>124.2</v>
      </c>
      <c r="M521" s="40"/>
      <c r="N521" s="56"/>
      <c r="O521" s="15">
        <f t="shared" si="157"/>
        <v>0</v>
      </c>
    </row>
    <row r="522" spans="1:15" ht="30">
      <c r="A522" s="105" t="s">
        <v>133</v>
      </c>
      <c r="B522" s="25" t="s">
        <v>421</v>
      </c>
      <c r="C522" s="25" t="s">
        <v>28</v>
      </c>
      <c r="D522" s="25" t="s">
        <v>21</v>
      </c>
      <c r="E522" s="25" t="s">
        <v>1045</v>
      </c>
      <c r="F522" s="25" t="s">
        <v>131</v>
      </c>
      <c r="G522" s="135"/>
      <c r="H522" s="524"/>
      <c r="I522" s="135"/>
      <c r="J522" s="26">
        <v>124.2</v>
      </c>
      <c r="K522" s="26"/>
      <c r="L522" s="26">
        <f>J522+K522</f>
        <v>124.2</v>
      </c>
      <c r="M522" s="40"/>
      <c r="N522" s="56"/>
      <c r="O522" s="15">
        <f t="shared" si="157"/>
        <v>0</v>
      </c>
    </row>
    <row r="523" spans="1:15" s="102" customFormat="1" ht="15">
      <c r="A523" s="99" t="s">
        <v>60</v>
      </c>
      <c r="B523" s="24" t="s">
        <v>421</v>
      </c>
      <c r="C523" s="24" t="s">
        <v>28</v>
      </c>
      <c r="D523" s="24" t="s">
        <v>22</v>
      </c>
      <c r="E523" s="24"/>
      <c r="F523" s="24"/>
      <c r="G523" s="503">
        <f>G536+G541+G553+G546</f>
        <v>2000</v>
      </c>
      <c r="H523" s="192">
        <f>H536+H541+H553+H546+H544+H527+H539</f>
        <v>1667</v>
      </c>
      <c r="I523" s="192">
        <f>I536+I541+I553+I546+I544+I527+I539</f>
        <v>0</v>
      </c>
      <c r="J523" s="504">
        <f>J532+J536+J553+J546+J541+J527+J539+J524+J558+J534</f>
        <v>29520.139999999996</v>
      </c>
      <c r="K523" s="504">
        <f>K532+K536+K553+K546+K541+K527+K539+K524+K558+K534</f>
        <v>-273.374</v>
      </c>
      <c r="L523" s="504">
        <f>L532+L536+L553+L546+L541+L527+L539+L524+L558+L534</f>
        <v>29246.766</v>
      </c>
      <c r="M523" s="55">
        <f>M536+M553+M546+M541+M527+M539+M524+M558</f>
        <v>550</v>
      </c>
      <c r="N523" s="504">
        <f>N536+N553+N546+N541+N527+N539+N524+N558</f>
        <v>25681.606000000003</v>
      </c>
      <c r="O523" s="15">
        <f t="shared" si="157"/>
        <v>0</v>
      </c>
    </row>
    <row r="524" spans="1:15" s="102" customFormat="1" ht="60" hidden="1">
      <c r="A524" s="99" t="s">
        <v>464</v>
      </c>
      <c r="B524" s="25" t="s">
        <v>421</v>
      </c>
      <c r="C524" s="25" t="s">
        <v>28</v>
      </c>
      <c r="D524" s="25" t="s">
        <v>22</v>
      </c>
      <c r="E524" s="25" t="s">
        <v>465</v>
      </c>
      <c r="F524" s="25"/>
      <c r="G524" s="135"/>
      <c r="H524" s="524"/>
      <c r="I524" s="524"/>
      <c r="J524" s="26">
        <f>J525+J526</f>
        <v>0</v>
      </c>
      <c r="K524" s="26">
        <f>K525+K526</f>
        <v>0</v>
      </c>
      <c r="L524" s="26">
        <f>L525+L526</f>
        <v>0</v>
      </c>
      <c r="M524" s="28">
        <f>M525+M526</f>
        <v>0</v>
      </c>
      <c r="N524" s="29">
        <f>N525+N526</f>
        <v>0</v>
      </c>
      <c r="O524" s="15">
        <f t="shared" si="157"/>
        <v>0</v>
      </c>
    </row>
    <row r="525" spans="1:18" s="102" customFormat="1" ht="15" hidden="1">
      <c r="A525" s="99" t="s">
        <v>466</v>
      </c>
      <c r="B525" s="25" t="s">
        <v>421</v>
      </c>
      <c r="C525" s="25" t="s">
        <v>28</v>
      </c>
      <c r="D525" s="25" t="s">
        <v>22</v>
      </c>
      <c r="E525" s="25" t="s">
        <v>465</v>
      </c>
      <c r="F525" s="25" t="s">
        <v>467</v>
      </c>
      <c r="G525" s="135"/>
      <c r="H525" s="524"/>
      <c r="I525" s="524"/>
      <c r="J525" s="623"/>
      <c r="K525" s="623"/>
      <c r="L525" s="623">
        <f>J525+K525</f>
        <v>0</v>
      </c>
      <c r="M525" s="28"/>
      <c r="N525" s="29">
        <f>L525+M525</f>
        <v>0</v>
      </c>
      <c r="O525" s="15">
        <f aca="true" t="shared" si="179" ref="O525:O590">J525+K525-L525</f>
        <v>0</v>
      </c>
      <c r="R525" s="102">
        <f>O525+O500+O582+O631</f>
        <v>0</v>
      </c>
    </row>
    <row r="526" spans="1:15" s="102" customFormat="1" ht="30" hidden="1">
      <c r="A526" s="99" t="s">
        <v>478</v>
      </c>
      <c r="B526" s="25" t="s">
        <v>421</v>
      </c>
      <c r="C526" s="25" t="s">
        <v>28</v>
      </c>
      <c r="D526" s="25" t="s">
        <v>22</v>
      </c>
      <c r="E526" s="25" t="s">
        <v>479</v>
      </c>
      <c r="F526" s="25" t="s">
        <v>131</v>
      </c>
      <c r="G526" s="135"/>
      <c r="H526" s="524"/>
      <c r="I526" s="524"/>
      <c r="J526" s="26"/>
      <c r="K526" s="26"/>
      <c r="L526" s="26">
        <f>J526+K526</f>
        <v>0</v>
      </c>
      <c r="M526" s="28"/>
      <c r="N526" s="29">
        <f>L526+M526</f>
        <v>0</v>
      </c>
      <c r="O526" s="15">
        <f t="shared" si="179"/>
        <v>0</v>
      </c>
    </row>
    <row r="527" spans="1:15" s="102" customFormat="1" ht="45" hidden="1">
      <c r="A527" s="99" t="s">
        <v>480</v>
      </c>
      <c r="B527" s="25" t="s">
        <v>421</v>
      </c>
      <c r="C527" s="25" t="s">
        <v>28</v>
      </c>
      <c r="D527" s="25" t="s">
        <v>22</v>
      </c>
      <c r="E527" s="25" t="s">
        <v>481</v>
      </c>
      <c r="F527" s="25"/>
      <c r="G527" s="135"/>
      <c r="H527" s="135">
        <f>H528</f>
        <v>0</v>
      </c>
      <c r="I527" s="135">
        <f>I528</f>
        <v>0</v>
      </c>
      <c r="J527" s="26">
        <f>J528+J531</f>
        <v>0</v>
      </c>
      <c r="K527" s="26">
        <f>K528+K531</f>
        <v>0</v>
      </c>
      <c r="L527" s="26">
        <f>L528+L531</f>
        <v>0</v>
      </c>
      <c r="M527" s="40">
        <f>M528+M531</f>
        <v>0</v>
      </c>
      <c r="N527" s="41">
        <f>N528+N531</f>
        <v>0</v>
      </c>
      <c r="O527" s="15">
        <f t="shared" si="179"/>
        <v>0</v>
      </c>
    </row>
    <row r="528" spans="1:15" s="102" customFormat="1" ht="15" hidden="1">
      <c r="A528" s="99" t="s">
        <v>466</v>
      </c>
      <c r="B528" s="25" t="s">
        <v>421</v>
      </c>
      <c r="C528" s="25" t="s">
        <v>28</v>
      </c>
      <c r="D528" s="25" t="s">
        <v>22</v>
      </c>
      <c r="E528" s="25" t="s">
        <v>481</v>
      </c>
      <c r="F528" s="25" t="s">
        <v>467</v>
      </c>
      <c r="G528" s="135"/>
      <c r="H528" s="135"/>
      <c r="I528" s="135"/>
      <c r="J528" s="26"/>
      <c r="K528" s="26"/>
      <c r="L528" s="26">
        <f>J528+K528</f>
        <v>0</v>
      </c>
      <c r="M528" s="40"/>
      <c r="N528" s="41">
        <f>L528+M528</f>
        <v>0</v>
      </c>
      <c r="O528" s="15">
        <f t="shared" si="179"/>
        <v>0</v>
      </c>
    </row>
    <row r="529" spans="1:15" s="102" customFormat="1" ht="28.5" customHeight="1" hidden="1">
      <c r="A529" s="99" t="s">
        <v>478</v>
      </c>
      <c r="B529" s="25" t="s">
        <v>421</v>
      </c>
      <c r="C529" s="25" t="s">
        <v>28</v>
      </c>
      <c r="D529" s="25" t="s">
        <v>22</v>
      </c>
      <c r="E529" s="25" t="s">
        <v>481</v>
      </c>
      <c r="F529" s="25"/>
      <c r="G529" s="135"/>
      <c r="H529" s="135"/>
      <c r="I529" s="135"/>
      <c r="J529" s="26"/>
      <c r="K529" s="26"/>
      <c r="L529" s="26">
        <f>J529+K529</f>
        <v>0</v>
      </c>
      <c r="M529" s="40"/>
      <c r="N529" s="41">
        <f>L529+M529</f>
        <v>0</v>
      </c>
      <c r="O529" s="15">
        <f t="shared" si="179"/>
        <v>0</v>
      </c>
    </row>
    <row r="530" spans="1:15" s="102" customFormat="1" ht="27" customHeight="1" hidden="1">
      <c r="A530" s="99" t="s">
        <v>478</v>
      </c>
      <c r="B530" s="25" t="s">
        <v>421</v>
      </c>
      <c r="C530" s="25" t="s">
        <v>28</v>
      </c>
      <c r="D530" s="25" t="s">
        <v>22</v>
      </c>
      <c r="E530" s="25" t="s">
        <v>481</v>
      </c>
      <c r="F530" s="25"/>
      <c r="G530" s="135"/>
      <c r="H530" s="135"/>
      <c r="I530" s="135"/>
      <c r="J530" s="26"/>
      <c r="K530" s="26"/>
      <c r="L530" s="26">
        <f>J530+K530</f>
        <v>0</v>
      </c>
      <c r="M530" s="40"/>
      <c r="N530" s="41">
        <f>L530+M530</f>
        <v>0</v>
      </c>
      <c r="O530" s="15">
        <f t="shared" si="179"/>
        <v>0</v>
      </c>
    </row>
    <row r="531" spans="1:15" s="102" customFormat="1" ht="29.25" customHeight="1" hidden="1">
      <c r="A531" s="99" t="s">
        <v>478</v>
      </c>
      <c r="B531" s="25" t="s">
        <v>421</v>
      </c>
      <c r="C531" s="25" t="s">
        <v>28</v>
      </c>
      <c r="D531" s="25" t="s">
        <v>22</v>
      </c>
      <c r="E531" s="25" t="s">
        <v>481</v>
      </c>
      <c r="F531" s="25" t="s">
        <v>131</v>
      </c>
      <c r="G531" s="135"/>
      <c r="H531" s="135"/>
      <c r="I531" s="135"/>
      <c r="J531" s="26"/>
      <c r="K531" s="26"/>
      <c r="L531" s="26">
        <f>J531+K531</f>
        <v>0</v>
      </c>
      <c r="M531" s="40"/>
      <c r="N531" s="41">
        <f>L531+M531</f>
        <v>0</v>
      </c>
      <c r="O531" s="15">
        <f t="shared" si="179"/>
        <v>0</v>
      </c>
    </row>
    <row r="532" spans="1:15" s="102" customFormat="1" ht="29.25" customHeight="1">
      <c r="A532" s="105" t="s">
        <v>1096</v>
      </c>
      <c r="B532" s="25" t="s">
        <v>421</v>
      </c>
      <c r="C532" s="25" t="s">
        <v>28</v>
      </c>
      <c r="D532" s="25" t="s">
        <v>22</v>
      </c>
      <c r="E532" s="25" t="s">
        <v>1097</v>
      </c>
      <c r="F532" s="25"/>
      <c r="G532" s="135"/>
      <c r="H532" s="135"/>
      <c r="I532" s="135"/>
      <c r="J532" s="26">
        <f>J533</f>
        <v>0</v>
      </c>
      <c r="K532" s="26">
        <f>K533</f>
        <v>23.6</v>
      </c>
      <c r="L532" s="26">
        <f>L533</f>
        <v>23.6</v>
      </c>
      <c r="M532" s="40"/>
      <c r="N532" s="41"/>
      <c r="O532" s="15"/>
    </row>
    <row r="533" spans="1:15" s="102" customFormat="1" ht="29.25" customHeight="1">
      <c r="A533" s="499" t="s">
        <v>300</v>
      </c>
      <c r="B533" s="25" t="s">
        <v>421</v>
      </c>
      <c r="C533" s="25" t="s">
        <v>28</v>
      </c>
      <c r="D533" s="25" t="s">
        <v>22</v>
      </c>
      <c r="E533" s="25" t="s">
        <v>1097</v>
      </c>
      <c r="F533" s="25" t="s">
        <v>301</v>
      </c>
      <c r="G533" s="135"/>
      <c r="H533" s="135"/>
      <c r="I533" s="135"/>
      <c r="J533" s="26"/>
      <c r="K533" s="26">
        <v>23.6</v>
      </c>
      <c r="L533" s="26">
        <f>J533+K533</f>
        <v>23.6</v>
      </c>
      <c r="M533" s="40"/>
      <c r="N533" s="41"/>
      <c r="O533" s="15"/>
    </row>
    <row r="534" spans="1:15" s="102" customFormat="1" ht="30">
      <c r="A534" s="99" t="s">
        <v>906</v>
      </c>
      <c r="B534" s="25" t="s">
        <v>421</v>
      </c>
      <c r="C534" s="25" t="s">
        <v>28</v>
      </c>
      <c r="D534" s="25" t="s">
        <v>22</v>
      </c>
      <c r="E534" s="25" t="s">
        <v>479</v>
      </c>
      <c r="F534" s="25"/>
      <c r="G534" s="135"/>
      <c r="H534" s="135"/>
      <c r="I534" s="135"/>
      <c r="J534" s="26">
        <f>J535</f>
        <v>3587.6</v>
      </c>
      <c r="K534" s="26">
        <f>K535</f>
        <v>0</v>
      </c>
      <c r="L534" s="26">
        <f>L535</f>
        <v>3587.6</v>
      </c>
      <c r="M534" s="40"/>
      <c r="N534" s="41"/>
      <c r="O534" s="15">
        <f t="shared" si="179"/>
        <v>0</v>
      </c>
    </row>
    <row r="535" spans="1:15" s="102" customFormat="1" ht="15">
      <c r="A535" s="105" t="s">
        <v>466</v>
      </c>
      <c r="B535" s="25" t="s">
        <v>421</v>
      </c>
      <c r="C535" s="25" t="s">
        <v>28</v>
      </c>
      <c r="D535" s="25" t="s">
        <v>22</v>
      </c>
      <c r="E535" s="25" t="s">
        <v>479</v>
      </c>
      <c r="F535" s="25" t="s">
        <v>467</v>
      </c>
      <c r="G535" s="135"/>
      <c r="H535" s="135"/>
      <c r="I535" s="135"/>
      <c r="J535" s="26">
        <v>3587.6</v>
      </c>
      <c r="K535" s="26"/>
      <c r="L535" s="26">
        <f>J535+K535</f>
        <v>3587.6</v>
      </c>
      <c r="M535" s="40"/>
      <c r="N535" s="41"/>
      <c r="O535" s="15">
        <f t="shared" si="179"/>
        <v>0</v>
      </c>
    </row>
    <row r="536" spans="1:15" ht="45">
      <c r="A536" s="105" t="s">
        <v>482</v>
      </c>
      <c r="B536" s="25" t="s">
        <v>421</v>
      </c>
      <c r="C536" s="25" t="s">
        <v>28</v>
      </c>
      <c r="D536" s="25" t="s">
        <v>22</v>
      </c>
      <c r="E536" s="25" t="s">
        <v>483</v>
      </c>
      <c r="F536" s="25"/>
      <c r="G536" s="135">
        <f aca="true" t="shared" si="180" ref="G536:N537">G537</f>
        <v>-2838.8</v>
      </c>
      <c r="H536" s="135">
        <f t="shared" si="180"/>
        <v>1667</v>
      </c>
      <c r="I536" s="135">
        <f t="shared" si="180"/>
        <v>0</v>
      </c>
      <c r="J536" s="26">
        <f t="shared" si="180"/>
        <v>3970.022</v>
      </c>
      <c r="K536" s="26">
        <f t="shared" si="180"/>
        <v>-29.834</v>
      </c>
      <c r="L536" s="26">
        <f t="shared" si="180"/>
        <v>3940.188</v>
      </c>
      <c r="M536" s="40">
        <f t="shared" si="180"/>
        <v>550</v>
      </c>
      <c r="N536" s="41">
        <f t="shared" si="180"/>
        <v>4490.188</v>
      </c>
      <c r="O536" s="15">
        <f t="shared" si="179"/>
        <v>0</v>
      </c>
    </row>
    <row r="537" spans="1:15" ht="60">
      <c r="A537" s="105" t="s">
        <v>464</v>
      </c>
      <c r="B537" s="25" t="s">
        <v>421</v>
      </c>
      <c r="C537" s="25" t="s">
        <v>28</v>
      </c>
      <c r="D537" s="25" t="s">
        <v>22</v>
      </c>
      <c r="E537" s="25" t="s">
        <v>484</v>
      </c>
      <c r="F537" s="25"/>
      <c r="G537" s="135">
        <f t="shared" si="180"/>
        <v>-2838.8</v>
      </c>
      <c r="H537" s="135">
        <f t="shared" si="180"/>
        <v>1667</v>
      </c>
      <c r="I537" s="135">
        <f t="shared" si="180"/>
        <v>0</v>
      </c>
      <c r="J537" s="26">
        <f t="shared" si="180"/>
        <v>3970.022</v>
      </c>
      <c r="K537" s="26">
        <f t="shared" si="180"/>
        <v>-29.834</v>
      </c>
      <c r="L537" s="26">
        <f t="shared" si="180"/>
        <v>3940.188</v>
      </c>
      <c r="M537" s="40">
        <f t="shared" si="180"/>
        <v>550</v>
      </c>
      <c r="N537" s="41">
        <f t="shared" si="180"/>
        <v>4490.188</v>
      </c>
      <c r="O537" s="15">
        <f t="shared" si="179"/>
        <v>0</v>
      </c>
    </row>
    <row r="538" spans="1:18" ht="15">
      <c r="A538" s="105" t="s">
        <v>466</v>
      </c>
      <c r="B538" s="25" t="s">
        <v>421</v>
      </c>
      <c r="C538" s="25" t="s">
        <v>28</v>
      </c>
      <c r="D538" s="25" t="s">
        <v>22</v>
      </c>
      <c r="E538" s="25" t="s">
        <v>465</v>
      </c>
      <c r="F538" s="25" t="s">
        <v>467</v>
      </c>
      <c r="G538" s="135">
        <f>-2338.8-500</f>
        <v>-2838.8</v>
      </c>
      <c r="H538" s="135">
        <v>1667</v>
      </c>
      <c r="I538" s="135"/>
      <c r="J538" s="26">
        <v>3970.022</v>
      </c>
      <c r="K538" s="26">
        <f>-96.22+43.5+22.886</f>
        <v>-29.834</v>
      </c>
      <c r="L538" s="26">
        <f>J538+K538</f>
        <v>3940.188</v>
      </c>
      <c r="M538" s="40">
        <v>550</v>
      </c>
      <c r="N538" s="29">
        <f>L538+M538</f>
        <v>4490.188</v>
      </c>
      <c r="O538" s="15">
        <f t="shared" si="179"/>
        <v>0</v>
      </c>
      <c r="R538" s="15">
        <f>O538+L611</f>
        <v>707</v>
      </c>
    </row>
    <row r="539" spans="1:15" ht="30">
      <c r="A539" s="164" t="s">
        <v>485</v>
      </c>
      <c r="B539" s="25" t="s">
        <v>421</v>
      </c>
      <c r="C539" s="25" t="s">
        <v>28</v>
      </c>
      <c r="D539" s="25" t="s">
        <v>22</v>
      </c>
      <c r="E539" s="25" t="s">
        <v>486</v>
      </c>
      <c r="F539" s="25"/>
      <c r="G539" s="135"/>
      <c r="H539" s="524">
        <f aca="true" t="shared" si="181" ref="H539:N539">H540</f>
        <v>0</v>
      </c>
      <c r="I539" s="524">
        <f t="shared" si="181"/>
        <v>0</v>
      </c>
      <c r="J539" s="26">
        <f t="shared" si="181"/>
        <v>1576.358</v>
      </c>
      <c r="K539" s="26">
        <f t="shared" si="181"/>
        <v>-244.44</v>
      </c>
      <c r="L539" s="26">
        <f t="shared" si="181"/>
        <v>1331.918</v>
      </c>
      <c r="M539" s="28">
        <f t="shared" si="181"/>
        <v>0</v>
      </c>
      <c r="N539" s="29">
        <f t="shared" si="181"/>
        <v>1331.918</v>
      </c>
      <c r="O539" s="15">
        <f t="shared" si="179"/>
        <v>0</v>
      </c>
    </row>
    <row r="540" spans="1:16" ht="26.25" customHeight="1">
      <c r="A540" s="105" t="s">
        <v>133</v>
      </c>
      <c r="B540" s="25" t="s">
        <v>421</v>
      </c>
      <c r="C540" s="25" t="s">
        <v>28</v>
      </c>
      <c r="D540" s="25" t="s">
        <v>22</v>
      </c>
      <c r="E540" s="25" t="s">
        <v>486</v>
      </c>
      <c r="F540" s="25" t="s">
        <v>131</v>
      </c>
      <c r="G540" s="135"/>
      <c r="H540" s="524"/>
      <c r="I540" s="135"/>
      <c r="J540" s="26">
        <v>1576.358</v>
      </c>
      <c r="K540" s="26">
        <v>-244.44</v>
      </c>
      <c r="L540" s="26">
        <f>J540+K540</f>
        <v>1331.918</v>
      </c>
      <c r="M540" s="40"/>
      <c r="N540" s="29">
        <f>L540+M540</f>
        <v>1331.918</v>
      </c>
      <c r="O540" s="15">
        <f t="shared" si="179"/>
        <v>0</v>
      </c>
      <c r="P540" s="15">
        <f>L540-O540</f>
        <v>1331.918</v>
      </c>
    </row>
    <row r="541" spans="1:15" ht="15">
      <c r="A541" s="105" t="s">
        <v>487</v>
      </c>
      <c r="B541" s="25" t="s">
        <v>421</v>
      </c>
      <c r="C541" s="25" t="s">
        <v>28</v>
      </c>
      <c r="D541" s="25" t="s">
        <v>22</v>
      </c>
      <c r="E541" s="25" t="s">
        <v>488</v>
      </c>
      <c r="F541" s="25"/>
      <c r="G541" s="135">
        <f>G542+G544</f>
        <v>0</v>
      </c>
      <c r="H541" s="135"/>
      <c r="I541" s="135">
        <f aca="true" t="shared" si="182" ref="I541:N541">I542+I544</f>
        <v>0</v>
      </c>
      <c r="J541" s="26">
        <f>J542+J544+J551</f>
        <v>19283.399999999998</v>
      </c>
      <c r="K541" s="26">
        <f>K542+K544+K551</f>
        <v>-22.700000000000003</v>
      </c>
      <c r="L541" s="26">
        <f>L542+L544+L551</f>
        <v>19260.7</v>
      </c>
      <c r="M541" s="40">
        <f t="shared" si="182"/>
        <v>0</v>
      </c>
      <c r="N541" s="41">
        <f t="shared" si="182"/>
        <v>19259.5</v>
      </c>
      <c r="O541" s="15">
        <f t="shared" si="179"/>
        <v>0</v>
      </c>
    </row>
    <row r="542" spans="1:15" ht="19.5" customHeight="1">
      <c r="A542" s="166" t="s">
        <v>489</v>
      </c>
      <c r="B542" s="25" t="s">
        <v>421</v>
      </c>
      <c r="C542" s="25" t="s">
        <v>28</v>
      </c>
      <c r="D542" s="25" t="s">
        <v>22</v>
      </c>
      <c r="E542" s="25" t="s">
        <v>490</v>
      </c>
      <c r="F542" s="25"/>
      <c r="G542" s="135">
        <f aca="true" t="shared" si="183" ref="G542:N542">G543</f>
        <v>-1750</v>
      </c>
      <c r="H542" s="135">
        <f t="shared" si="183"/>
        <v>0</v>
      </c>
      <c r="I542" s="135">
        <f t="shared" si="183"/>
        <v>0</v>
      </c>
      <c r="J542" s="26">
        <f t="shared" si="183"/>
        <v>19258.6</v>
      </c>
      <c r="K542" s="26">
        <f t="shared" si="183"/>
        <v>0.9</v>
      </c>
      <c r="L542" s="26">
        <f t="shared" si="183"/>
        <v>19259.5</v>
      </c>
      <c r="M542" s="40">
        <f t="shared" si="183"/>
        <v>0</v>
      </c>
      <c r="N542" s="41">
        <f t="shared" si="183"/>
        <v>19259.5</v>
      </c>
      <c r="O542" s="15">
        <f t="shared" si="179"/>
        <v>0</v>
      </c>
    </row>
    <row r="543" spans="1:15" ht="13.5" customHeight="1">
      <c r="A543" s="105" t="s">
        <v>466</v>
      </c>
      <c r="B543" s="25" t="s">
        <v>421</v>
      </c>
      <c r="C543" s="25" t="s">
        <v>28</v>
      </c>
      <c r="D543" s="25" t="s">
        <v>22</v>
      </c>
      <c r="E543" s="25" t="s">
        <v>491</v>
      </c>
      <c r="F543" s="25" t="s">
        <v>467</v>
      </c>
      <c r="G543" s="135">
        <v>-1750</v>
      </c>
      <c r="H543" s="524"/>
      <c r="I543" s="135"/>
      <c r="J543" s="26">
        <v>19258.6</v>
      </c>
      <c r="K543" s="26">
        <f>0.9</f>
        <v>0.9</v>
      </c>
      <c r="L543" s="26">
        <f>J543+K543</f>
        <v>19259.5</v>
      </c>
      <c r="M543" s="40"/>
      <c r="N543" s="29">
        <f>L543+M543</f>
        <v>19259.5</v>
      </c>
      <c r="O543" s="15">
        <f t="shared" si="179"/>
        <v>0</v>
      </c>
    </row>
    <row r="544" spans="1:15" ht="27.75" customHeight="1" hidden="1">
      <c r="A544" s="166" t="s">
        <v>492</v>
      </c>
      <c r="B544" s="25" t="s">
        <v>421</v>
      </c>
      <c r="C544" s="25" t="s">
        <v>28</v>
      </c>
      <c r="D544" s="25" t="s">
        <v>22</v>
      </c>
      <c r="E544" s="25" t="s">
        <v>493</v>
      </c>
      <c r="F544" s="25"/>
      <c r="G544" s="135">
        <f aca="true" t="shared" si="184" ref="G544:N544">G545</f>
        <v>1750</v>
      </c>
      <c r="H544" s="135">
        <f t="shared" si="184"/>
        <v>0</v>
      </c>
      <c r="I544" s="135">
        <f t="shared" si="184"/>
        <v>0</v>
      </c>
      <c r="J544" s="26">
        <f t="shared" si="184"/>
        <v>0</v>
      </c>
      <c r="K544" s="26">
        <f t="shared" si="184"/>
        <v>0</v>
      </c>
      <c r="L544" s="26">
        <f t="shared" si="184"/>
        <v>0</v>
      </c>
      <c r="M544" s="40">
        <f t="shared" si="184"/>
        <v>0</v>
      </c>
      <c r="N544" s="41">
        <f t="shared" si="184"/>
        <v>0</v>
      </c>
      <c r="O544" s="15">
        <f t="shared" si="179"/>
        <v>0</v>
      </c>
    </row>
    <row r="545" spans="1:15" ht="13.5" customHeight="1" hidden="1">
      <c r="A545" s="105" t="s">
        <v>466</v>
      </c>
      <c r="B545" s="25" t="s">
        <v>421</v>
      </c>
      <c r="C545" s="25" t="s">
        <v>28</v>
      </c>
      <c r="D545" s="25" t="s">
        <v>22</v>
      </c>
      <c r="E545" s="25" t="s">
        <v>493</v>
      </c>
      <c r="F545" s="25" t="s">
        <v>467</v>
      </c>
      <c r="G545" s="135">
        <v>1750</v>
      </c>
      <c r="H545" s="524"/>
      <c r="I545" s="135"/>
      <c r="J545" s="26"/>
      <c r="K545" s="26"/>
      <c r="L545" s="26">
        <f>J545+K545</f>
        <v>0</v>
      </c>
      <c r="M545" s="40"/>
      <c r="N545" s="29">
        <f>L545+M545</f>
        <v>0</v>
      </c>
      <c r="O545" s="15">
        <f t="shared" si="179"/>
        <v>0</v>
      </c>
    </row>
    <row r="546" spans="1:15" ht="53.25" customHeight="1" hidden="1">
      <c r="A546" s="105" t="s">
        <v>494</v>
      </c>
      <c r="B546" s="25" t="s">
        <v>421</v>
      </c>
      <c r="C546" s="25" t="s">
        <v>28</v>
      </c>
      <c r="D546" s="25" t="s">
        <v>22</v>
      </c>
      <c r="E546" s="25" t="s">
        <v>495</v>
      </c>
      <c r="F546" s="25"/>
      <c r="G546" s="135">
        <f aca="true" t="shared" si="185" ref="G546:M546">G547+G549</f>
        <v>4338.8</v>
      </c>
      <c r="H546" s="135">
        <f t="shared" si="185"/>
        <v>0</v>
      </c>
      <c r="I546" s="135">
        <f t="shared" si="185"/>
        <v>0</v>
      </c>
      <c r="J546" s="26">
        <f t="shared" si="185"/>
        <v>0</v>
      </c>
      <c r="K546" s="26">
        <f t="shared" si="185"/>
        <v>0</v>
      </c>
      <c r="L546" s="26">
        <f t="shared" si="185"/>
        <v>0</v>
      </c>
      <c r="M546" s="40">
        <f t="shared" si="185"/>
        <v>0</v>
      </c>
      <c r="N546" s="41">
        <f>N547+N549</f>
        <v>0</v>
      </c>
      <c r="O546" s="15">
        <f t="shared" si="179"/>
        <v>0</v>
      </c>
    </row>
    <row r="547" spans="1:15" ht="30" customHeight="1" hidden="1">
      <c r="A547" s="84" t="s">
        <v>496</v>
      </c>
      <c r="B547" s="25" t="s">
        <v>421</v>
      </c>
      <c r="C547" s="25" t="s">
        <v>28</v>
      </c>
      <c r="D547" s="25" t="s">
        <v>22</v>
      </c>
      <c r="E547" s="25" t="s">
        <v>497</v>
      </c>
      <c r="F547" s="25"/>
      <c r="G547" s="135">
        <f aca="true" t="shared" si="186" ref="G547:N547">G548</f>
        <v>2338.8</v>
      </c>
      <c r="H547" s="135">
        <f t="shared" si="186"/>
        <v>0</v>
      </c>
      <c r="I547" s="135">
        <f t="shared" si="186"/>
        <v>0</v>
      </c>
      <c r="J547" s="26">
        <f t="shared" si="186"/>
        <v>0</v>
      </c>
      <c r="K547" s="26">
        <f t="shared" si="186"/>
        <v>0</v>
      </c>
      <c r="L547" s="26">
        <f t="shared" si="186"/>
        <v>0</v>
      </c>
      <c r="M547" s="40">
        <f t="shared" si="186"/>
        <v>0</v>
      </c>
      <c r="N547" s="41">
        <f t="shared" si="186"/>
        <v>0</v>
      </c>
      <c r="O547" s="15">
        <f t="shared" si="179"/>
        <v>0</v>
      </c>
    </row>
    <row r="548" spans="1:15" ht="15" customHeight="1" hidden="1">
      <c r="A548" s="105" t="s">
        <v>466</v>
      </c>
      <c r="B548" s="25" t="s">
        <v>421</v>
      </c>
      <c r="C548" s="25" t="s">
        <v>28</v>
      </c>
      <c r="D548" s="25" t="s">
        <v>22</v>
      </c>
      <c r="E548" s="25" t="s">
        <v>497</v>
      </c>
      <c r="F548" s="25" t="s">
        <v>467</v>
      </c>
      <c r="G548" s="135">
        <v>2338.8</v>
      </c>
      <c r="H548" s="524"/>
      <c r="I548" s="135"/>
      <c r="J548" s="26">
        <f>H548+I548</f>
        <v>0</v>
      </c>
      <c r="K548" s="26">
        <f>1500-1500</f>
        <v>0</v>
      </c>
      <c r="L548" s="26">
        <f>J548+K548</f>
        <v>0</v>
      </c>
      <c r="M548" s="40">
        <f>1500-1500</f>
        <v>0</v>
      </c>
      <c r="N548" s="29">
        <f>L548+M548</f>
        <v>0</v>
      </c>
      <c r="O548" s="15">
        <f t="shared" si="179"/>
        <v>0</v>
      </c>
    </row>
    <row r="549" spans="1:15" ht="60" customHeight="1" hidden="1">
      <c r="A549" s="105" t="s">
        <v>498</v>
      </c>
      <c r="B549" s="25" t="s">
        <v>421</v>
      </c>
      <c r="C549" s="25" t="s">
        <v>28</v>
      </c>
      <c r="D549" s="25" t="s">
        <v>22</v>
      </c>
      <c r="E549" s="25" t="s">
        <v>499</v>
      </c>
      <c r="F549" s="25"/>
      <c r="G549" s="135">
        <f aca="true" t="shared" si="187" ref="G549:N549">G550</f>
        <v>2000</v>
      </c>
      <c r="H549" s="135">
        <f t="shared" si="187"/>
        <v>0</v>
      </c>
      <c r="I549" s="135">
        <f t="shared" si="187"/>
        <v>0</v>
      </c>
      <c r="J549" s="26">
        <f t="shared" si="187"/>
        <v>0</v>
      </c>
      <c r="K549" s="26">
        <f t="shared" si="187"/>
        <v>0</v>
      </c>
      <c r="L549" s="26">
        <f t="shared" si="187"/>
        <v>0</v>
      </c>
      <c r="M549" s="40">
        <f t="shared" si="187"/>
        <v>0</v>
      </c>
      <c r="N549" s="41">
        <f t="shared" si="187"/>
        <v>0</v>
      </c>
      <c r="O549" s="15">
        <f t="shared" si="179"/>
        <v>0</v>
      </c>
    </row>
    <row r="550" spans="1:15" ht="15" customHeight="1" hidden="1">
      <c r="A550" s="105" t="s">
        <v>466</v>
      </c>
      <c r="B550" s="25" t="s">
        <v>421</v>
      </c>
      <c r="C550" s="25" t="s">
        <v>28</v>
      </c>
      <c r="D550" s="25" t="s">
        <v>22</v>
      </c>
      <c r="E550" s="25" t="s">
        <v>499</v>
      </c>
      <c r="F550" s="25" t="s">
        <v>467</v>
      </c>
      <c r="G550" s="135">
        <v>2000</v>
      </c>
      <c r="H550" s="524"/>
      <c r="I550" s="135"/>
      <c r="J550" s="26">
        <f>H550+I550</f>
        <v>0</v>
      </c>
      <c r="K550" s="26"/>
      <c r="L550" s="26">
        <f>J550+K550</f>
        <v>0</v>
      </c>
      <c r="M550" s="40"/>
      <c r="N550" s="29">
        <f>L550+M550</f>
        <v>0</v>
      </c>
      <c r="O550" s="15">
        <f t="shared" si="179"/>
        <v>0</v>
      </c>
    </row>
    <row r="551" spans="1:15" ht="45">
      <c r="A551" s="105" t="s">
        <v>1070</v>
      </c>
      <c r="B551" s="25" t="s">
        <v>421</v>
      </c>
      <c r="C551" s="25" t="s">
        <v>28</v>
      </c>
      <c r="D551" s="25" t="s">
        <v>22</v>
      </c>
      <c r="E551" s="25" t="s">
        <v>1069</v>
      </c>
      <c r="F551" s="25"/>
      <c r="G551" s="135"/>
      <c r="H551" s="524"/>
      <c r="I551" s="135"/>
      <c r="J551" s="26">
        <f>J552</f>
        <v>24.8</v>
      </c>
      <c r="K551" s="26">
        <f>K552</f>
        <v>-23.6</v>
      </c>
      <c r="L551" s="26">
        <f>L552</f>
        <v>1.1999999999999993</v>
      </c>
      <c r="M551" s="448">
        <f>M552</f>
        <v>0</v>
      </c>
      <c r="N551" s="362">
        <f>N552</f>
        <v>0</v>
      </c>
      <c r="O551" s="15">
        <f t="shared" si="179"/>
        <v>0</v>
      </c>
    </row>
    <row r="552" spans="1:15" ht="15" customHeight="1">
      <c r="A552" s="499" t="s">
        <v>300</v>
      </c>
      <c r="B552" s="25" t="s">
        <v>421</v>
      </c>
      <c r="C552" s="25" t="s">
        <v>28</v>
      </c>
      <c r="D552" s="25" t="s">
        <v>22</v>
      </c>
      <c r="E552" s="25" t="s">
        <v>1069</v>
      </c>
      <c r="F552" s="25" t="s">
        <v>301</v>
      </c>
      <c r="G552" s="135"/>
      <c r="H552" s="524"/>
      <c r="I552" s="135"/>
      <c r="J552" s="26">
        <v>24.8</v>
      </c>
      <c r="K552" s="26">
        <f>-23.6</f>
        <v>-23.6</v>
      </c>
      <c r="L552" s="26">
        <f>J552+K552</f>
        <v>1.1999999999999993</v>
      </c>
      <c r="M552" s="40"/>
      <c r="N552" s="29"/>
      <c r="O552" s="15">
        <f t="shared" si="179"/>
        <v>0</v>
      </c>
    </row>
    <row r="553" spans="1:15" ht="15" customHeight="1">
      <c r="A553" s="105" t="s">
        <v>500</v>
      </c>
      <c r="B553" s="25" t="s">
        <v>421</v>
      </c>
      <c r="C553" s="25" t="s">
        <v>28</v>
      </c>
      <c r="D553" s="25" t="s">
        <v>22</v>
      </c>
      <c r="E553" s="25" t="s">
        <v>409</v>
      </c>
      <c r="F553" s="25"/>
      <c r="G553" s="135">
        <f aca="true" t="shared" si="188" ref="G553:N553">G556</f>
        <v>500</v>
      </c>
      <c r="H553" s="135">
        <f t="shared" si="188"/>
        <v>0</v>
      </c>
      <c r="I553" s="135">
        <f t="shared" si="188"/>
        <v>0</v>
      </c>
      <c r="J553" s="26">
        <f>J556+J554</f>
        <v>602.76</v>
      </c>
      <c r="K553" s="26">
        <f>K556+K554</f>
        <v>0</v>
      </c>
      <c r="L553" s="26">
        <f>L556+L554</f>
        <v>602.76</v>
      </c>
      <c r="M553" s="40">
        <f t="shared" si="188"/>
        <v>0</v>
      </c>
      <c r="N553" s="41">
        <f t="shared" si="188"/>
        <v>600</v>
      </c>
      <c r="O553" s="15">
        <f t="shared" si="179"/>
        <v>0</v>
      </c>
    </row>
    <row r="554" spans="1:16" ht="42" customHeight="1">
      <c r="A554" s="99" t="s">
        <v>221</v>
      </c>
      <c r="B554" s="25" t="s">
        <v>421</v>
      </c>
      <c r="C554" s="25" t="s">
        <v>28</v>
      </c>
      <c r="D554" s="25" t="s">
        <v>22</v>
      </c>
      <c r="E554" s="25" t="s">
        <v>222</v>
      </c>
      <c r="F554" s="25"/>
      <c r="G554" s="62"/>
      <c r="H554" s="61"/>
      <c r="I554" s="62"/>
      <c r="J554" s="26">
        <f>J555</f>
        <v>2.76</v>
      </c>
      <c r="K554" s="26">
        <f>K555</f>
        <v>0</v>
      </c>
      <c r="L554" s="26">
        <f>L555</f>
        <v>2.76</v>
      </c>
      <c r="M554" s="40"/>
      <c r="N554" s="29"/>
      <c r="O554" s="15">
        <f t="shared" si="179"/>
        <v>0</v>
      </c>
      <c r="P554" s="15"/>
    </row>
    <row r="555" spans="1:16" ht="27.75" customHeight="1">
      <c r="A555" s="99" t="s">
        <v>133</v>
      </c>
      <c r="B555" s="25" t="s">
        <v>421</v>
      </c>
      <c r="C555" s="25" t="s">
        <v>28</v>
      </c>
      <c r="D555" s="25" t="s">
        <v>22</v>
      </c>
      <c r="E555" s="25" t="s">
        <v>222</v>
      </c>
      <c r="F555" s="25" t="s">
        <v>131</v>
      </c>
      <c r="G555" s="62"/>
      <c r="H555" s="61"/>
      <c r="I555" s="62"/>
      <c r="J555" s="26">
        <v>2.76</v>
      </c>
      <c r="K555" s="26"/>
      <c r="L555" s="26">
        <f>J555+K555</f>
        <v>2.76</v>
      </c>
      <c r="M555" s="40"/>
      <c r="N555" s="29"/>
      <c r="O555" s="15">
        <f t="shared" si="179"/>
        <v>0</v>
      </c>
      <c r="P555" s="15"/>
    </row>
    <row r="556" spans="1:15" ht="45">
      <c r="A556" s="105" t="s">
        <v>501</v>
      </c>
      <c r="B556" s="25" t="s">
        <v>421</v>
      </c>
      <c r="C556" s="25" t="s">
        <v>28</v>
      </c>
      <c r="D556" s="25" t="s">
        <v>22</v>
      </c>
      <c r="E556" s="25" t="s">
        <v>502</v>
      </c>
      <c r="F556" s="25"/>
      <c r="G556" s="135">
        <f aca="true" t="shared" si="189" ref="G556:N556">G557</f>
        <v>500</v>
      </c>
      <c r="H556" s="135">
        <f t="shared" si="189"/>
        <v>0</v>
      </c>
      <c r="I556" s="135">
        <f t="shared" si="189"/>
        <v>0</v>
      </c>
      <c r="J556" s="26">
        <f t="shared" si="189"/>
        <v>600</v>
      </c>
      <c r="K556" s="26">
        <f t="shared" si="189"/>
        <v>0</v>
      </c>
      <c r="L556" s="26">
        <f t="shared" si="189"/>
        <v>600</v>
      </c>
      <c r="M556" s="40">
        <f t="shared" si="189"/>
        <v>0</v>
      </c>
      <c r="N556" s="41">
        <f t="shared" si="189"/>
        <v>600</v>
      </c>
      <c r="O556" s="15">
        <f t="shared" si="179"/>
        <v>0</v>
      </c>
    </row>
    <row r="557" spans="1:15" ht="30" customHeight="1">
      <c r="A557" s="105" t="s">
        <v>133</v>
      </c>
      <c r="B557" s="25" t="s">
        <v>421</v>
      </c>
      <c r="C557" s="25" t="s">
        <v>28</v>
      </c>
      <c r="D557" s="25" t="s">
        <v>22</v>
      </c>
      <c r="E557" s="25" t="s">
        <v>502</v>
      </c>
      <c r="F557" s="25" t="s">
        <v>131</v>
      </c>
      <c r="G557" s="135">
        <v>500</v>
      </c>
      <c r="H557" s="524"/>
      <c r="I557" s="135"/>
      <c r="J557" s="26">
        <v>600</v>
      </c>
      <c r="K557" s="26"/>
      <c r="L557" s="26">
        <f>J557+K557</f>
        <v>600</v>
      </c>
      <c r="M557" s="40"/>
      <c r="N557" s="29">
        <f>L557+M557</f>
        <v>600</v>
      </c>
      <c r="O557" s="15">
        <f t="shared" si="179"/>
        <v>0</v>
      </c>
    </row>
    <row r="558" spans="1:15" ht="45">
      <c r="A558" s="105" t="s">
        <v>908</v>
      </c>
      <c r="B558" s="25" t="s">
        <v>421</v>
      </c>
      <c r="C558" s="25" t="s">
        <v>28</v>
      </c>
      <c r="D558" s="25" t="s">
        <v>22</v>
      </c>
      <c r="E558" s="25" t="s">
        <v>904</v>
      </c>
      <c r="F558" s="25"/>
      <c r="G558" s="135"/>
      <c r="H558" s="524"/>
      <c r="I558" s="135"/>
      <c r="J558" s="26">
        <f>J559</f>
        <v>500</v>
      </c>
      <c r="K558" s="26">
        <f>K559</f>
        <v>0</v>
      </c>
      <c r="L558" s="26">
        <f>L559</f>
        <v>500</v>
      </c>
      <c r="M558" s="40"/>
      <c r="N558" s="29"/>
      <c r="O558" s="15">
        <f t="shared" si="179"/>
        <v>0</v>
      </c>
    </row>
    <row r="559" spans="1:15" ht="30">
      <c r="A559" s="105" t="s">
        <v>133</v>
      </c>
      <c r="B559" s="25" t="s">
        <v>421</v>
      </c>
      <c r="C559" s="25" t="s">
        <v>28</v>
      </c>
      <c r="D559" s="25" t="s">
        <v>22</v>
      </c>
      <c r="E559" s="25" t="s">
        <v>904</v>
      </c>
      <c r="F559" s="25" t="s">
        <v>131</v>
      </c>
      <c r="G559" s="135"/>
      <c r="H559" s="524"/>
      <c r="I559" s="135"/>
      <c r="J559" s="26">
        <v>500</v>
      </c>
      <c r="K559" s="26"/>
      <c r="L559" s="26">
        <f>J559+K559</f>
        <v>500</v>
      </c>
      <c r="M559" s="40"/>
      <c r="N559" s="29"/>
      <c r="O559" s="15">
        <f t="shared" si="179"/>
        <v>0</v>
      </c>
    </row>
    <row r="560" spans="1:15" s="102" customFormat="1" ht="17.25" customHeight="1">
      <c r="A560" s="108" t="s">
        <v>503</v>
      </c>
      <c r="B560" s="24" t="s">
        <v>421</v>
      </c>
      <c r="C560" s="24" t="s">
        <v>28</v>
      </c>
      <c r="D560" s="24" t="s">
        <v>24</v>
      </c>
      <c r="E560" s="24"/>
      <c r="F560" s="24"/>
      <c r="G560" s="503">
        <f aca="true" t="shared" si="190" ref="G560:N560">G561</f>
        <v>-786.5</v>
      </c>
      <c r="H560" s="503">
        <f t="shared" si="190"/>
        <v>0</v>
      </c>
      <c r="I560" s="503">
        <f t="shared" si="190"/>
        <v>0</v>
      </c>
      <c r="J560" s="504">
        <f t="shared" si="190"/>
        <v>1780</v>
      </c>
      <c r="K560" s="504">
        <f t="shared" si="190"/>
        <v>-101.39841</v>
      </c>
      <c r="L560" s="504">
        <f t="shared" si="190"/>
        <v>1678.60159</v>
      </c>
      <c r="M560" s="505">
        <f t="shared" si="190"/>
        <v>0</v>
      </c>
      <c r="N560" s="86">
        <f t="shared" si="190"/>
        <v>178.60159</v>
      </c>
      <c r="O560" s="15">
        <f t="shared" si="179"/>
        <v>0</v>
      </c>
    </row>
    <row r="561" spans="1:15" ht="15.75" customHeight="1">
      <c r="A561" s="160" t="s">
        <v>61</v>
      </c>
      <c r="B561" s="25" t="s">
        <v>421</v>
      </c>
      <c r="C561" s="25" t="s">
        <v>28</v>
      </c>
      <c r="D561" s="25" t="s">
        <v>24</v>
      </c>
      <c r="E561" s="25" t="s">
        <v>504</v>
      </c>
      <c r="F561" s="25"/>
      <c r="G561" s="135">
        <f>G564</f>
        <v>-786.5</v>
      </c>
      <c r="H561" s="135">
        <f>H564</f>
        <v>0</v>
      </c>
      <c r="I561" s="135">
        <f>I564</f>
        <v>0</v>
      </c>
      <c r="J561" s="26">
        <f>J564+J562</f>
        <v>1780</v>
      </c>
      <c r="K561" s="26">
        <f>K564+K562</f>
        <v>-101.39841</v>
      </c>
      <c r="L561" s="26">
        <f>L564+L562</f>
        <v>1678.60159</v>
      </c>
      <c r="M561" s="40">
        <f>M564</f>
        <v>0</v>
      </c>
      <c r="N561" s="41">
        <f>N564</f>
        <v>178.60159</v>
      </c>
      <c r="O561" s="15">
        <f t="shared" si="179"/>
        <v>0</v>
      </c>
    </row>
    <row r="562" spans="1:15" ht="27" customHeight="1">
      <c r="A562" s="160" t="s">
        <v>459</v>
      </c>
      <c r="B562" s="25" t="s">
        <v>421</v>
      </c>
      <c r="C562" s="25" t="s">
        <v>28</v>
      </c>
      <c r="D562" s="25" t="s">
        <v>24</v>
      </c>
      <c r="E562" s="25" t="s">
        <v>905</v>
      </c>
      <c r="F562" s="25"/>
      <c r="G562" s="135"/>
      <c r="H562" s="135"/>
      <c r="I562" s="135"/>
      <c r="J562" s="26">
        <f>J563</f>
        <v>1500</v>
      </c>
      <c r="K562" s="26">
        <f>K563</f>
        <v>0</v>
      </c>
      <c r="L562" s="26">
        <f>L563</f>
        <v>1500</v>
      </c>
      <c r="M562" s="40"/>
      <c r="N562" s="41"/>
      <c r="O562" s="15">
        <f t="shared" si="179"/>
        <v>0</v>
      </c>
    </row>
    <row r="563" spans="1:15" ht="27.75" customHeight="1">
      <c r="A563" s="105" t="s">
        <v>133</v>
      </c>
      <c r="B563" s="25" t="s">
        <v>421</v>
      </c>
      <c r="C563" s="25" t="s">
        <v>28</v>
      </c>
      <c r="D563" s="25" t="s">
        <v>24</v>
      </c>
      <c r="E563" s="25" t="s">
        <v>905</v>
      </c>
      <c r="F563" s="25" t="s">
        <v>131</v>
      </c>
      <c r="G563" s="135"/>
      <c r="H563" s="135"/>
      <c r="I563" s="135"/>
      <c r="J563" s="26">
        <v>1500</v>
      </c>
      <c r="K563" s="26"/>
      <c r="L563" s="26">
        <f>J563+K563</f>
        <v>1500</v>
      </c>
      <c r="M563" s="40"/>
      <c r="N563" s="41"/>
      <c r="O563" s="15">
        <f t="shared" si="179"/>
        <v>0</v>
      </c>
    </row>
    <row r="564" spans="1:15" ht="30" customHeight="1">
      <c r="A564" s="160" t="s">
        <v>505</v>
      </c>
      <c r="B564" s="25" t="s">
        <v>421</v>
      </c>
      <c r="C564" s="25" t="s">
        <v>28</v>
      </c>
      <c r="D564" s="25" t="s">
        <v>24</v>
      </c>
      <c r="E564" s="25" t="s">
        <v>506</v>
      </c>
      <c r="F564" s="25"/>
      <c r="G564" s="135">
        <f aca="true" t="shared" si="191" ref="G564:N564">G565</f>
        <v>-786.5</v>
      </c>
      <c r="H564" s="135">
        <f t="shared" si="191"/>
        <v>0</v>
      </c>
      <c r="I564" s="135">
        <f t="shared" si="191"/>
        <v>0</v>
      </c>
      <c r="J564" s="26">
        <f t="shared" si="191"/>
        <v>280</v>
      </c>
      <c r="K564" s="26">
        <f t="shared" si="191"/>
        <v>-101.39841</v>
      </c>
      <c r="L564" s="26">
        <f t="shared" si="191"/>
        <v>178.60159</v>
      </c>
      <c r="M564" s="40">
        <f t="shared" si="191"/>
        <v>0</v>
      </c>
      <c r="N564" s="41">
        <f t="shared" si="191"/>
        <v>178.60159</v>
      </c>
      <c r="O564" s="15">
        <f t="shared" si="179"/>
        <v>0</v>
      </c>
    </row>
    <row r="565" spans="1:15" ht="30" customHeight="1">
      <c r="A565" s="105" t="s">
        <v>133</v>
      </c>
      <c r="B565" s="25" t="s">
        <v>421</v>
      </c>
      <c r="C565" s="25" t="s">
        <v>28</v>
      </c>
      <c r="D565" s="25" t="s">
        <v>24</v>
      </c>
      <c r="E565" s="25" t="s">
        <v>506</v>
      </c>
      <c r="F565" s="25" t="s">
        <v>131</v>
      </c>
      <c r="G565" s="135">
        <v>-786.5</v>
      </c>
      <c r="H565" s="524"/>
      <c r="I565" s="135"/>
      <c r="J565" s="26">
        <v>280</v>
      </c>
      <c r="K565" s="26">
        <f>-40-61.39841</f>
        <v>-101.39841</v>
      </c>
      <c r="L565" s="26">
        <f>J565+K565</f>
        <v>178.60159</v>
      </c>
      <c r="M565" s="40"/>
      <c r="N565" s="29">
        <f>L565+M565</f>
        <v>178.60159</v>
      </c>
      <c r="O565" s="15">
        <f t="shared" si="179"/>
        <v>0</v>
      </c>
    </row>
    <row r="566" spans="1:15" s="102" customFormat="1" ht="15.75" customHeight="1" hidden="1">
      <c r="A566" s="108" t="s">
        <v>62</v>
      </c>
      <c r="B566" s="24" t="s">
        <v>421</v>
      </c>
      <c r="C566" s="24" t="s">
        <v>28</v>
      </c>
      <c r="D566" s="24" t="s">
        <v>28</v>
      </c>
      <c r="E566" s="24"/>
      <c r="F566" s="24"/>
      <c r="G566" s="503">
        <f aca="true" t="shared" si="192" ref="G566:N566">G567</f>
        <v>-2222</v>
      </c>
      <c r="H566" s="503">
        <f t="shared" si="192"/>
        <v>0</v>
      </c>
      <c r="I566" s="503">
        <f t="shared" si="192"/>
        <v>0</v>
      </c>
      <c r="J566" s="504">
        <f>J567+J570</f>
        <v>0</v>
      </c>
      <c r="K566" s="504">
        <f>K567+K570</f>
        <v>0</v>
      </c>
      <c r="L566" s="504">
        <f>L567+L570</f>
        <v>0</v>
      </c>
      <c r="M566" s="505">
        <f t="shared" si="192"/>
        <v>0</v>
      </c>
      <c r="N566" s="86">
        <f t="shared" si="192"/>
        <v>0</v>
      </c>
      <c r="O566" s="15">
        <f t="shared" si="179"/>
        <v>0</v>
      </c>
    </row>
    <row r="567" spans="1:15" ht="15" customHeight="1" hidden="1">
      <c r="A567" s="105" t="s">
        <v>464</v>
      </c>
      <c r="B567" s="25" t="s">
        <v>421</v>
      </c>
      <c r="C567" s="25" t="s">
        <v>28</v>
      </c>
      <c r="D567" s="25" t="s">
        <v>28</v>
      </c>
      <c r="E567" s="25" t="s">
        <v>484</v>
      </c>
      <c r="F567" s="25"/>
      <c r="G567" s="135">
        <f aca="true" t="shared" si="193" ref="G567:M567">G568+G569</f>
        <v>-2222</v>
      </c>
      <c r="H567" s="135">
        <f t="shared" si="193"/>
        <v>0</v>
      </c>
      <c r="I567" s="135">
        <f t="shared" si="193"/>
        <v>0</v>
      </c>
      <c r="J567" s="26">
        <f t="shared" si="193"/>
        <v>0</v>
      </c>
      <c r="K567" s="26">
        <f t="shared" si="193"/>
        <v>0</v>
      </c>
      <c r="L567" s="26">
        <f t="shared" si="193"/>
        <v>0</v>
      </c>
      <c r="M567" s="40">
        <f t="shared" si="193"/>
        <v>0</v>
      </c>
      <c r="N567" s="41">
        <f>N568+N569</f>
        <v>0</v>
      </c>
      <c r="O567" s="15">
        <f t="shared" si="179"/>
        <v>0</v>
      </c>
    </row>
    <row r="568" spans="1:15" ht="18" customHeight="1" hidden="1">
      <c r="A568" s="105" t="s">
        <v>466</v>
      </c>
      <c r="B568" s="25" t="s">
        <v>421</v>
      </c>
      <c r="C568" s="25" t="s">
        <v>28</v>
      </c>
      <c r="D568" s="25" t="s">
        <v>28</v>
      </c>
      <c r="E568" s="25" t="s">
        <v>481</v>
      </c>
      <c r="F568" s="25" t="s">
        <v>467</v>
      </c>
      <c r="G568" s="135">
        <v>-2000</v>
      </c>
      <c r="H568" s="524"/>
      <c r="I568" s="135"/>
      <c r="J568" s="26">
        <f>H568+I568</f>
        <v>0</v>
      </c>
      <c r="K568" s="26"/>
      <c r="L568" s="26">
        <f>J568+K568</f>
        <v>0</v>
      </c>
      <c r="M568" s="40"/>
      <c r="N568" s="29">
        <f>L568+M568</f>
        <v>0</v>
      </c>
      <c r="O568" s="15">
        <f t="shared" si="179"/>
        <v>0</v>
      </c>
    </row>
    <row r="569" spans="1:15" ht="15.75" customHeight="1" hidden="1">
      <c r="A569" s="105" t="s">
        <v>507</v>
      </c>
      <c r="B569" s="25" t="s">
        <v>421</v>
      </c>
      <c r="C569" s="25" t="s">
        <v>28</v>
      </c>
      <c r="D569" s="25" t="s">
        <v>28</v>
      </c>
      <c r="E569" s="25" t="s">
        <v>465</v>
      </c>
      <c r="F569" s="25" t="s">
        <v>467</v>
      </c>
      <c r="G569" s="135">
        <v>-222</v>
      </c>
      <c r="H569" s="524"/>
      <c r="I569" s="135"/>
      <c r="J569" s="26">
        <f>H569+I569</f>
        <v>0</v>
      </c>
      <c r="K569" s="26"/>
      <c r="L569" s="26">
        <f>J569+K569</f>
        <v>0</v>
      </c>
      <c r="M569" s="40"/>
      <c r="N569" s="29">
        <f>L569+M569</f>
        <v>0</v>
      </c>
      <c r="O569" s="15">
        <f t="shared" si="179"/>
        <v>0</v>
      </c>
    </row>
    <row r="570" spans="1:15" ht="15" customHeight="1" hidden="1">
      <c r="A570" s="105" t="s">
        <v>508</v>
      </c>
      <c r="B570" s="25" t="s">
        <v>421</v>
      </c>
      <c r="C570" s="25" t="s">
        <v>28</v>
      </c>
      <c r="D570" s="25" t="s">
        <v>28</v>
      </c>
      <c r="E570" s="25" t="s">
        <v>495</v>
      </c>
      <c r="F570" s="25"/>
      <c r="G570" s="135"/>
      <c r="H570" s="524"/>
      <c r="I570" s="135"/>
      <c r="J570" s="26">
        <f>J571</f>
        <v>0</v>
      </c>
      <c r="K570" s="26">
        <f>K571</f>
        <v>0</v>
      </c>
      <c r="L570" s="26">
        <f>L571</f>
        <v>0</v>
      </c>
      <c r="M570" s="40"/>
      <c r="N570" s="29"/>
      <c r="O570" s="15">
        <f t="shared" si="179"/>
        <v>0</v>
      </c>
    </row>
    <row r="571" spans="1:15" ht="12.75" customHeight="1" hidden="1">
      <c r="A571" s="105" t="s">
        <v>466</v>
      </c>
      <c r="B571" s="25" t="s">
        <v>421</v>
      </c>
      <c r="C571" s="25" t="s">
        <v>28</v>
      </c>
      <c r="D571" s="25" t="s">
        <v>28</v>
      </c>
      <c r="E571" s="25" t="s">
        <v>499</v>
      </c>
      <c r="F571" s="25" t="s">
        <v>467</v>
      </c>
      <c r="G571" s="135"/>
      <c r="H571" s="524"/>
      <c r="I571" s="135"/>
      <c r="J571" s="26">
        <f>H571+I571</f>
        <v>0</v>
      </c>
      <c r="K571" s="26"/>
      <c r="L571" s="26">
        <f>J571+K571</f>
        <v>0</v>
      </c>
      <c r="M571" s="40"/>
      <c r="N571" s="29"/>
      <c r="O571" s="15">
        <f t="shared" si="179"/>
        <v>0</v>
      </c>
    </row>
    <row r="572" spans="1:15" s="148" customFormat="1" ht="15">
      <c r="A572" s="167" t="s">
        <v>63</v>
      </c>
      <c r="B572" s="32" t="s">
        <v>421</v>
      </c>
      <c r="C572" s="32" t="s">
        <v>32</v>
      </c>
      <c r="D572" s="32"/>
      <c r="E572" s="32"/>
      <c r="F572" s="32"/>
      <c r="G572" s="520" t="e">
        <f>G595+G601+#REF!</f>
        <v>#REF!</v>
      </c>
      <c r="H572" s="523">
        <f>H595+H601+H573</f>
        <v>682.72</v>
      </c>
      <c r="I572" s="523">
        <f>I595+I601+I573</f>
        <v>0</v>
      </c>
      <c r="J572" s="622">
        <f>J573+J577+J595+J601+J604</f>
        <v>116606.483</v>
      </c>
      <c r="K572" s="622">
        <f>K573+K577+K595+K601+K604</f>
        <v>-984.807</v>
      </c>
      <c r="L572" s="622">
        <f>L573+L577+L595+L601+L604</f>
        <v>115621.67599999999</v>
      </c>
      <c r="M572" s="34">
        <f>M573+M577+M595+M601</f>
        <v>0</v>
      </c>
      <c r="N572" s="85">
        <f>N573+N577+N595+N601</f>
        <v>7042.476</v>
      </c>
      <c r="O572" s="15">
        <f t="shared" si="179"/>
        <v>0</v>
      </c>
    </row>
    <row r="573" spans="1:15" ht="18" customHeight="1">
      <c r="A573" s="168" t="s">
        <v>65</v>
      </c>
      <c r="B573" s="24" t="s">
        <v>421</v>
      </c>
      <c r="C573" s="24" t="s">
        <v>32</v>
      </c>
      <c r="D573" s="24" t="s">
        <v>21</v>
      </c>
      <c r="E573" s="24"/>
      <c r="F573" s="24"/>
      <c r="G573" s="120"/>
      <c r="H573" s="120">
        <f>H574</f>
        <v>667</v>
      </c>
      <c r="I573" s="120">
        <f aca="true" t="shared" si="194" ref="I573:N575">I574</f>
        <v>0</v>
      </c>
      <c r="J573" s="504">
        <f>J574</f>
        <v>920.933</v>
      </c>
      <c r="K573" s="504">
        <f t="shared" si="194"/>
        <v>-516.553</v>
      </c>
      <c r="L573" s="504">
        <f t="shared" si="194"/>
        <v>404.38</v>
      </c>
      <c r="M573" s="169">
        <f t="shared" si="194"/>
        <v>0</v>
      </c>
      <c r="N573" s="170">
        <f t="shared" si="194"/>
        <v>404.38</v>
      </c>
      <c r="O573" s="15">
        <f t="shared" si="179"/>
        <v>0</v>
      </c>
    </row>
    <row r="574" spans="1:15" ht="39.75" customHeight="1">
      <c r="A574" s="164" t="s">
        <v>482</v>
      </c>
      <c r="B574" s="25" t="s">
        <v>421</v>
      </c>
      <c r="C574" s="25" t="s">
        <v>32</v>
      </c>
      <c r="D574" s="25" t="s">
        <v>21</v>
      </c>
      <c r="E574" s="25" t="s">
        <v>483</v>
      </c>
      <c r="F574" s="25"/>
      <c r="G574" s="171"/>
      <c r="H574" s="171">
        <f>H575</f>
        <v>667</v>
      </c>
      <c r="I574" s="171">
        <f t="shared" si="194"/>
        <v>0</v>
      </c>
      <c r="J574" s="26">
        <f t="shared" si="194"/>
        <v>920.933</v>
      </c>
      <c r="K574" s="26">
        <f t="shared" si="194"/>
        <v>-516.553</v>
      </c>
      <c r="L574" s="26">
        <f t="shared" si="194"/>
        <v>404.38</v>
      </c>
      <c r="M574" s="119">
        <f t="shared" si="194"/>
        <v>0</v>
      </c>
      <c r="N574" s="54">
        <f t="shared" si="194"/>
        <v>404.38</v>
      </c>
      <c r="O574" s="15">
        <f t="shared" si="179"/>
        <v>0</v>
      </c>
    </row>
    <row r="575" spans="1:15" ht="41.25" customHeight="1">
      <c r="A575" s="164" t="s">
        <v>509</v>
      </c>
      <c r="B575" s="25" t="s">
        <v>421</v>
      </c>
      <c r="C575" s="25" t="s">
        <v>32</v>
      </c>
      <c r="D575" s="25" t="s">
        <v>21</v>
      </c>
      <c r="E575" s="25" t="s">
        <v>465</v>
      </c>
      <c r="F575" s="25"/>
      <c r="G575" s="171"/>
      <c r="H575" s="171">
        <f>H576</f>
        <v>667</v>
      </c>
      <c r="I575" s="171">
        <f t="shared" si="194"/>
        <v>0</v>
      </c>
      <c r="J575" s="26">
        <f t="shared" si="194"/>
        <v>920.933</v>
      </c>
      <c r="K575" s="26">
        <f t="shared" si="194"/>
        <v>-516.553</v>
      </c>
      <c r="L575" s="26">
        <f t="shared" si="194"/>
        <v>404.38</v>
      </c>
      <c r="M575" s="119">
        <f t="shared" si="194"/>
        <v>0</v>
      </c>
      <c r="N575" s="54">
        <f t="shared" si="194"/>
        <v>404.38</v>
      </c>
      <c r="O575" s="15">
        <f t="shared" si="179"/>
        <v>0</v>
      </c>
    </row>
    <row r="576" spans="1:15" ht="18" customHeight="1">
      <c r="A576" s="164" t="s">
        <v>466</v>
      </c>
      <c r="B576" s="25" t="s">
        <v>421</v>
      </c>
      <c r="C576" s="25" t="s">
        <v>32</v>
      </c>
      <c r="D576" s="25" t="s">
        <v>21</v>
      </c>
      <c r="E576" s="25" t="s">
        <v>465</v>
      </c>
      <c r="F576" s="25" t="s">
        <v>467</v>
      </c>
      <c r="G576" s="171"/>
      <c r="H576" s="171">
        <v>667</v>
      </c>
      <c r="I576" s="171"/>
      <c r="J576" s="26">
        <v>920.933</v>
      </c>
      <c r="K576" s="26">
        <f>-451.5-65.053</f>
        <v>-516.553</v>
      </c>
      <c r="L576" s="26">
        <f>J576+K576</f>
        <v>404.38</v>
      </c>
      <c r="M576" s="89"/>
      <c r="N576" s="29">
        <f>L576+M576</f>
        <v>404.38</v>
      </c>
      <c r="O576" s="15">
        <f t="shared" si="179"/>
        <v>0</v>
      </c>
    </row>
    <row r="577" spans="1:15" ht="15">
      <c r="A577" s="23" t="s">
        <v>66</v>
      </c>
      <c r="B577" s="24" t="s">
        <v>421</v>
      </c>
      <c r="C577" s="24" t="s">
        <v>32</v>
      </c>
      <c r="D577" s="24" t="s">
        <v>22</v>
      </c>
      <c r="E577" s="25"/>
      <c r="F577" s="25"/>
      <c r="G577" s="171"/>
      <c r="H577" s="171"/>
      <c r="I577" s="171"/>
      <c r="J577" s="504">
        <f>J578+J585+J592+J583</f>
        <v>115406.2</v>
      </c>
      <c r="K577" s="504">
        <f>K578+K585+K592+K583</f>
        <v>-468.254</v>
      </c>
      <c r="L577" s="504">
        <f>L578+L585+L592+L583</f>
        <v>114937.946</v>
      </c>
      <c r="M577" s="28">
        <f>M581+M585+M593</f>
        <v>0</v>
      </c>
      <c r="N577" s="29">
        <f>N581+N585+N593</f>
        <v>6598.946</v>
      </c>
      <c r="O577" s="15">
        <f t="shared" si="179"/>
        <v>0</v>
      </c>
    </row>
    <row r="578" spans="1:15" ht="60">
      <c r="A578" s="105" t="s">
        <v>464</v>
      </c>
      <c r="B578" s="25" t="s">
        <v>421</v>
      </c>
      <c r="C578" s="25" t="s">
        <v>32</v>
      </c>
      <c r="D578" s="25" t="s">
        <v>22</v>
      </c>
      <c r="E578" s="25" t="s">
        <v>483</v>
      </c>
      <c r="F578" s="25"/>
      <c r="G578" s="171"/>
      <c r="H578" s="171"/>
      <c r="I578" s="171"/>
      <c r="J578" s="26">
        <f>J579+J581</f>
        <v>75532.264</v>
      </c>
      <c r="K578" s="26">
        <f>K579+K581</f>
        <v>-168.25400000000002</v>
      </c>
      <c r="L578" s="26">
        <f>L579+L581</f>
        <v>75364.01</v>
      </c>
      <c r="M578" s="28"/>
      <c r="N578" s="29"/>
      <c r="O578" s="15">
        <f t="shared" si="179"/>
        <v>0</v>
      </c>
    </row>
    <row r="579" spans="1:15" ht="60">
      <c r="A579" s="105" t="s">
        <v>464</v>
      </c>
      <c r="B579" s="25" t="s">
        <v>421</v>
      </c>
      <c r="C579" s="25" t="s">
        <v>32</v>
      </c>
      <c r="D579" s="25" t="s">
        <v>22</v>
      </c>
      <c r="E579" s="25" t="s">
        <v>943</v>
      </c>
      <c r="F579" s="25"/>
      <c r="G579" s="171"/>
      <c r="H579" s="171"/>
      <c r="I579" s="171"/>
      <c r="J579" s="26">
        <f>J580</f>
        <v>72000</v>
      </c>
      <c r="K579" s="26">
        <f>K580</f>
        <v>200</v>
      </c>
      <c r="L579" s="26">
        <f>L580</f>
        <v>72200</v>
      </c>
      <c r="M579" s="28"/>
      <c r="N579" s="29"/>
      <c r="O579" s="15">
        <f t="shared" si="179"/>
        <v>0</v>
      </c>
    </row>
    <row r="580" spans="1:15" ht="15">
      <c r="A580" s="105" t="s">
        <v>466</v>
      </c>
      <c r="B580" s="25" t="s">
        <v>421</v>
      </c>
      <c r="C580" s="25" t="s">
        <v>32</v>
      </c>
      <c r="D580" s="25" t="s">
        <v>22</v>
      </c>
      <c r="E580" s="25" t="s">
        <v>943</v>
      </c>
      <c r="F580" s="25" t="s">
        <v>467</v>
      </c>
      <c r="G580" s="171"/>
      <c r="H580" s="171"/>
      <c r="I580" s="171"/>
      <c r="J580" s="26">
        <v>72000</v>
      </c>
      <c r="K580" s="26">
        <f>200</f>
        <v>200</v>
      </c>
      <c r="L580" s="26">
        <f>J580+K580</f>
        <v>72200</v>
      </c>
      <c r="M580" s="28"/>
      <c r="N580" s="29"/>
      <c r="O580" s="15">
        <f t="shared" si="179"/>
        <v>0</v>
      </c>
    </row>
    <row r="581" spans="1:15" ht="60">
      <c r="A581" s="105" t="s">
        <v>464</v>
      </c>
      <c r="B581" s="25" t="s">
        <v>421</v>
      </c>
      <c r="C581" s="25" t="s">
        <v>32</v>
      </c>
      <c r="D581" s="25" t="s">
        <v>22</v>
      </c>
      <c r="E581" s="25" t="s">
        <v>465</v>
      </c>
      <c r="F581" s="25"/>
      <c r="G581" s="171"/>
      <c r="H581" s="171"/>
      <c r="I581" s="171"/>
      <c r="J581" s="26">
        <f>J582</f>
        <v>3532.264</v>
      </c>
      <c r="K581" s="26">
        <f>K582</f>
        <v>-368.254</v>
      </c>
      <c r="L581" s="26">
        <f>L582</f>
        <v>3164.01</v>
      </c>
      <c r="M581" s="28">
        <f>M582+M583</f>
        <v>0</v>
      </c>
      <c r="N581" s="29">
        <f>N582+N583</f>
        <v>3164.01</v>
      </c>
      <c r="O581" s="15">
        <f t="shared" si="179"/>
        <v>0</v>
      </c>
    </row>
    <row r="582" spans="1:15" ht="16.5" customHeight="1">
      <c r="A582" s="105" t="s">
        <v>466</v>
      </c>
      <c r="B582" s="25" t="s">
        <v>421</v>
      </c>
      <c r="C582" s="25" t="s">
        <v>32</v>
      </c>
      <c r="D582" s="25" t="s">
        <v>22</v>
      </c>
      <c r="E582" s="25" t="s">
        <v>465</v>
      </c>
      <c r="F582" s="25" t="s">
        <v>467</v>
      </c>
      <c r="G582" s="171"/>
      <c r="H582" s="171"/>
      <c r="I582" s="171"/>
      <c r="J582" s="26">
        <v>3532.264</v>
      </c>
      <c r="K582" s="26">
        <v>-368.254</v>
      </c>
      <c r="L582" s="26">
        <f>J582+K582</f>
        <v>3164.01</v>
      </c>
      <c r="M582" s="89"/>
      <c r="N582" s="29">
        <f>L582+M582</f>
        <v>3164.01</v>
      </c>
      <c r="O582" s="15">
        <f t="shared" si="179"/>
        <v>0</v>
      </c>
    </row>
    <row r="583" spans="1:15" ht="30" customHeight="1">
      <c r="A583" s="30" t="s">
        <v>143</v>
      </c>
      <c r="B583" s="25" t="s">
        <v>421</v>
      </c>
      <c r="C583" s="25" t="s">
        <v>32</v>
      </c>
      <c r="D583" s="25" t="s">
        <v>22</v>
      </c>
      <c r="E583" s="25" t="s">
        <v>201</v>
      </c>
      <c r="F583" s="25"/>
      <c r="G583" s="171"/>
      <c r="H583" s="171"/>
      <c r="I583" s="171"/>
      <c r="J583" s="26">
        <f>J584</f>
        <v>300</v>
      </c>
      <c r="K583" s="26">
        <f>K584</f>
        <v>-300</v>
      </c>
      <c r="L583" s="26">
        <f>L584</f>
        <v>0</v>
      </c>
      <c r="M583" s="89"/>
      <c r="N583" s="29">
        <f>L583+M583</f>
        <v>0</v>
      </c>
      <c r="O583" s="15">
        <f t="shared" si="179"/>
        <v>0</v>
      </c>
    </row>
    <row r="584" spans="1:15" ht="30" customHeight="1">
      <c r="A584" s="30" t="s">
        <v>195</v>
      </c>
      <c r="B584" s="25" t="s">
        <v>421</v>
      </c>
      <c r="C584" s="25" t="s">
        <v>32</v>
      </c>
      <c r="D584" s="25" t="s">
        <v>22</v>
      </c>
      <c r="E584" s="25" t="s">
        <v>201</v>
      </c>
      <c r="F584" s="25" t="s">
        <v>140</v>
      </c>
      <c r="G584" s="171"/>
      <c r="H584" s="171"/>
      <c r="I584" s="171"/>
      <c r="J584" s="26">
        <v>300</v>
      </c>
      <c r="K584" s="26">
        <f>-159.28-140.72</f>
        <v>-300</v>
      </c>
      <c r="L584" s="26">
        <f>J584+K584</f>
        <v>0</v>
      </c>
      <c r="M584" s="89"/>
      <c r="N584" s="29"/>
      <c r="O584" s="15">
        <f t="shared" si="179"/>
        <v>0</v>
      </c>
    </row>
    <row r="585" spans="1:15" ht="15" customHeight="1">
      <c r="A585" s="105" t="s">
        <v>487</v>
      </c>
      <c r="B585" s="25" t="s">
        <v>421</v>
      </c>
      <c r="C585" s="25" t="s">
        <v>32</v>
      </c>
      <c r="D585" s="25" t="s">
        <v>22</v>
      </c>
      <c r="E585" s="25" t="s">
        <v>488</v>
      </c>
      <c r="F585" s="25"/>
      <c r="G585" s="26">
        <f aca="true" t="shared" si="195" ref="G585:L585">G586+G590+G588</f>
        <v>158.016</v>
      </c>
      <c r="H585" s="26">
        <f t="shared" si="195"/>
        <v>2334</v>
      </c>
      <c r="I585" s="26">
        <f t="shared" si="195"/>
        <v>0</v>
      </c>
      <c r="J585" s="26">
        <f t="shared" si="195"/>
        <v>36139</v>
      </c>
      <c r="K585" s="26">
        <f t="shared" si="195"/>
        <v>0</v>
      </c>
      <c r="L585" s="26">
        <f t="shared" si="195"/>
        <v>36139</v>
      </c>
      <c r="M585" s="27">
        <f>M586</f>
        <v>0</v>
      </c>
      <c r="N585" s="52">
        <f>N586</f>
        <v>0</v>
      </c>
      <c r="O585" s="15">
        <f t="shared" si="179"/>
        <v>0</v>
      </c>
    </row>
    <row r="586" spans="1:15" ht="45">
      <c r="A586" s="99" t="s">
        <v>510</v>
      </c>
      <c r="B586" s="25" t="s">
        <v>421</v>
      </c>
      <c r="C586" s="25" t="s">
        <v>32</v>
      </c>
      <c r="D586" s="25" t="s">
        <v>22</v>
      </c>
      <c r="E586" s="25" t="s">
        <v>491</v>
      </c>
      <c r="F586" s="25"/>
      <c r="G586" s="527">
        <f aca="true" t="shared" si="196" ref="G586:L586">G587</f>
        <v>52.672</v>
      </c>
      <c r="H586" s="527">
        <f t="shared" si="196"/>
        <v>778</v>
      </c>
      <c r="I586" s="527">
        <f t="shared" si="196"/>
        <v>0</v>
      </c>
      <c r="J586" s="26">
        <f t="shared" si="196"/>
        <v>0</v>
      </c>
      <c r="K586" s="26">
        <f t="shared" si="196"/>
        <v>0</v>
      </c>
      <c r="L586" s="26">
        <f t="shared" si="196"/>
        <v>0</v>
      </c>
      <c r="M586" s="27">
        <f>M587</f>
        <v>0</v>
      </c>
      <c r="N586" s="52">
        <f>N587</f>
        <v>0</v>
      </c>
      <c r="O586" s="15">
        <f t="shared" si="179"/>
        <v>0</v>
      </c>
    </row>
    <row r="587" spans="1:15" ht="15">
      <c r="A587" s="99" t="s">
        <v>466</v>
      </c>
      <c r="B587" s="25" t="s">
        <v>421</v>
      </c>
      <c r="C587" s="25" t="s">
        <v>32</v>
      </c>
      <c r="D587" s="25" t="s">
        <v>22</v>
      </c>
      <c r="E587" s="25" t="s">
        <v>491</v>
      </c>
      <c r="F587" s="25" t="s">
        <v>467</v>
      </c>
      <c r="G587" s="527">
        <f>52.672</f>
        <v>52.672</v>
      </c>
      <c r="H587" s="524">
        <v>778</v>
      </c>
      <c r="I587" s="527"/>
      <c r="J587" s="26">
        <f>4000-4000</f>
        <v>0</v>
      </c>
      <c r="K587" s="26"/>
      <c r="L587" s="26">
        <f>J587+K587</f>
        <v>0</v>
      </c>
      <c r="M587" s="27"/>
      <c r="N587" s="29">
        <f>L587+M587</f>
        <v>0</v>
      </c>
      <c r="O587" s="15">
        <f t="shared" si="179"/>
        <v>0</v>
      </c>
    </row>
    <row r="588" spans="1:15" ht="45">
      <c r="A588" s="99" t="s">
        <v>510</v>
      </c>
      <c r="B588" s="25" t="s">
        <v>421</v>
      </c>
      <c r="C588" s="25" t="s">
        <v>32</v>
      </c>
      <c r="D588" s="25" t="s">
        <v>22</v>
      </c>
      <c r="E588" s="25" t="s">
        <v>490</v>
      </c>
      <c r="F588" s="25"/>
      <c r="G588" s="527">
        <f aca="true" t="shared" si="197" ref="G588:L588">G589</f>
        <v>52.672</v>
      </c>
      <c r="H588" s="527">
        <f t="shared" si="197"/>
        <v>778</v>
      </c>
      <c r="I588" s="527">
        <f t="shared" si="197"/>
        <v>0</v>
      </c>
      <c r="J588" s="26">
        <f t="shared" si="197"/>
        <v>14000</v>
      </c>
      <c r="K588" s="26">
        <f t="shared" si="197"/>
        <v>0</v>
      </c>
      <c r="L588" s="26">
        <f t="shared" si="197"/>
        <v>14000</v>
      </c>
      <c r="M588" s="27"/>
      <c r="N588" s="29"/>
      <c r="O588" s="15">
        <f t="shared" si="179"/>
        <v>0</v>
      </c>
    </row>
    <row r="589" spans="1:15" ht="15">
      <c r="A589" s="99" t="s">
        <v>466</v>
      </c>
      <c r="B589" s="25" t="s">
        <v>421</v>
      </c>
      <c r="C589" s="25" t="s">
        <v>32</v>
      </c>
      <c r="D589" s="25" t="s">
        <v>22</v>
      </c>
      <c r="E589" s="25" t="s">
        <v>490</v>
      </c>
      <c r="F589" s="25" t="s">
        <v>467</v>
      </c>
      <c r="G589" s="527">
        <f>52.672</f>
        <v>52.672</v>
      </c>
      <c r="H589" s="524">
        <v>778</v>
      </c>
      <c r="I589" s="527"/>
      <c r="J589" s="26">
        <v>14000</v>
      </c>
      <c r="K589" s="26"/>
      <c r="L589" s="26">
        <f>J589+K589</f>
        <v>14000</v>
      </c>
      <c r="M589" s="27"/>
      <c r="N589" s="29"/>
      <c r="O589" s="15">
        <f t="shared" si="179"/>
        <v>0</v>
      </c>
    </row>
    <row r="590" spans="1:15" ht="45">
      <c r="A590" s="99" t="s">
        <v>511</v>
      </c>
      <c r="B590" s="25" t="s">
        <v>421</v>
      </c>
      <c r="C590" s="25" t="s">
        <v>32</v>
      </c>
      <c r="D590" s="25" t="s">
        <v>22</v>
      </c>
      <c r="E590" s="25" t="s">
        <v>512</v>
      </c>
      <c r="F590" s="25"/>
      <c r="G590" s="527">
        <f aca="true" t="shared" si="198" ref="G590:L590">G591</f>
        <v>52.672</v>
      </c>
      <c r="H590" s="527">
        <f t="shared" si="198"/>
        <v>778</v>
      </c>
      <c r="I590" s="527">
        <f t="shared" si="198"/>
        <v>0</v>
      </c>
      <c r="J590" s="26">
        <f t="shared" si="198"/>
        <v>22139</v>
      </c>
      <c r="K590" s="26">
        <f t="shared" si="198"/>
        <v>0</v>
      </c>
      <c r="L590" s="26">
        <f t="shared" si="198"/>
        <v>22139</v>
      </c>
      <c r="M590" s="27"/>
      <c r="N590" s="29"/>
      <c r="O590" s="15">
        <f t="shared" si="179"/>
        <v>0</v>
      </c>
    </row>
    <row r="591" spans="1:15" ht="15">
      <c r="A591" s="99" t="s">
        <v>466</v>
      </c>
      <c r="B591" s="25" t="s">
        <v>421</v>
      </c>
      <c r="C591" s="25" t="s">
        <v>32</v>
      </c>
      <c r="D591" s="25" t="s">
        <v>22</v>
      </c>
      <c r="E591" s="25" t="s">
        <v>512</v>
      </c>
      <c r="F591" s="25" t="s">
        <v>467</v>
      </c>
      <c r="G591" s="527">
        <f>52.672</f>
        <v>52.672</v>
      </c>
      <c r="H591" s="524">
        <v>778</v>
      </c>
      <c r="I591" s="527"/>
      <c r="J591" s="26">
        <v>22139</v>
      </c>
      <c r="K591" s="26"/>
      <c r="L591" s="26">
        <f>J591+K591</f>
        <v>22139</v>
      </c>
      <c r="M591" s="27"/>
      <c r="N591" s="29"/>
      <c r="O591" s="15">
        <f aca="true" t="shared" si="199" ref="O591:O654">J591+K591-L591</f>
        <v>0</v>
      </c>
    </row>
    <row r="592" spans="1:15" ht="75">
      <c r="A592" s="30" t="s">
        <v>513</v>
      </c>
      <c r="B592" s="25" t="s">
        <v>421</v>
      </c>
      <c r="C592" s="25" t="s">
        <v>32</v>
      </c>
      <c r="D592" s="25" t="s">
        <v>22</v>
      </c>
      <c r="E592" s="25" t="s">
        <v>212</v>
      </c>
      <c r="F592" s="25"/>
      <c r="G592" s="527"/>
      <c r="H592" s="524"/>
      <c r="I592" s="527"/>
      <c r="J592" s="26">
        <f>J593</f>
        <v>3434.936</v>
      </c>
      <c r="K592" s="26">
        <f>K593</f>
        <v>0</v>
      </c>
      <c r="L592" s="26">
        <f>L593</f>
        <v>3434.936</v>
      </c>
      <c r="M592" s="27"/>
      <c r="N592" s="29"/>
      <c r="O592" s="15">
        <f t="shared" si="199"/>
        <v>0</v>
      </c>
    </row>
    <row r="593" spans="1:15" ht="28.5" customHeight="1">
      <c r="A593" s="30" t="s">
        <v>143</v>
      </c>
      <c r="B593" s="25" t="s">
        <v>421</v>
      </c>
      <c r="C593" s="25" t="s">
        <v>32</v>
      </c>
      <c r="D593" s="25" t="s">
        <v>22</v>
      </c>
      <c r="E593" s="25" t="s">
        <v>213</v>
      </c>
      <c r="F593" s="25"/>
      <c r="G593" s="135">
        <f aca="true" t="shared" si="200" ref="G593:N593">G594</f>
        <v>200</v>
      </c>
      <c r="H593" s="135">
        <f t="shared" si="200"/>
        <v>0</v>
      </c>
      <c r="I593" s="135">
        <f t="shared" si="200"/>
        <v>0</v>
      </c>
      <c r="J593" s="26">
        <f t="shared" si="200"/>
        <v>3434.936</v>
      </c>
      <c r="K593" s="26">
        <f t="shared" si="200"/>
        <v>0</v>
      </c>
      <c r="L593" s="26">
        <f t="shared" si="200"/>
        <v>3434.936</v>
      </c>
      <c r="M593" s="40">
        <f t="shared" si="200"/>
        <v>0</v>
      </c>
      <c r="N593" s="41">
        <f t="shared" si="200"/>
        <v>3434.936</v>
      </c>
      <c r="O593" s="15">
        <f t="shared" si="199"/>
        <v>0</v>
      </c>
    </row>
    <row r="594" spans="1:15" ht="18" customHeight="1">
      <c r="A594" s="30" t="s">
        <v>300</v>
      </c>
      <c r="B594" s="25" t="s">
        <v>421</v>
      </c>
      <c r="C594" s="25" t="s">
        <v>32</v>
      </c>
      <c r="D594" s="25" t="s">
        <v>22</v>
      </c>
      <c r="E594" s="25" t="s">
        <v>213</v>
      </c>
      <c r="F594" s="25" t="s">
        <v>301</v>
      </c>
      <c r="G594" s="135">
        <v>200</v>
      </c>
      <c r="H594" s="524"/>
      <c r="I594" s="135"/>
      <c r="J594" s="26">
        <v>3434.936</v>
      </c>
      <c r="K594" s="26"/>
      <c r="L594" s="26">
        <f>J594+K594</f>
        <v>3434.936</v>
      </c>
      <c r="M594" s="40"/>
      <c r="N594" s="29">
        <f>L594+M594</f>
        <v>3434.936</v>
      </c>
      <c r="O594" s="15">
        <f t="shared" si="199"/>
        <v>0</v>
      </c>
    </row>
    <row r="595" spans="1:15" s="102" customFormat="1" ht="29.25">
      <c r="A595" s="157" t="s">
        <v>314</v>
      </c>
      <c r="B595" s="24" t="s">
        <v>421</v>
      </c>
      <c r="C595" s="24" t="s">
        <v>32</v>
      </c>
      <c r="D595" s="24" t="s">
        <v>28</v>
      </c>
      <c r="E595" s="24"/>
      <c r="F595" s="24"/>
      <c r="G595" s="192">
        <f aca="true" t="shared" si="201" ref="G595:M595">G596+G599</f>
        <v>50</v>
      </c>
      <c r="H595" s="192">
        <f t="shared" si="201"/>
        <v>0</v>
      </c>
      <c r="I595" s="192">
        <f t="shared" si="201"/>
        <v>0</v>
      </c>
      <c r="J595" s="504">
        <f>J596+J599</f>
        <v>23.65</v>
      </c>
      <c r="K595" s="504">
        <f t="shared" si="201"/>
        <v>0</v>
      </c>
      <c r="L595" s="504">
        <f>L596+L599</f>
        <v>23.65</v>
      </c>
      <c r="M595" s="65">
        <f t="shared" si="201"/>
        <v>0</v>
      </c>
      <c r="N595" s="111">
        <f>N596+N599</f>
        <v>23.65</v>
      </c>
      <c r="O595" s="15">
        <f t="shared" si="199"/>
        <v>0</v>
      </c>
    </row>
    <row r="596" spans="1:15" ht="30">
      <c r="A596" s="160" t="s">
        <v>126</v>
      </c>
      <c r="B596" s="25" t="s">
        <v>421</v>
      </c>
      <c r="C596" s="25" t="s">
        <v>32</v>
      </c>
      <c r="D596" s="25" t="s">
        <v>28</v>
      </c>
      <c r="E596" s="25" t="s">
        <v>127</v>
      </c>
      <c r="F596" s="25"/>
      <c r="G596" s="135">
        <f aca="true" t="shared" si="202" ref="G596:N597">G597</f>
        <v>-42.5</v>
      </c>
      <c r="H596" s="135">
        <f t="shared" si="202"/>
        <v>0</v>
      </c>
      <c r="I596" s="135">
        <f t="shared" si="202"/>
        <v>0</v>
      </c>
      <c r="J596" s="26">
        <f t="shared" si="202"/>
        <v>23.65</v>
      </c>
      <c r="K596" s="26">
        <f t="shared" si="202"/>
        <v>0</v>
      </c>
      <c r="L596" s="26">
        <f t="shared" si="202"/>
        <v>23.65</v>
      </c>
      <c r="M596" s="40">
        <f t="shared" si="202"/>
        <v>0</v>
      </c>
      <c r="N596" s="41">
        <f t="shared" si="202"/>
        <v>23.65</v>
      </c>
      <c r="O596" s="15">
        <f t="shared" si="199"/>
        <v>0</v>
      </c>
    </row>
    <row r="597" spans="1:15" ht="30">
      <c r="A597" s="160" t="s">
        <v>128</v>
      </c>
      <c r="B597" s="25" t="s">
        <v>421</v>
      </c>
      <c r="C597" s="25" t="s">
        <v>32</v>
      </c>
      <c r="D597" s="25" t="s">
        <v>28</v>
      </c>
      <c r="E597" s="25" t="s">
        <v>129</v>
      </c>
      <c r="F597" s="25"/>
      <c r="G597" s="135">
        <f t="shared" si="202"/>
        <v>-42.5</v>
      </c>
      <c r="H597" s="135">
        <f t="shared" si="202"/>
        <v>0</v>
      </c>
      <c r="I597" s="135">
        <f t="shared" si="202"/>
        <v>0</v>
      </c>
      <c r="J597" s="26">
        <f t="shared" si="202"/>
        <v>23.65</v>
      </c>
      <c r="K597" s="26">
        <f t="shared" si="202"/>
        <v>0</v>
      </c>
      <c r="L597" s="26">
        <f t="shared" si="202"/>
        <v>23.65</v>
      </c>
      <c r="M597" s="40">
        <f t="shared" si="202"/>
        <v>0</v>
      </c>
      <c r="N597" s="41">
        <f t="shared" si="202"/>
        <v>23.65</v>
      </c>
      <c r="O597" s="15">
        <f t="shared" si="199"/>
        <v>0</v>
      </c>
    </row>
    <row r="598" spans="1:16" ht="30">
      <c r="A598" s="160" t="s">
        <v>514</v>
      </c>
      <c r="B598" s="25" t="s">
        <v>421</v>
      </c>
      <c r="C598" s="25" t="s">
        <v>32</v>
      </c>
      <c r="D598" s="25" t="s">
        <v>28</v>
      </c>
      <c r="E598" s="25" t="s">
        <v>129</v>
      </c>
      <c r="F598" s="25" t="s">
        <v>131</v>
      </c>
      <c r="G598" s="135">
        <v>-42.5</v>
      </c>
      <c r="H598" s="524"/>
      <c r="I598" s="135"/>
      <c r="J598" s="26">
        <v>23.65</v>
      </c>
      <c r="K598" s="26"/>
      <c r="L598" s="26">
        <f>J598+K598</f>
        <v>23.65</v>
      </c>
      <c r="M598" s="40"/>
      <c r="N598" s="29">
        <f>L598+M598</f>
        <v>23.65</v>
      </c>
      <c r="O598" s="15">
        <f t="shared" si="199"/>
        <v>0</v>
      </c>
      <c r="P598" s="42">
        <f>L598-O598</f>
        <v>23.65</v>
      </c>
    </row>
    <row r="599" spans="1:15" ht="30" hidden="1">
      <c r="A599" s="30" t="s">
        <v>128</v>
      </c>
      <c r="B599" s="25" t="s">
        <v>421</v>
      </c>
      <c r="C599" s="25" t="s">
        <v>32</v>
      </c>
      <c r="D599" s="25" t="s">
        <v>28</v>
      </c>
      <c r="E599" s="25" t="s">
        <v>132</v>
      </c>
      <c r="F599" s="25"/>
      <c r="G599" s="524">
        <f aca="true" t="shared" si="203" ref="G599:N599">G600</f>
        <v>92.5</v>
      </c>
      <c r="H599" s="524">
        <f t="shared" si="203"/>
        <v>0</v>
      </c>
      <c r="I599" s="524">
        <f t="shared" si="203"/>
        <v>0</v>
      </c>
      <c r="J599" s="26">
        <f t="shared" si="203"/>
        <v>0</v>
      </c>
      <c r="K599" s="26">
        <f t="shared" si="203"/>
        <v>0</v>
      </c>
      <c r="L599" s="26">
        <f t="shared" si="203"/>
        <v>0</v>
      </c>
      <c r="M599" s="28">
        <f t="shared" si="203"/>
        <v>0</v>
      </c>
      <c r="N599" s="29">
        <f t="shared" si="203"/>
        <v>0</v>
      </c>
      <c r="O599" s="15">
        <f t="shared" si="199"/>
        <v>0</v>
      </c>
    </row>
    <row r="600" spans="1:15" ht="30" hidden="1">
      <c r="A600" s="30" t="s">
        <v>133</v>
      </c>
      <c r="B600" s="25" t="s">
        <v>421</v>
      </c>
      <c r="C600" s="25" t="s">
        <v>32</v>
      </c>
      <c r="D600" s="25" t="s">
        <v>28</v>
      </c>
      <c r="E600" s="25" t="s">
        <v>132</v>
      </c>
      <c r="F600" s="25" t="s">
        <v>131</v>
      </c>
      <c r="G600" s="524">
        <f>42.5+50</f>
        <v>92.5</v>
      </c>
      <c r="H600" s="524"/>
      <c r="I600" s="524"/>
      <c r="J600" s="26"/>
      <c r="K600" s="26"/>
      <c r="L600" s="26">
        <f>J600+K600</f>
        <v>0</v>
      </c>
      <c r="M600" s="28"/>
      <c r="N600" s="29">
        <f>L600+M600</f>
        <v>0</v>
      </c>
      <c r="O600" s="15">
        <f t="shared" si="199"/>
        <v>0</v>
      </c>
    </row>
    <row r="601" spans="1:15" s="102" customFormat="1" ht="30">
      <c r="A601" s="105" t="s">
        <v>68</v>
      </c>
      <c r="B601" s="24" t="s">
        <v>421</v>
      </c>
      <c r="C601" s="24" t="s">
        <v>32</v>
      </c>
      <c r="D601" s="24" t="s">
        <v>32</v>
      </c>
      <c r="E601" s="24"/>
      <c r="F601" s="24"/>
      <c r="G601" s="503">
        <f aca="true" t="shared" si="204" ref="G601:N602">G602</f>
        <v>0</v>
      </c>
      <c r="H601" s="503">
        <f t="shared" si="204"/>
        <v>15.72</v>
      </c>
      <c r="I601" s="503">
        <f t="shared" si="204"/>
        <v>0</v>
      </c>
      <c r="J601" s="504">
        <f t="shared" si="204"/>
        <v>15.5</v>
      </c>
      <c r="K601" s="504">
        <f t="shared" si="204"/>
        <v>0</v>
      </c>
      <c r="L601" s="504">
        <f t="shared" si="204"/>
        <v>15.5</v>
      </c>
      <c r="M601" s="505">
        <f t="shared" si="204"/>
        <v>0</v>
      </c>
      <c r="N601" s="86">
        <f t="shared" si="204"/>
        <v>15.5</v>
      </c>
      <c r="O601" s="15">
        <f t="shared" si="199"/>
        <v>0</v>
      </c>
    </row>
    <row r="602" spans="1:15" ht="45">
      <c r="A602" s="105" t="s">
        <v>1029</v>
      </c>
      <c r="B602" s="25" t="s">
        <v>421</v>
      </c>
      <c r="C602" s="25" t="s">
        <v>32</v>
      </c>
      <c r="D602" s="25" t="s">
        <v>32</v>
      </c>
      <c r="E602" s="25" t="s">
        <v>1012</v>
      </c>
      <c r="F602" s="25"/>
      <c r="G602" s="135">
        <f t="shared" si="204"/>
        <v>0</v>
      </c>
      <c r="H602" s="135">
        <f t="shared" si="204"/>
        <v>15.72</v>
      </c>
      <c r="I602" s="135">
        <f t="shared" si="204"/>
        <v>0</v>
      </c>
      <c r="J602" s="26">
        <f t="shared" si="204"/>
        <v>15.5</v>
      </c>
      <c r="K602" s="26">
        <f t="shared" si="204"/>
        <v>0</v>
      </c>
      <c r="L602" s="26">
        <f t="shared" si="204"/>
        <v>15.5</v>
      </c>
      <c r="M602" s="40">
        <f t="shared" si="204"/>
        <v>0</v>
      </c>
      <c r="N602" s="41">
        <f t="shared" si="204"/>
        <v>15.5</v>
      </c>
      <c r="O602" s="15">
        <f t="shared" si="199"/>
        <v>0</v>
      </c>
    </row>
    <row r="603" spans="1:15" ht="30">
      <c r="A603" s="105" t="s">
        <v>133</v>
      </c>
      <c r="B603" s="25" t="s">
        <v>421</v>
      </c>
      <c r="C603" s="25" t="s">
        <v>32</v>
      </c>
      <c r="D603" s="25" t="s">
        <v>32</v>
      </c>
      <c r="E603" s="25" t="s">
        <v>1012</v>
      </c>
      <c r="F603" s="25" t="s">
        <v>131</v>
      </c>
      <c r="G603" s="135"/>
      <c r="H603" s="135">
        <v>15.72</v>
      </c>
      <c r="I603" s="135"/>
      <c r="J603" s="26">
        <v>15.5</v>
      </c>
      <c r="K603" s="26"/>
      <c r="L603" s="26">
        <f>J603+K603</f>
        <v>15.5</v>
      </c>
      <c r="M603" s="40"/>
      <c r="N603" s="29">
        <f>L603+M603</f>
        <v>15.5</v>
      </c>
      <c r="O603" s="15">
        <f t="shared" si="199"/>
        <v>0</v>
      </c>
    </row>
    <row r="604" spans="1:15" ht="29.25">
      <c r="A604" s="23" t="s">
        <v>69</v>
      </c>
      <c r="B604" s="24" t="s">
        <v>421</v>
      </c>
      <c r="C604" s="24" t="s">
        <v>32</v>
      </c>
      <c r="D604" s="24" t="s">
        <v>47</v>
      </c>
      <c r="E604" s="25"/>
      <c r="F604" s="25"/>
      <c r="G604" s="135"/>
      <c r="H604" s="135"/>
      <c r="I604" s="135"/>
      <c r="J604" s="26">
        <f aca="true" t="shared" si="205" ref="J604:L605">J605</f>
        <v>240.2</v>
      </c>
      <c r="K604" s="26">
        <f t="shared" si="205"/>
        <v>0</v>
      </c>
      <c r="L604" s="26">
        <f t="shared" si="205"/>
        <v>240.2</v>
      </c>
      <c r="M604" s="40"/>
      <c r="N604" s="29"/>
      <c r="O604" s="15">
        <f t="shared" si="199"/>
        <v>0</v>
      </c>
    </row>
    <row r="605" spans="1:15" ht="45">
      <c r="A605" s="30" t="s">
        <v>1076</v>
      </c>
      <c r="B605" s="25" t="s">
        <v>421</v>
      </c>
      <c r="C605" s="25" t="s">
        <v>32</v>
      </c>
      <c r="D605" s="25" t="s">
        <v>47</v>
      </c>
      <c r="E605" s="25" t="s">
        <v>174</v>
      </c>
      <c r="F605" s="25"/>
      <c r="G605" s="135"/>
      <c r="H605" s="135"/>
      <c r="I605" s="135"/>
      <c r="J605" s="26">
        <f t="shared" si="205"/>
        <v>240.2</v>
      </c>
      <c r="K605" s="26">
        <f t="shared" si="205"/>
        <v>0</v>
      </c>
      <c r="L605" s="26">
        <f t="shared" si="205"/>
        <v>240.2</v>
      </c>
      <c r="M605" s="40"/>
      <c r="N605" s="29"/>
      <c r="O605" s="15">
        <f t="shared" si="199"/>
        <v>0</v>
      </c>
    </row>
    <row r="606" spans="1:15" ht="30">
      <c r="A606" s="160" t="s">
        <v>514</v>
      </c>
      <c r="B606" s="25" t="s">
        <v>421</v>
      </c>
      <c r="C606" s="25" t="s">
        <v>32</v>
      </c>
      <c r="D606" s="25" t="s">
        <v>47</v>
      </c>
      <c r="E606" s="25" t="s">
        <v>174</v>
      </c>
      <c r="F606" s="25" t="s">
        <v>140</v>
      </c>
      <c r="G606" s="135"/>
      <c r="H606" s="135"/>
      <c r="I606" s="135"/>
      <c r="J606" s="26">
        <v>240.2</v>
      </c>
      <c r="K606" s="26"/>
      <c r="L606" s="26">
        <f>J606+K606</f>
        <v>240.2</v>
      </c>
      <c r="M606" s="40"/>
      <c r="N606" s="29"/>
      <c r="O606" s="15">
        <f t="shared" si="199"/>
        <v>0</v>
      </c>
    </row>
    <row r="607" spans="1:15" s="148" customFormat="1" ht="29.25">
      <c r="A607" s="162" t="s">
        <v>517</v>
      </c>
      <c r="B607" s="32" t="s">
        <v>421</v>
      </c>
      <c r="C607" s="32" t="s">
        <v>53</v>
      </c>
      <c r="D607" s="32"/>
      <c r="E607" s="32"/>
      <c r="F607" s="32"/>
      <c r="G607" s="520">
        <f>G614+G622</f>
        <v>50</v>
      </c>
      <c r="H607" s="520">
        <f>H614+H622</f>
        <v>710</v>
      </c>
      <c r="I607" s="520">
        <f>I614+I622</f>
        <v>0</v>
      </c>
      <c r="J607" s="622">
        <f>J614+J622+J608+J618</f>
        <v>176.737</v>
      </c>
      <c r="K607" s="622">
        <f>K614+K622+K608+K618</f>
        <v>687</v>
      </c>
      <c r="L607" s="622">
        <f>L614+L622+L608+L618</f>
        <v>863.737</v>
      </c>
      <c r="M607" s="38">
        <f>M614+M622+M608</f>
        <v>-102</v>
      </c>
      <c r="N607" s="39">
        <f>N614+N622+N608</f>
        <v>605</v>
      </c>
      <c r="O607" s="15">
        <f t="shared" si="199"/>
        <v>0</v>
      </c>
    </row>
    <row r="608" spans="1:15" s="148" customFormat="1" ht="15">
      <c r="A608" s="99" t="s">
        <v>72</v>
      </c>
      <c r="B608" s="24" t="s">
        <v>421</v>
      </c>
      <c r="C608" s="24" t="s">
        <v>53</v>
      </c>
      <c r="D608" s="24" t="s">
        <v>21</v>
      </c>
      <c r="E608" s="32"/>
      <c r="F608" s="32"/>
      <c r="G608" s="520"/>
      <c r="H608" s="520"/>
      <c r="I608" s="520"/>
      <c r="J608" s="504">
        <f>J609+J612</f>
        <v>0</v>
      </c>
      <c r="K608" s="504">
        <f>K609+K612</f>
        <v>707</v>
      </c>
      <c r="L608" s="504">
        <f>L609+L612</f>
        <v>707</v>
      </c>
      <c r="M608" s="505">
        <f>M609</f>
        <v>0</v>
      </c>
      <c r="N608" s="86">
        <f>N609</f>
        <v>707</v>
      </c>
      <c r="O608" s="15">
        <f t="shared" si="199"/>
        <v>0</v>
      </c>
    </row>
    <row r="609" spans="1:15" s="148" customFormat="1" ht="60">
      <c r="A609" s="99" t="s">
        <v>464</v>
      </c>
      <c r="B609" s="25" t="s">
        <v>421</v>
      </c>
      <c r="C609" s="25" t="s">
        <v>53</v>
      </c>
      <c r="D609" s="25" t="s">
        <v>21</v>
      </c>
      <c r="E609" s="25" t="s">
        <v>484</v>
      </c>
      <c r="F609" s="25"/>
      <c r="G609" s="549"/>
      <c r="H609" s="549"/>
      <c r="I609" s="549"/>
      <c r="J609" s="26">
        <f>J610+J611</f>
        <v>0</v>
      </c>
      <c r="K609" s="26">
        <f>K610+K611</f>
        <v>707</v>
      </c>
      <c r="L609" s="26">
        <f>L610+L611</f>
        <v>707</v>
      </c>
      <c r="M609" s="40">
        <f>M610+M611</f>
        <v>0</v>
      </c>
      <c r="N609" s="41">
        <f>N610+N611</f>
        <v>707</v>
      </c>
      <c r="O609" s="15">
        <f t="shared" si="199"/>
        <v>0</v>
      </c>
    </row>
    <row r="610" spans="1:15" s="148" customFormat="1" ht="15" hidden="1">
      <c r="A610" s="99" t="s">
        <v>466</v>
      </c>
      <c r="B610" s="25" t="s">
        <v>421</v>
      </c>
      <c r="C610" s="25" t="s">
        <v>53</v>
      </c>
      <c r="D610" s="25" t="s">
        <v>21</v>
      </c>
      <c r="E610" s="25" t="s">
        <v>479</v>
      </c>
      <c r="F610" s="25" t="s">
        <v>467</v>
      </c>
      <c r="G610" s="549"/>
      <c r="H610" s="549"/>
      <c r="I610" s="549"/>
      <c r="J610" s="629"/>
      <c r="K610" s="629"/>
      <c r="L610" s="26">
        <f>J610+K610</f>
        <v>0</v>
      </c>
      <c r="M610" s="172"/>
      <c r="N610" s="173">
        <f>L610+M610</f>
        <v>0</v>
      </c>
      <c r="O610" s="15">
        <f t="shared" si="199"/>
        <v>0</v>
      </c>
    </row>
    <row r="611" spans="1:15" s="148" customFormat="1" ht="30">
      <c r="A611" s="99" t="s">
        <v>478</v>
      </c>
      <c r="B611" s="25" t="s">
        <v>421</v>
      </c>
      <c r="C611" s="25" t="s">
        <v>53</v>
      </c>
      <c r="D611" s="25" t="s">
        <v>21</v>
      </c>
      <c r="E611" s="25" t="s">
        <v>465</v>
      </c>
      <c r="F611" s="25" t="s">
        <v>467</v>
      </c>
      <c r="G611" s="549"/>
      <c r="H611" s="549"/>
      <c r="I611" s="549"/>
      <c r="J611" s="629"/>
      <c r="K611" s="26">
        <v>707</v>
      </c>
      <c r="L611" s="26">
        <f>J611+K611</f>
        <v>707</v>
      </c>
      <c r="M611" s="172"/>
      <c r="N611" s="173">
        <f>L611+M611</f>
        <v>707</v>
      </c>
      <c r="O611" s="15">
        <f t="shared" si="199"/>
        <v>0</v>
      </c>
    </row>
    <row r="612" spans="1:15" s="148" customFormat="1" ht="30" hidden="1">
      <c r="A612" s="166" t="s">
        <v>518</v>
      </c>
      <c r="B612" s="25" t="s">
        <v>421</v>
      </c>
      <c r="C612" s="25" t="s">
        <v>53</v>
      </c>
      <c r="D612" s="25" t="s">
        <v>21</v>
      </c>
      <c r="E612" s="25" t="s">
        <v>519</v>
      </c>
      <c r="F612" s="25"/>
      <c r="G612" s="549"/>
      <c r="H612" s="549"/>
      <c r="I612" s="549"/>
      <c r="J612" s="26">
        <f>J613</f>
        <v>0</v>
      </c>
      <c r="K612" s="26">
        <f>K613</f>
        <v>0</v>
      </c>
      <c r="L612" s="26">
        <f>L613</f>
        <v>0</v>
      </c>
      <c r="M612" s="172"/>
      <c r="N612" s="173"/>
      <c r="O612" s="15">
        <f t="shared" si="199"/>
        <v>0</v>
      </c>
    </row>
    <row r="613" spans="1:15" s="148" customFormat="1" ht="15" hidden="1">
      <c r="A613" s="105" t="s">
        <v>466</v>
      </c>
      <c r="B613" s="25" t="s">
        <v>421</v>
      </c>
      <c r="C613" s="25" t="s">
        <v>53</v>
      </c>
      <c r="D613" s="25" t="s">
        <v>21</v>
      </c>
      <c r="E613" s="25" t="s">
        <v>491</v>
      </c>
      <c r="F613" s="25" t="s">
        <v>467</v>
      </c>
      <c r="G613" s="549"/>
      <c r="H613" s="549"/>
      <c r="I613" s="549"/>
      <c r="J613" s="26"/>
      <c r="K613" s="26"/>
      <c r="L613" s="26">
        <f>J613+K613</f>
        <v>0</v>
      </c>
      <c r="M613" s="172"/>
      <c r="N613" s="173"/>
      <c r="O613" s="15">
        <f t="shared" si="199"/>
        <v>0</v>
      </c>
    </row>
    <row r="614" spans="1:15" s="102" customFormat="1" ht="27.75" customHeight="1" hidden="1">
      <c r="A614" s="98" t="s">
        <v>73</v>
      </c>
      <c r="B614" s="24" t="s">
        <v>421</v>
      </c>
      <c r="C614" s="24" t="s">
        <v>53</v>
      </c>
      <c r="D614" s="24" t="s">
        <v>26</v>
      </c>
      <c r="E614" s="24"/>
      <c r="F614" s="24"/>
      <c r="G614" s="503">
        <f aca="true" t="shared" si="206" ref="G614:N616">G615</f>
        <v>0</v>
      </c>
      <c r="H614" s="503">
        <f t="shared" si="206"/>
        <v>666</v>
      </c>
      <c r="I614" s="503">
        <f t="shared" si="206"/>
        <v>0</v>
      </c>
      <c r="J614" s="504">
        <f>J615</f>
        <v>0</v>
      </c>
      <c r="K614" s="504">
        <f t="shared" si="206"/>
        <v>0</v>
      </c>
      <c r="L614" s="504">
        <f t="shared" si="206"/>
        <v>0</v>
      </c>
      <c r="M614" s="40">
        <f t="shared" si="206"/>
        <v>20</v>
      </c>
      <c r="N614" s="41">
        <f t="shared" si="206"/>
        <v>20</v>
      </c>
      <c r="O614" s="15">
        <f t="shared" si="199"/>
        <v>0</v>
      </c>
    </row>
    <row r="615" spans="1:15" ht="60" hidden="1">
      <c r="A615" s="99" t="s">
        <v>520</v>
      </c>
      <c r="B615" s="25" t="s">
        <v>421</v>
      </c>
      <c r="C615" s="25" t="s">
        <v>53</v>
      </c>
      <c r="D615" s="25" t="s">
        <v>26</v>
      </c>
      <c r="E615" s="25" t="s">
        <v>521</v>
      </c>
      <c r="F615" s="25"/>
      <c r="G615" s="135">
        <f t="shared" si="206"/>
        <v>0</v>
      </c>
      <c r="H615" s="135">
        <f t="shared" si="206"/>
        <v>666</v>
      </c>
      <c r="I615" s="135">
        <f t="shared" si="206"/>
        <v>0</v>
      </c>
      <c r="J615" s="26">
        <f>J616</f>
        <v>0</v>
      </c>
      <c r="K615" s="26">
        <f t="shared" si="206"/>
        <v>0</v>
      </c>
      <c r="L615" s="26">
        <f t="shared" si="206"/>
        <v>0</v>
      </c>
      <c r="M615" s="40">
        <f t="shared" si="206"/>
        <v>20</v>
      </c>
      <c r="N615" s="41">
        <f t="shared" si="206"/>
        <v>20</v>
      </c>
      <c r="O615" s="15">
        <f t="shared" si="199"/>
        <v>0</v>
      </c>
    </row>
    <row r="616" spans="1:15" ht="45" hidden="1">
      <c r="A616" s="105" t="s">
        <v>522</v>
      </c>
      <c r="B616" s="25" t="s">
        <v>421</v>
      </c>
      <c r="C616" s="25" t="s">
        <v>53</v>
      </c>
      <c r="D616" s="25" t="s">
        <v>26</v>
      </c>
      <c r="E616" s="25" t="s">
        <v>523</v>
      </c>
      <c r="F616" s="25"/>
      <c r="G616" s="135">
        <f t="shared" si="206"/>
        <v>0</v>
      </c>
      <c r="H616" s="135">
        <f t="shared" si="206"/>
        <v>666</v>
      </c>
      <c r="I616" s="135">
        <f t="shared" si="206"/>
        <v>0</v>
      </c>
      <c r="J616" s="26">
        <f>J617</f>
        <v>0</v>
      </c>
      <c r="K616" s="26">
        <f t="shared" si="206"/>
        <v>0</v>
      </c>
      <c r="L616" s="26">
        <f t="shared" si="206"/>
        <v>0</v>
      </c>
      <c r="M616" s="40">
        <f t="shared" si="206"/>
        <v>20</v>
      </c>
      <c r="N616" s="41">
        <f t="shared" si="206"/>
        <v>20</v>
      </c>
      <c r="O616" s="15">
        <f t="shared" si="199"/>
        <v>0</v>
      </c>
    </row>
    <row r="617" spans="1:15" ht="15" hidden="1">
      <c r="A617" s="105" t="s">
        <v>300</v>
      </c>
      <c r="B617" s="25" t="s">
        <v>421</v>
      </c>
      <c r="C617" s="25" t="s">
        <v>53</v>
      </c>
      <c r="D617" s="25" t="s">
        <v>26</v>
      </c>
      <c r="E617" s="25" t="s">
        <v>523</v>
      </c>
      <c r="F617" s="25" t="s">
        <v>301</v>
      </c>
      <c r="G617" s="135"/>
      <c r="H617" s="135">
        <v>666</v>
      </c>
      <c r="I617" s="135"/>
      <c r="J617" s="26"/>
      <c r="K617" s="26"/>
      <c r="L617" s="26">
        <f>J617+K617</f>
        <v>0</v>
      </c>
      <c r="M617" s="40">
        <v>20</v>
      </c>
      <c r="N617" s="29">
        <f>L617+M617</f>
        <v>20</v>
      </c>
      <c r="O617" s="15">
        <f t="shared" si="199"/>
        <v>0</v>
      </c>
    </row>
    <row r="618" spans="1:15" ht="29.25">
      <c r="A618" s="98" t="s">
        <v>524</v>
      </c>
      <c r="B618" s="24" t="s">
        <v>421</v>
      </c>
      <c r="C618" s="24" t="s">
        <v>53</v>
      </c>
      <c r="D618" s="24" t="s">
        <v>26</v>
      </c>
      <c r="E618" s="24"/>
      <c r="F618" s="24"/>
      <c r="G618" s="503">
        <f aca="true" t="shared" si="207" ref="G618:L620">G619</f>
        <v>50</v>
      </c>
      <c r="H618" s="503">
        <f t="shared" si="207"/>
        <v>44</v>
      </c>
      <c r="I618" s="503">
        <f t="shared" si="207"/>
        <v>0</v>
      </c>
      <c r="J618" s="504">
        <f>J619</f>
        <v>176.737</v>
      </c>
      <c r="K618" s="504">
        <f t="shared" si="207"/>
        <v>-20</v>
      </c>
      <c r="L618" s="504">
        <f t="shared" si="207"/>
        <v>156.737</v>
      </c>
      <c r="M618" s="40"/>
      <c r="N618" s="29"/>
      <c r="O618" s="15">
        <f t="shared" si="199"/>
        <v>0</v>
      </c>
    </row>
    <row r="619" spans="1:15" ht="45">
      <c r="A619" s="99" t="s">
        <v>525</v>
      </c>
      <c r="B619" s="25" t="s">
        <v>421</v>
      </c>
      <c r="C619" s="25" t="s">
        <v>53</v>
      </c>
      <c r="D619" s="25" t="s">
        <v>26</v>
      </c>
      <c r="E619" s="25" t="s">
        <v>173</v>
      </c>
      <c r="F619" s="25"/>
      <c r="G619" s="135">
        <f t="shared" si="207"/>
        <v>50</v>
      </c>
      <c r="H619" s="135">
        <f t="shared" si="207"/>
        <v>44</v>
      </c>
      <c r="I619" s="135">
        <f t="shared" si="207"/>
        <v>0</v>
      </c>
      <c r="J619" s="26">
        <f t="shared" si="207"/>
        <v>176.737</v>
      </c>
      <c r="K619" s="26">
        <f t="shared" si="207"/>
        <v>-20</v>
      </c>
      <c r="L619" s="26">
        <f t="shared" si="207"/>
        <v>156.737</v>
      </c>
      <c r="M619" s="40"/>
      <c r="N619" s="29"/>
      <c r="O619" s="15">
        <f t="shared" si="199"/>
        <v>0</v>
      </c>
    </row>
    <row r="620" spans="1:15" ht="30">
      <c r="A620" s="99" t="s">
        <v>143</v>
      </c>
      <c r="B620" s="25" t="s">
        <v>421</v>
      </c>
      <c r="C620" s="25" t="s">
        <v>53</v>
      </c>
      <c r="D620" s="25" t="s">
        <v>26</v>
      </c>
      <c r="E620" s="25" t="s">
        <v>174</v>
      </c>
      <c r="F620" s="25"/>
      <c r="G620" s="135">
        <f t="shared" si="207"/>
        <v>50</v>
      </c>
      <c r="H620" s="135">
        <f t="shared" si="207"/>
        <v>44</v>
      </c>
      <c r="I620" s="135">
        <f t="shared" si="207"/>
        <v>0</v>
      </c>
      <c r="J620" s="26">
        <f t="shared" si="207"/>
        <v>176.737</v>
      </c>
      <c r="K620" s="26">
        <f t="shared" si="207"/>
        <v>-20</v>
      </c>
      <c r="L620" s="26">
        <f t="shared" si="207"/>
        <v>156.737</v>
      </c>
      <c r="M620" s="40"/>
      <c r="N620" s="29"/>
      <c r="O620" s="15">
        <f t="shared" si="199"/>
        <v>0</v>
      </c>
    </row>
    <row r="621" spans="1:15" ht="30">
      <c r="A621" s="99" t="s">
        <v>139</v>
      </c>
      <c r="B621" s="25" t="s">
        <v>421</v>
      </c>
      <c r="C621" s="25" t="s">
        <v>53</v>
      </c>
      <c r="D621" s="25" t="s">
        <v>26</v>
      </c>
      <c r="E621" s="25" t="s">
        <v>174</v>
      </c>
      <c r="F621" s="25" t="s">
        <v>140</v>
      </c>
      <c r="G621" s="135">
        <v>50</v>
      </c>
      <c r="H621" s="135">
        <v>44</v>
      </c>
      <c r="I621" s="135"/>
      <c r="J621" s="26">
        <v>176.737</v>
      </c>
      <c r="K621" s="26">
        <v>-20</v>
      </c>
      <c r="L621" s="26">
        <f>J621+K621</f>
        <v>156.737</v>
      </c>
      <c r="M621" s="40"/>
      <c r="N621" s="29"/>
      <c r="O621" s="15">
        <f t="shared" si="199"/>
        <v>0</v>
      </c>
    </row>
    <row r="622" spans="1:15" s="102" customFormat="1" ht="43.5" hidden="1">
      <c r="A622" s="98" t="s">
        <v>526</v>
      </c>
      <c r="B622" s="24" t="s">
        <v>421</v>
      </c>
      <c r="C622" s="24" t="s">
        <v>53</v>
      </c>
      <c r="D622" s="24" t="s">
        <v>30</v>
      </c>
      <c r="E622" s="24"/>
      <c r="F622" s="24"/>
      <c r="G622" s="503">
        <f aca="true" t="shared" si="208" ref="G622:N624">G623</f>
        <v>50</v>
      </c>
      <c r="H622" s="503">
        <f t="shared" si="208"/>
        <v>44</v>
      </c>
      <c r="I622" s="503">
        <f t="shared" si="208"/>
        <v>0</v>
      </c>
      <c r="J622" s="504">
        <f t="shared" si="208"/>
        <v>0</v>
      </c>
      <c r="K622" s="504">
        <f t="shared" si="208"/>
        <v>0</v>
      </c>
      <c r="L622" s="504">
        <f t="shared" si="208"/>
        <v>0</v>
      </c>
      <c r="M622" s="505">
        <f t="shared" si="208"/>
        <v>-122</v>
      </c>
      <c r="N622" s="86">
        <f t="shared" si="208"/>
        <v>-122</v>
      </c>
      <c r="O622" s="15">
        <f t="shared" si="199"/>
        <v>0</v>
      </c>
    </row>
    <row r="623" spans="1:15" ht="45" hidden="1">
      <c r="A623" s="99" t="s">
        <v>525</v>
      </c>
      <c r="B623" s="25" t="s">
        <v>421</v>
      </c>
      <c r="C623" s="25" t="s">
        <v>53</v>
      </c>
      <c r="D623" s="25" t="s">
        <v>30</v>
      </c>
      <c r="E623" s="25" t="s">
        <v>173</v>
      </c>
      <c r="F623" s="25"/>
      <c r="G623" s="135">
        <f t="shared" si="208"/>
        <v>50</v>
      </c>
      <c r="H623" s="135">
        <f t="shared" si="208"/>
        <v>44</v>
      </c>
      <c r="I623" s="135">
        <f t="shared" si="208"/>
        <v>0</v>
      </c>
      <c r="J623" s="26">
        <f t="shared" si="208"/>
        <v>0</v>
      </c>
      <c r="K623" s="26">
        <f t="shared" si="208"/>
        <v>0</v>
      </c>
      <c r="L623" s="26">
        <f t="shared" si="208"/>
        <v>0</v>
      </c>
      <c r="M623" s="40">
        <f t="shared" si="208"/>
        <v>-122</v>
      </c>
      <c r="N623" s="41">
        <f t="shared" si="208"/>
        <v>-122</v>
      </c>
      <c r="O623" s="15">
        <f t="shared" si="199"/>
        <v>0</v>
      </c>
    </row>
    <row r="624" spans="1:15" ht="30" hidden="1">
      <c r="A624" s="99" t="s">
        <v>143</v>
      </c>
      <c r="B624" s="25" t="s">
        <v>421</v>
      </c>
      <c r="C624" s="25" t="s">
        <v>53</v>
      </c>
      <c r="D624" s="25" t="s">
        <v>30</v>
      </c>
      <c r="E624" s="25" t="s">
        <v>174</v>
      </c>
      <c r="F624" s="25"/>
      <c r="G624" s="135">
        <f t="shared" si="208"/>
        <v>50</v>
      </c>
      <c r="H624" s="135">
        <f t="shared" si="208"/>
        <v>44</v>
      </c>
      <c r="I624" s="135">
        <f t="shared" si="208"/>
        <v>0</v>
      </c>
      <c r="J624" s="26">
        <f t="shared" si="208"/>
        <v>0</v>
      </c>
      <c r="K624" s="26">
        <f t="shared" si="208"/>
        <v>0</v>
      </c>
      <c r="L624" s="26">
        <f t="shared" si="208"/>
        <v>0</v>
      </c>
      <c r="M624" s="40">
        <f t="shared" si="208"/>
        <v>-122</v>
      </c>
      <c r="N624" s="41">
        <f t="shared" si="208"/>
        <v>-122</v>
      </c>
      <c r="O624" s="15">
        <f t="shared" si="199"/>
        <v>0</v>
      </c>
    </row>
    <row r="625" spans="1:15" ht="30" hidden="1">
      <c r="A625" s="99" t="s">
        <v>139</v>
      </c>
      <c r="B625" s="25" t="s">
        <v>421</v>
      </c>
      <c r="C625" s="25" t="s">
        <v>53</v>
      </c>
      <c r="D625" s="25" t="s">
        <v>30</v>
      </c>
      <c r="E625" s="25" t="s">
        <v>174</v>
      </c>
      <c r="F625" s="25" t="s">
        <v>140</v>
      </c>
      <c r="G625" s="135">
        <v>50</v>
      </c>
      <c r="H625" s="135">
        <v>44</v>
      </c>
      <c r="I625" s="135"/>
      <c r="J625" s="26"/>
      <c r="K625" s="26"/>
      <c r="L625" s="26">
        <f>J625+K625</f>
        <v>0</v>
      </c>
      <c r="M625" s="40">
        <v>-122</v>
      </c>
      <c r="N625" s="29">
        <f>L625+M625</f>
        <v>-122</v>
      </c>
      <c r="O625" s="15">
        <f t="shared" si="199"/>
        <v>0</v>
      </c>
    </row>
    <row r="626" spans="1:15" s="148" customFormat="1" ht="15">
      <c r="A626" s="162" t="s">
        <v>527</v>
      </c>
      <c r="B626" s="32" t="s">
        <v>421</v>
      </c>
      <c r="C626" s="32" t="s">
        <v>47</v>
      </c>
      <c r="D626" s="32"/>
      <c r="E626" s="32"/>
      <c r="F626" s="32"/>
      <c r="G626" s="520" t="e">
        <f aca="true" t="shared" si="209" ref="G626:N626">G627+G634</f>
        <v>#REF!</v>
      </c>
      <c r="H626" s="520" t="e">
        <f t="shared" si="209"/>
        <v>#REF!</v>
      </c>
      <c r="I626" s="520" t="e">
        <f t="shared" si="209"/>
        <v>#REF!</v>
      </c>
      <c r="J626" s="622">
        <f t="shared" si="209"/>
        <v>58410</v>
      </c>
      <c r="K626" s="622">
        <f t="shared" si="209"/>
        <v>0</v>
      </c>
      <c r="L626" s="622">
        <f t="shared" si="209"/>
        <v>58410</v>
      </c>
      <c r="M626" s="38" t="e">
        <f t="shared" si="209"/>
        <v>#REF!</v>
      </c>
      <c r="N626" s="39" t="e">
        <f t="shared" si="209"/>
        <v>#REF!</v>
      </c>
      <c r="O626" s="15">
        <f t="shared" si="199"/>
        <v>0</v>
      </c>
    </row>
    <row r="627" spans="1:15" s="102" customFormat="1" ht="14.25" customHeight="1">
      <c r="A627" s="108" t="s">
        <v>79</v>
      </c>
      <c r="B627" s="24" t="s">
        <v>421</v>
      </c>
      <c r="C627" s="24" t="s">
        <v>47</v>
      </c>
      <c r="D627" s="24" t="s">
        <v>21</v>
      </c>
      <c r="E627" s="24"/>
      <c r="F627" s="24"/>
      <c r="G627" s="503" t="e">
        <f>G630</f>
        <v>#REF!</v>
      </c>
      <c r="H627" s="503" t="e">
        <f>H630</f>
        <v>#REF!</v>
      </c>
      <c r="I627" s="503" t="e">
        <f>I630</f>
        <v>#REF!</v>
      </c>
      <c r="J627" s="504">
        <f>J630+J632+J628</f>
        <v>58410</v>
      </c>
      <c r="K627" s="504">
        <f>K630+K632+K628</f>
        <v>0</v>
      </c>
      <c r="L627" s="504">
        <f>L630+L632+L628</f>
        <v>58410</v>
      </c>
      <c r="M627" s="505" t="e">
        <f>M630</f>
        <v>#REF!</v>
      </c>
      <c r="N627" s="86" t="e">
        <f>N630</f>
        <v>#REF!</v>
      </c>
      <c r="O627" s="15">
        <f t="shared" si="199"/>
        <v>0</v>
      </c>
    </row>
    <row r="628" spans="1:15" ht="66.75" customHeight="1">
      <c r="A628" s="105" t="s">
        <v>464</v>
      </c>
      <c r="B628" s="25" t="s">
        <v>421</v>
      </c>
      <c r="C628" s="25" t="s">
        <v>47</v>
      </c>
      <c r="D628" s="25" t="s">
        <v>21</v>
      </c>
      <c r="E628" s="25" t="s">
        <v>465</v>
      </c>
      <c r="F628" s="25"/>
      <c r="G628" s="135"/>
      <c r="H628" s="135"/>
      <c r="I628" s="135"/>
      <c r="J628" s="26">
        <f>J629</f>
        <v>10</v>
      </c>
      <c r="K628" s="26">
        <f>K629</f>
        <v>0</v>
      </c>
      <c r="L628" s="26">
        <f>L629</f>
        <v>10</v>
      </c>
      <c r="M628" s="40"/>
      <c r="N628" s="41"/>
      <c r="O628" s="15">
        <f t="shared" si="199"/>
        <v>0</v>
      </c>
    </row>
    <row r="629" spans="1:15" ht="14.25" customHeight="1">
      <c r="A629" s="105" t="s">
        <v>466</v>
      </c>
      <c r="B629" s="25" t="s">
        <v>421</v>
      </c>
      <c r="C629" s="25" t="s">
        <v>47</v>
      </c>
      <c r="D629" s="25" t="s">
        <v>21</v>
      </c>
      <c r="E629" s="25" t="s">
        <v>465</v>
      </c>
      <c r="F629" s="25" t="s">
        <v>467</v>
      </c>
      <c r="G629" s="135"/>
      <c r="H629" s="135"/>
      <c r="I629" s="135"/>
      <c r="J629" s="26">
        <v>10</v>
      </c>
      <c r="K629" s="26"/>
      <c r="L629" s="26">
        <f>J629+K629</f>
        <v>10</v>
      </c>
      <c r="M629" s="40"/>
      <c r="N629" s="41"/>
      <c r="O629" s="15">
        <f t="shared" si="199"/>
        <v>0</v>
      </c>
    </row>
    <row r="630" spans="1:15" ht="45" customHeight="1">
      <c r="A630" s="99" t="s">
        <v>482</v>
      </c>
      <c r="B630" s="25" t="s">
        <v>421</v>
      </c>
      <c r="C630" s="25" t="s">
        <v>47</v>
      </c>
      <c r="D630" s="25" t="s">
        <v>21</v>
      </c>
      <c r="E630" s="25" t="s">
        <v>1008</v>
      </c>
      <c r="F630" s="25"/>
      <c r="G630" s="135" t="e">
        <f>#REF!</f>
        <v>#REF!</v>
      </c>
      <c r="H630" s="135" t="e">
        <f>#REF!</f>
        <v>#REF!</v>
      </c>
      <c r="I630" s="135" t="e">
        <f>#REF!</f>
        <v>#REF!</v>
      </c>
      <c r="J630" s="26">
        <f>J631</f>
        <v>57900</v>
      </c>
      <c r="K630" s="26">
        <f>K631</f>
        <v>0</v>
      </c>
      <c r="L630" s="26">
        <f>L631</f>
        <v>57900</v>
      </c>
      <c r="M630" s="40" t="e">
        <f>#REF!</f>
        <v>#REF!</v>
      </c>
      <c r="N630" s="41" t="e">
        <f>#REF!</f>
        <v>#REF!</v>
      </c>
      <c r="O630" s="15">
        <f t="shared" si="199"/>
        <v>0</v>
      </c>
    </row>
    <row r="631" spans="1:15" ht="15" customHeight="1">
      <c r="A631" s="99" t="s">
        <v>466</v>
      </c>
      <c r="B631" s="25" t="s">
        <v>421</v>
      </c>
      <c r="C631" s="25" t="s">
        <v>47</v>
      </c>
      <c r="D631" s="25" t="s">
        <v>21</v>
      </c>
      <c r="E631" s="25" t="s">
        <v>1008</v>
      </c>
      <c r="F631" s="25" t="s">
        <v>467</v>
      </c>
      <c r="G631" s="135">
        <f>7525+549</f>
        <v>8074</v>
      </c>
      <c r="H631" s="524"/>
      <c r="I631" s="135"/>
      <c r="J631" s="26">
        <v>57900</v>
      </c>
      <c r="K631" s="26"/>
      <c r="L631" s="26">
        <f>J631+K631</f>
        <v>57900</v>
      </c>
      <c r="M631" s="40"/>
      <c r="N631" s="29">
        <f>L631+M631</f>
        <v>57900</v>
      </c>
      <c r="O631" s="15">
        <f t="shared" si="199"/>
        <v>0</v>
      </c>
    </row>
    <row r="632" spans="1:15" ht="51.75" customHeight="1">
      <c r="A632" s="99" t="s">
        <v>1023</v>
      </c>
      <c r="B632" s="25" t="s">
        <v>421</v>
      </c>
      <c r="C632" s="25" t="s">
        <v>47</v>
      </c>
      <c r="D632" s="25" t="s">
        <v>21</v>
      </c>
      <c r="E632" s="25" t="s">
        <v>1009</v>
      </c>
      <c r="F632" s="25"/>
      <c r="G632" s="135"/>
      <c r="H632" s="524"/>
      <c r="I632" s="135"/>
      <c r="J632" s="26">
        <f>J633</f>
        <v>500</v>
      </c>
      <c r="K632" s="26">
        <f>K633</f>
        <v>0</v>
      </c>
      <c r="L632" s="26">
        <f>L633</f>
        <v>500</v>
      </c>
      <c r="M632" s="40"/>
      <c r="N632" s="29"/>
      <c r="O632" s="15">
        <f t="shared" si="199"/>
        <v>0</v>
      </c>
    </row>
    <row r="633" spans="1:15" ht="15" customHeight="1">
      <c r="A633" s="99" t="s">
        <v>466</v>
      </c>
      <c r="B633" s="25" t="s">
        <v>421</v>
      </c>
      <c r="C633" s="25" t="s">
        <v>47</v>
      </c>
      <c r="D633" s="25" t="s">
        <v>21</v>
      </c>
      <c r="E633" s="25" t="s">
        <v>1009</v>
      </c>
      <c r="F633" s="25" t="s">
        <v>467</v>
      </c>
      <c r="G633" s="135"/>
      <c r="H633" s="524"/>
      <c r="I633" s="135"/>
      <c r="J633" s="26">
        <v>500</v>
      </c>
      <c r="K633" s="26"/>
      <c r="L633" s="26">
        <f>J633+K633</f>
        <v>500</v>
      </c>
      <c r="M633" s="40"/>
      <c r="N633" s="29"/>
      <c r="O633" s="15">
        <f t="shared" si="199"/>
        <v>0</v>
      </c>
    </row>
    <row r="634" spans="1:15" s="102" customFormat="1" ht="15" hidden="1">
      <c r="A634" s="98" t="s">
        <v>82</v>
      </c>
      <c r="B634" s="24" t="s">
        <v>421</v>
      </c>
      <c r="C634" s="24" t="s">
        <v>47</v>
      </c>
      <c r="D634" s="24" t="s">
        <v>53</v>
      </c>
      <c r="E634" s="24"/>
      <c r="F634" s="24"/>
      <c r="G634" s="503">
        <f aca="true" t="shared" si="210" ref="G634:N636">G635</f>
        <v>0</v>
      </c>
      <c r="H634" s="503">
        <f t="shared" si="210"/>
        <v>628.8</v>
      </c>
      <c r="I634" s="503">
        <f t="shared" si="210"/>
        <v>0</v>
      </c>
      <c r="J634" s="504">
        <f t="shared" si="210"/>
        <v>0</v>
      </c>
      <c r="K634" s="504">
        <f t="shared" si="210"/>
        <v>0</v>
      </c>
      <c r="L634" s="504">
        <f t="shared" si="210"/>
        <v>0</v>
      </c>
      <c r="M634" s="505">
        <f t="shared" si="210"/>
        <v>0</v>
      </c>
      <c r="N634" s="86">
        <f t="shared" si="210"/>
        <v>0</v>
      </c>
      <c r="O634" s="15">
        <f t="shared" si="199"/>
        <v>0</v>
      </c>
    </row>
    <row r="635" spans="1:15" ht="30" hidden="1">
      <c r="A635" s="99" t="s">
        <v>528</v>
      </c>
      <c r="B635" s="25" t="s">
        <v>421</v>
      </c>
      <c r="C635" s="25" t="s">
        <v>47</v>
      </c>
      <c r="D635" s="25" t="s">
        <v>53</v>
      </c>
      <c r="E635" s="25" t="s">
        <v>529</v>
      </c>
      <c r="F635" s="25"/>
      <c r="G635" s="135">
        <f t="shared" si="210"/>
        <v>0</v>
      </c>
      <c r="H635" s="135">
        <f t="shared" si="210"/>
        <v>628.8</v>
      </c>
      <c r="I635" s="135">
        <f t="shared" si="210"/>
        <v>0</v>
      </c>
      <c r="J635" s="26">
        <f t="shared" si="210"/>
        <v>0</v>
      </c>
      <c r="K635" s="26">
        <f t="shared" si="210"/>
        <v>0</v>
      </c>
      <c r="L635" s="26">
        <f t="shared" si="210"/>
        <v>0</v>
      </c>
      <c r="M635" s="40">
        <f t="shared" si="210"/>
        <v>0</v>
      </c>
      <c r="N635" s="41">
        <f t="shared" si="210"/>
        <v>0</v>
      </c>
      <c r="O635" s="15">
        <f t="shared" si="199"/>
        <v>0</v>
      </c>
    </row>
    <row r="636" spans="1:15" ht="45" hidden="1">
      <c r="A636" s="99" t="s">
        <v>530</v>
      </c>
      <c r="B636" s="25" t="s">
        <v>421</v>
      </c>
      <c r="C636" s="25" t="s">
        <v>47</v>
      </c>
      <c r="D636" s="25" t="s">
        <v>53</v>
      </c>
      <c r="E636" s="25" t="s">
        <v>531</v>
      </c>
      <c r="F636" s="25"/>
      <c r="G636" s="135">
        <f t="shared" si="210"/>
        <v>0</v>
      </c>
      <c r="H636" s="135">
        <f t="shared" si="210"/>
        <v>628.8</v>
      </c>
      <c r="I636" s="135">
        <f t="shared" si="210"/>
        <v>0</v>
      </c>
      <c r="J636" s="26">
        <f t="shared" si="210"/>
        <v>0</v>
      </c>
      <c r="K636" s="26">
        <f t="shared" si="210"/>
        <v>0</v>
      </c>
      <c r="L636" s="26">
        <f t="shared" si="210"/>
        <v>0</v>
      </c>
      <c r="M636" s="40">
        <f t="shared" si="210"/>
        <v>0</v>
      </c>
      <c r="N636" s="41">
        <f t="shared" si="210"/>
        <v>0</v>
      </c>
      <c r="O636" s="15">
        <f t="shared" si="199"/>
        <v>0</v>
      </c>
    </row>
    <row r="637" spans="1:15" ht="30" hidden="1">
      <c r="A637" s="105" t="s">
        <v>133</v>
      </c>
      <c r="B637" s="25" t="s">
        <v>421</v>
      </c>
      <c r="C637" s="25" t="s">
        <v>47</v>
      </c>
      <c r="D637" s="25" t="s">
        <v>53</v>
      </c>
      <c r="E637" s="25" t="s">
        <v>531</v>
      </c>
      <c r="F637" s="25" t="s">
        <v>131</v>
      </c>
      <c r="G637" s="135"/>
      <c r="H637" s="524">
        <v>628.8</v>
      </c>
      <c r="I637" s="135"/>
      <c r="J637" s="26"/>
      <c r="K637" s="26"/>
      <c r="L637" s="26">
        <f>J637+K637</f>
        <v>0</v>
      </c>
      <c r="M637" s="40"/>
      <c r="N637" s="29">
        <f>L637+M637</f>
        <v>0</v>
      </c>
      <c r="O637" s="15">
        <f t="shared" si="199"/>
        <v>0</v>
      </c>
    </row>
    <row r="638" spans="1:15" s="148" customFormat="1" ht="15">
      <c r="A638" s="162" t="s">
        <v>86</v>
      </c>
      <c r="B638" s="32" t="s">
        <v>421</v>
      </c>
      <c r="C638" s="32" t="s">
        <v>85</v>
      </c>
      <c r="D638" s="32"/>
      <c r="E638" s="32"/>
      <c r="F638" s="32"/>
      <c r="G638" s="520">
        <f>G642</f>
        <v>-7703.900000000001</v>
      </c>
      <c r="H638" s="520">
        <f>H642</f>
        <v>110</v>
      </c>
      <c r="I638" s="520">
        <f>I642</f>
        <v>0</v>
      </c>
      <c r="J638" s="622">
        <f>J642+J639</f>
        <v>5239.215</v>
      </c>
      <c r="K638" s="622">
        <f>K642+K639</f>
        <v>-90.28</v>
      </c>
      <c r="L638" s="622">
        <f>L642+L639</f>
        <v>5148.935</v>
      </c>
      <c r="M638" s="506">
        <f>M642+M639</f>
        <v>90</v>
      </c>
      <c r="N638" s="363">
        <f>N642+N639</f>
        <v>90</v>
      </c>
      <c r="O638" s="15">
        <f t="shared" si="199"/>
        <v>0</v>
      </c>
    </row>
    <row r="639" spans="1:15" s="102" customFormat="1" ht="29.25">
      <c r="A639" s="98" t="s">
        <v>89</v>
      </c>
      <c r="B639" s="24" t="s">
        <v>421</v>
      </c>
      <c r="C639" s="24" t="s">
        <v>85</v>
      </c>
      <c r="D639" s="24" t="s">
        <v>22</v>
      </c>
      <c r="E639" s="24"/>
      <c r="F639" s="24"/>
      <c r="G639" s="503"/>
      <c r="H639" s="503"/>
      <c r="I639" s="503"/>
      <c r="J639" s="504">
        <f aca="true" t="shared" si="211" ref="J639:L640">J640</f>
        <v>100</v>
      </c>
      <c r="K639" s="504">
        <f t="shared" si="211"/>
        <v>-100</v>
      </c>
      <c r="L639" s="504">
        <f t="shared" si="211"/>
        <v>0</v>
      </c>
      <c r="M639" s="331"/>
      <c r="N639" s="331"/>
      <c r="O639" s="15">
        <f t="shared" si="199"/>
        <v>0</v>
      </c>
    </row>
    <row r="640" spans="1:15" ht="60">
      <c r="A640" s="105" t="s">
        <v>464</v>
      </c>
      <c r="B640" s="25" t="s">
        <v>421</v>
      </c>
      <c r="C640" s="25" t="s">
        <v>85</v>
      </c>
      <c r="D640" s="25" t="s">
        <v>22</v>
      </c>
      <c r="E640" s="25" t="s">
        <v>465</v>
      </c>
      <c r="F640" s="25"/>
      <c r="G640" s="135"/>
      <c r="H640" s="135"/>
      <c r="I640" s="135"/>
      <c r="J640" s="26">
        <f t="shared" si="211"/>
        <v>100</v>
      </c>
      <c r="K640" s="26">
        <f t="shared" si="211"/>
        <v>-100</v>
      </c>
      <c r="L640" s="26">
        <f t="shared" si="211"/>
        <v>0</v>
      </c>
      <c r="M640" s="255"/>
      <c r="N640" s="255"/>
      <c r="O640" s="15">
        <f t="shared" si="199"/>
        <v>0</v>
      </c>
    </row>
    <row r="641" spans="1:15" ht="15">
      <c r="A641" s="105" t="s">
        <v>466</v>
      </c>
      <c r="B641" s="25" t="s">
        <v>421</v>
      </c>
      <c r="C641" s="25" t="s">
        <v>85</v>
      </c>
      <c r="D641" s="25" t="s">
        <v>22</v>
      </c>
      <c r="E641" s="25" t="s">
        <v>465</v>
      </c>
      <c r="F641" s="25" t="s">
        <v>467</v>
      </c>
      <c r="G641" s="135"/>
      <c r="H641" s="135"/>
      <c r="I641" s="135"/>
      <c r="J641" s="26">
        <v>100</v>
      </c>
      <c r="K641" s="26">
        <v>-100</v>
      </c>
      <c r="L641" s="26">
        <f>J641+K641</f>
        <v>0</v>
      </c>
      <c r="M641" s="255"/>
      <c r="N641" s="255"/>
      <c r="O641" s="15">
        <f t="shared" si="199"/>
        <v>0</v>
      </c>
    </row>
    <row r="642" spans="1:15" s="102" customFormat="1" ht="30">
      <c r="A642" s="99" t="s">
        <v>92</v>
      </c>
      <c r="B642" s="24" t="s">
        <v>421</v>
      </c>
      <c r="C642" s="24" t="s">
        <v>85</v>
      </c>
      <c r="D642" s="24" t="s">
        <v>24</v>
      </c>
      <c r="E642" s="24"/>
      <c r="F642" s="24"/>
      <c r="G642" s="503">
        <f>G643+G664+G649+G651</f>
        <v>-7703.900000000001</v>
      </c>
      <c r="H642" s="192">
        <f>H643+H664+H649+H651+H654</f>
        <v>110</v>
      </c>
      <c r="I642" s="192">
        <f>I643+I664+I649+I651+I654</f>
        <v>0</v>
      </c>
      <c r="J642" s="504">
        <f>J643+J664+J649+J651+J654+J656+J660+J658+J662</f>
        <v>5139.215</v>
      </c>
      <c r="K642" s="504">
        <f>K643+K664+K649+K651+K654+K656+K660+K658+K662</f>
        <v>9.72</v>
      </c>
      <c r="L642" s="504">
        <f>L643+L664+L649+L651+L654+L656+L660+L658+L662</f>
        <v>5148.935</v>
      </c>
      <c r="M642" s="447">
        <f>M643+M664+M649+M651+M654+M656+M660</f>
        <v>90</v>
      </c>
      <c r="N642" s="364">
        <f>N643+N664+N649+N651+N654+N656+N660</f>
        <v>90</v>
      </c>
      <c r="O642" s="15">
        <f t="shared" si="199"/>
        <v>0</v>
      </c>
    </row>
    <row r="643" spans="1:15" ht="15.75" customHeight="1" hidden="1">
      <c r="A643" s="166" t="s">
        <v>532</v>
      </c>
      <c r="B643" s="25" t="s">
        <v>421</v>
      </c>
      <c r="C643" s="25" t="s">
        <v>85</v>
      </c>
      <c r="D643" s="25" t="s">
        <v>24</v>
      </c>
      <c r="E643" s="25" t="s">
        <v>533</v>
      </c>
      <c r="F643" s="25"/>
      <c r="G643" s="135">
        <f>G644</f>
        <v>-8006.3</v>
      </c>
      <c r="H643" s="524">
        <f aca="true" t="shared" si="212" ref="H643:N643">H644+H647</f>
        <v>0</v>
      </c>
      <c r="I643" s="524">
        <f t="shared" si="212"/>
        <v>0</v>
      </c>
      <c r="J643" s="26">
        <f t="shared" si="212"/>
        <v>0</v>
      </c>
      <c r="K643" s="26">
        <f t="shared" si="212"/>
        <v>0</v>
      </c>
      <c r="L643" s="26">
        <f t="shared" si="212"/>
        <v>0</v>
      </c>
      <c r="M643" s="28">
        <f t="shared" si="212"/>
        <v>0</v>
      </c>
      <c r="N643" s="29">
        <f t="shared" si="212"/>
        <v>0</v>
      </c>
      <c r="O643" s="15">
        <f t="shared" si="199"/>
        <v>0</v>
      </c>
    </row>
    <row r="644" spans="1:15" ht="45.75" customHeight="1" hidden="1">
      <c r="A644" s="105" t="s">
        <v>534</v>
      </c>
      <c r="B644" s="25" t="s">
        <v>421</v>
      </c>
      <c r="C644" s="25" t="s">
        <v>85</v>
      </c>
      <c r="D644" s="25" t="s">
        <v>24</v>
      </c>
      <c r="E644" s="25" t="s">
        <v>479</v>
      </c>
      <c r="F644" s="25"/>
      <c r="G644" s="135">
        <f aca="true" t="shared" si="213" ref="G644:M644">G645+G646</f>
        <v>-8006.3</v>
      </c>
      <c r="H644" s="135">
        <f t="shared" si="213"/>
        <v>0</v>
      </c>
      <c r="I644" s="135">
        <f t="shared" si="213"/>
        <v>0</v>
      </c>
      <c r="J644" s="26">
        <f t="shared" si="213"/>
        <v>0</v>
      </c>
      <c r="K644" s="26">
        <f t="shared" si="213"/>
        <v>0</v>
      </c>
      <c r="L644" s="26">
        <f t="shared" si="213"/>
        <v>0</v>
      </c>
      <c r="M644" s="40">
        <f t="shared" si="213"/>
        <v>0</v>
      </c>
      <c r="N644" s="41">
        <f>N645+N646</f>
        <v>0</v>
      </c>
      <c r="O644" s="15">
        <f t="shared" si="199"/>
        <v>0</v>
      </c>
    </row>
    <row r="645" spans="1:15" ht="60.75" customHeight="1" hidden="1">
      <c r="A645" s="105" t="s">
        <v>535</v>
      </c>
      <c r="B645" s="25" t="s">
        <v>421</v>
      </c>
      <c r="C645" s="25" t="s">
        <v>85</v>
      </c>
      <c r="D645" s="25" t="s">
        <v>24</v>
      </c>
      <c r="E645" s="25" t="s">
        <v>479</v>
      </c>
      <c r="F645" s="25" t="s">
        <v>536</v>
      </c>
      <c r="G645" s="135">
        <f>218.7-7525</f>
        <v>-7306.3</v>
      </c>
      <c r="H645" s="524"/>
      <c r="I645" s="135"/>
      <c r="J645" s="26">
        <f>H645+I645</f>
        <v>0</v>
      </c>
      <c r="K645" s="26"/>
      <c r="L645" s="26">
        <f>J645+K645</f>
        <v>0</v>
      </c>
      <c r="M645" s="40"/>
      <c r="N645" s="29">
        <f>L645+M645</f>
        <v>0</v>
      </c>
      <c r="O645" s="15">
        <f t="shared" si="199"/>
        <v>0</v>
      </c>
    </row>
    <row r="646" spans="1:15" ht="29.25" customHeight="1" hidden="1">
      <c r="A646" s="105" t="s">
        <v>133</v>
      </c>
      <c r="B646" s="25" t="s">
        <v>421</v>
      </c>
      <c r="C646" s="25" t="s">
        <v>85</v>
      </c>
      <c r="D646" s="25" t="s">
        <v>24</v>
      </c>
      <c r="E646" s="25" t="s">
        <v>479</v>
      </c>
      <c r="F646" s="25" t="s">
        <v>131</v>
      </c>
      <c r="G646" s="135">
        <v>-700</v>
      </c>
      <c r="H646" s="524"/>
      <c r="I646" s="135"/>
      <c r="J646" s="26">
        <f>H646+I646</f>
        <v>0</v>
      </c>
      <c r="K646" s="26"/>
      <c r="L646" s="26">
        <f>J646+K646</f>
        <v>0</v>
      </c>
      <c r="M646" s="40"/>
      <c r="N646" s="29">
        <f>L646+M646</f>
        <v>0</v>
      </c>
      <c r="O646" s="15">
        <f t="shared" si="199"/>
        <v>0</v>
      </c>
    </row>
    <row r="647" spans="1:15" ht="35.25" customHeight="1" hidden="1">
      <c r="A647" s="105" t="s">
        <v>537</v>
      </c>
      <c r="B647" s="25" t="s">
        <v>421</v>
      </c>
      <c r="C647" s="25" t="s">
        <v>85</v>
      </c>
      <c r="D647" s="25" t="s">
        <v>24</v>
      </c>
      <c r="E647" s="25" t="s">
        <v>538</v>
      </c>
      <c r="F647" s="25"/>
      <c r="G647" s="135"/>
      <c r="H647" s="524">
        <f aca="true" t="shared" si="214" ref="H647:N647">H648</f>
        <v>0</v>
      </c>
      <c r="I647" s="524">
        <f t="shared" si="214"/>
        <v>0</v>
      </c>
      <c r="J647" s="26">
        <f t="shared" si="214"/>
        <v>0</v>
      </c>
      <c r="K647" s="26">
        <f t="shared" si="214"/>
        <v>0</v>
      </c>
      <c r="L647" s="26">
        <f t="shared" si="214"/>
        <v>0</v>
      </c>
      <c r="M647" s="28">
        <f t="shared" si="214"/>
        <v>0</v>
      </c>
      <c r="N647" s="29">
        <f t="shared" si="214"/>
        <v>0</v>
      </c>
      <c r="O647" s="15">
        <f t="shared" si="199"/>
        <v>0</v>
      </c>
    </row>
    <row r="648" spans="1:15" ht="30" customHeight="1" hidden="1">
      <c r="A648" s="105" t="s">
        <v>133</v>
      </c>
      <c r="B648" s="25" t="s">
        <v>421</v>
      </c>
      <c r="C648" s="25" t="s">
        <v>85</v>
      </c>
      <c r="D648" s="25" t="s">
        <v>24</v>
      </c>
      <c r="E648" s="25" t="s">
        <v>538</v>
      </c>
      <c r="F648" s="25" t="s">
        <v>131</v>
      </c>
      <c r="G648" s="135"/>
      <c r="H648" s="524"/>
      <c r="I648" s="135"/>
      <c r="J648" s="26">
        <f>H648+I648</f>
        <v>0</v>
      </c>
      <c r="K648" s="26"/>
      <c r="L648" s="26">
        <f>J648+K648</f>
        <v>0</v>
      </c>
      <c r="M648" s="40"/>
      <c r="N648" s="29">
        <f>L648+M648</f>
        <v>0</v>
      </c>
      <c r="O648" s="15">
        <f t="shared" si="199"/>
        <v>0</v>
      </c>
    </row>
    <row r="649" spans="1:15" ht="30.75" customHeight="1" hidden="1">
      <c r="A649" s="30" t="s">
        <v>539</v>
      </c>
      <c r="B649" s="25" t="s">
        <v>421</v>
      </c>
      <c r="C649" s="25" t="s">
        <v>85</v>
      </c>
      <c r="D649" s="25" t="s">
        <v>24</v>
      </c>
      <c r="E649" s="25" t="s">
        <v>540</v>
      </c>
      <c r="F649" s="25"/>
      <c r="G649" s="135">
        <f>G650</f>
        <v>302.4</v>
      </c>
      <c r="H649" s="524">
        <f>H650</f>
        <v>0</v>
      </c>
      <c r="I649" s="135">
        <f>I650</f>
        <v>0</v>
      </c>
      <c r="J649" s="26">
        <f>H649+I649</f>
        <v>0</v>
      </c>
      <c r="K649" s="26">
        <f>K650</f>
        <v>0</v>
      </c>
      <c r="L649" s="26">
        <f>J649+K649</f>
        <v>0</v>
      </c>
      <c r="M649" s="40">
        <f>M650</f>
        <v>0</v>
      </c>
      <c r="N649" s="29">
        <f>L649+M649</f>
        <v>0</v>
      </c>
      <c r="O649" s="15">
        <f t="shared" si="199"/>
        <v>0</v>
      </c>
    </row>
    <row r="650" spans="1:15" ht="15.75" customHeight="1" hidden="1">
      <c r="A650" s="99" t="s">
        <v>239</v>
      </c>
      <c r="B650" s="25" t="s">
        <v>421</v>
      </c>
      <c r="C650" s="25" t="s">
        <v>85</v>
      </c>
      <c r="D650" s="25" t="s">
        <v>24</v>
      </c>
      <c r="E650" s="25" t="s">
        <v>540</v>
      </c>
      <c r="F650" s="25" t="s">
        <v>240</v>
      </c>
      <c r="G650" s="135">
        <v>302.4</v>
      </c>
      <c r="H650" s="524"/>
      <c r="I650" s="135"/>
      <c r="J650" s="26">
        <f>H650+I650</f>
        <v>0</v>
      </c>
      <c r="K650" s="26"/>
      <c r="L650" s="26">
        <f>J650+K650</f>
        <v>0</v>
      </c>
      <c r="M650" s="40"/>
      <c r="N650" s="29">
        <f>L650+M650</f>
        <v>0</v>
      </c>
      <c r="O650" s="15">
        <f t="shared" si="199"/>
        <v>0</v>
      </c>
    </row>
    <row r="651" spans="1:15" ht="32.25" customHeight="1" hidden="1">
      <c r="A651" s="99" t="s">
        <v>408</v>
      </c>
      <c r="B651" s="25" t="s">
        <v>421</v>
      </c>
      <c r="C651" s="25" t="s">
        <v>85</v>
      </c>
      <c r="D651" s="25" t="s">
        <v>24</v>
      </c>
      <c r="E651" s="25" t="s">
        <v>409</v>
      </c>
      <c r="F651" s="25"/>
      <c r="G651" s="135">
        <f aca="true" t="shared" si="215" ref="G651:L652">G652</f>
        <v>0</v>
      </c>
      <c r="H651" s="135">
        <f t="shared" si="215"/>
        <v>110</v>
      </c>
      <c r="I651" s="135">
        <f t="shared" si="215"/>
        <v>0</v>
      </c>
      <c r="J651" s="26">
        <f t="shared" si="215"/>
        <v>0</v>
      </c>
      <c r="K651" s="26">
        <f t="shared" si="215"/>
        <v>0</v>
      </c>
      <c r="L651" s="26">
        <f t="shared" si="215"/>
        <v>0</v>
      </c>
      <c r="M651" s="40">
        <f>M652</f>
        <v>0</v>
      </c>
      <c r="N651" s="41">
        <f>N652</f>
        <v>0</v>
      </c>
      <c r="O651" s="15">
        <f t="shared" si="199"/>
        <v>0</v>
      </c>
    </row>
    <row r="652" spans="1:15" ht="57" customHeight="1" hidden="1">
      <c r="A652" s="99" t="s">
        <v>541</v>
      </c>
      <c r="B652" s="25" t="s">
        <v>421</v>
      </c>
      <c r="C652" s="25" t="s">
        <v>85</v>
      </c>
      <c r="D652" s="25" t="s">
        <v>24</v>
      </c>
      <c r="E652" s="25" t="s">
        <v>542</v>
      </c>
      <c r="F652" s="25"/>
      <c r="G652" s="135">
        <f t="shared" si="215"/>
        <v>0</v>
      </c>
      <c r="H652" s="135">
        <f t="shared" si="215"/>
        <v>110</v>
      </c>
      <c r="I652" s="135">
        <f t="shared" si="215"/>
        <v>0</v>
      </c>
      <c r="J652" s="26">
        <f t="shared" si="215"/>
        <v>0</v>
      </c>
      <c r="K652" s="26">
        <f t="shared" si="215"/>
        <v>0</v>
      </c>
      <c r="L652" s="26">
        <f t="shared" si="215"/>
        <v>0</v>
      </c>
      <c r="M652" s="40">
        <f>M653</f>
        <v>0</v>
      </c>
      <c r="N652" s="41">
        <f>N653</f>
        <v>0</v>
      </c>
      <c r="O652" s="15">
        <f t="shared" si="199"/>
        <v>0</v>
      </c>
    </row>
    <row r="653" spans="1:15" ht="30.75" customHeight="1" hidden="1" thickBot="1">
      <c r="A653" s="131" t="s">
        <v>133</v>
      </c>
      <c r="B653" s="44" t="s">
        <v>421</v>
      </c>
      <c r="C653" s="44" t="s">
        <v>85</v>
      </c>
      <c r="D653" s="44" t="s">
        <v>24</v>
      </c>
      <c r="E653" s="44" t="s">
        <v>542</v>
      </c>
      <c r="F653" s="44" t="s">
        <v>131</v>
      </c>
      <c r="G653" s="525"/>
      <c r="H653" s="526">
        <v>110</v>
      </c>
      <c r="I653" s="525"/>
      <c r="J653" s="623"/>
      <c r="K653" s="623"/>
      <c r="L653" s="623">
        <f>J653+K653</f>
        <v>0</v>
      </c>
      <c r="M653" s="40"/>
      <c r="N653" s="29">
        <f>L653+M653</f>
        <v>0</v>
      </c>
      <c r="O653" s="15">
        <f t="shared" si="199"/>
        <v>0</v>
      </c>
    </row>
    <row r="654" spans="1:15" ht="48" customHeight="1" hidden="1">
      <c r="A654" s="105" t="s">
        <v>543</v>
      </c>
      <c r="B654" s="25" t="s">
        <v>421</v>
      </c>
      <c r="C654" s="25" t="s">
        <v>85</v>
      </c>
      <c r="D654" s="25" t="s">
        <v>24</v>
      </c>
      <c r="E654" s="25" t="s">
        <v>544</v>
      </c>
      <c r="F654" s="25"/>
      <c r="G654" s="135"/>
      <c r="H654" s="524">
        <f aca="true" t="shared" si="216" ref="H654:N654">H655</f>
        <v>0</v>
      </c>
      <c r="I654" s="524">
        <f t="shared" si="216"/>
        <v>0</v>
      </c>
      <c r="J654" s="26">
        <f t="shared" si="216"/>
        <v>0</v>
      </c>
      <c r="K654" s="26">
        <f t="shared" si="216"/>
        <v>0</v>
      </c>
      <c r="L654" s="26">
        <f t="shared" si="216"/>
        <v>0</v>
      </c>
      <c r="M654" s="28">
        <f t="shared" si="216"/>
        <v>0</v>
      </c>
      <c r="N654" s="29">
        <f t="shared" si="216"/>
        <v>0</v>
      </c>
      <c r="O654" s="15">
        <f t="shared" si="199"/>
        <v>0</v>
      </c>
    </row>
    <row r="655" spans="1:15" ht="30.75" customHeight="1" hidden="1">
      <c r="A655" s="105" t="s">
        <v>133</v>
      </c>
      <c r="B655" s="25" t="s">
        <v>421</v>
      </c>
      <c r="C655" s="25" t="s">
        <v>85</v>
      </c>
      <c r="D655" s="25" t="s">
        <v>24</v>
      </c>
      <c r="E655" s="25" t="s">
        <v>544</v>
      </c>
      <c r="F655" s="25" t="s">
        <v>131</v>
      </c>
      <c r="G655" s="135"/>
      <c r="H655" s="524"/>
      <c r="I655" s="135"/>
      <c r="J655" s="26">
        <f>H655+I655</f>
        <v>0</v>
      </c>
      <c r="K655" s="26"/>
      <c r="L655" s="26">
        <f>J655+K655</f>
        <v>0</v>
      </c>
      <c r="M655" s="40"/>
      <c r="N655" s="29">
        <f>L655+M655</f>
        <v>0</v>
      </c>
      <c r="O655" s="15">
        <f aca="true" t="shared" si="217" ref="O655:O718">J655+K655-L655</f>
        <v>0</v>
      </c>
    </row>
    <row r="656" spans="1:15" ht="30.75" customHeight="1">
      <c r="A656" s="105" t="s">
        <v>1024</v>
      </c>
      <c r="B656" s="25" t="s">
        <v>421</v>
      </c>
      <c r="C656" s="25" t="s">
        <v>85</v>
      </c>
      <c r="D656" s="25" t="s">
        <v>24</v>
      </c>
      <c r="E656" s="25" t="s">
        <v>479</v>
      </c>
      <c r="F656" s="25"/>
      <c r="G656" s="135"/>
      <c r="H656" s="524"/>
      <c r="I656" s="135"/>
      <c r="J656" s="26">
        <f>J657</f>
        <v>2717.588</v>
      </c>
      <c r="K656" s="26">
        <f>K657</f>
        <v>0</v>
      </c>
      <c r="L656" s="26">
        <f>L657</f>
        <v>2717.588</v>
      </c>
      <c r="M656" s="40"/>
      <c r="N656" s="29"/>
      <c r="O656" s="15">
        <f t="shared" si="217"/>
        <v>0</v>
      </c>
    </row>
    <row r="657" spans="1:15" ht="43.5" customHeight="1">
      <c r="A657" s="105" t="s">
        <v>1026</v>
      </c>
      <c r="B657" s="25" t="s">
        <v>421</v>
      </c>
      <c r="C657" s="25" t="s">
        <v>85</v>
      </c>
      <c r="D657" s="25" t="s">
        <v>24</v>
      </c>
      <c r="E657" s="25" t="s">
        <v>479</v>
      </c>
      <c r="F657" s="25" t="s">
        <v>1010</v>
      </c>
      <c r="G657" s="135"/>
      <c r="H657" s="524"/>
      <c r="I657" s="135"/>
      <c r="J657" s="26">
        <v>2717.588</v>
      </c>
      <c r="K657" s="26"/>
      <c r="L657" s="26">
        <f>J657+K657</f>
        <v>2717.588</v>
      </c>
      <c r="M657" s="40"/>
      <c r="N657" s="29"/>
      <c r="O657" s="15">
        <f t="shared" si="217"/>
        <v>0</v>
      </c>
    </row>
    <row r="658" spans="1:15" ht="45">
      <c r="A658" s="105" t="s">
        <v>1074</v>
      </c>
      <c r="B658" s="25" t="s">
        <v>421</v>
      </c>
      <c r="C658" s="25" t="s">
        <v>85</v>
      </c>
      <c r="D658" s="25" t="s">
        <v>24</v>
      </c>
      <c r="E658" s="25" t="s">
        <v>1073</v>
      </c>
      <c r="F658" s="25"/>
      <c r="G658" s="135"/>
      <c r="H658" s="524"/>
      <c r="I658" s="135"/>
      <c r="J658" s="26">
        <f>J659</f>
        <v>472.469</v>
      </c>
      <c r="K658" s="26">
        <f>K659</f>
        <v>0</v>
      </c>
      <c r="L658" s="26">
        <f>L659</f>
        <v>472.469</v>
      </c>
      <c r="M658" s="40"/>
      <c r="N658" s="29"/>
      <c r="O658" s="15">
        <f t="shared" si="217"/>
        <v>0</v>
      </c>
    </row>
    <row r="659" spans="1:15" ht="15">
      <c r="A659" s="99" t="s">
        <v>239</v>
      </c>
      <c r="B659" s="25" t="s">
        <v>421</v>
      </c>
      <c r="C659" s="25" t="s">
        <v>85</v>
      </c>
      <c r="D659" s="25" t="s">
        <v>24</v>
      </c>
      <c r="E659" s="25" t="s">
        <v>1073</v>
      </c>
      <c r="F659" s="25" t="s">
        <v>240</v>
      </c>
      <c r="G659" s="135"/>
      <c r="H659" s="524"/>
      <c r="I659" s="135"/>
      <c r="J659" s="26">
        <v>472.469</v>
      </c>
      <c r="K659" s="26"/>
      <c r="L659" s="26">
        <f>J659+K659</f>
        <v>472.469</v>
      </c>
      <c r="M659" s="40"/>
      <c r="N659" s="29"/>
      <c r="O659" s="15">
        <f t="shared" si="217"/>
        <v>0</v>
      </c>
    </row>
    <row r="660" spans="1:15" ht="54" customHeight="1">
      <c r="A660" s="105" t="s">
        <v>1025</v>
      </c>
      <c r="B660" s="25" t="s">
        <v>421</v>
      </c>
      <c r="C660" s="25" t="s">
        <v>85</v>
      </c>
      <c r="D660" s="25" t="s">
        <v>24</v>
      </c>
      <c r="E660" s="25" t="s">
        <v>491</v>
      </c>
      <c r="F660" s="25"/>
      <c r="G660" s="135"/>
      <c r="H660" s="524"/>
      <c r="I660" s="135"/>
      <c r="J660" s="26">
        <f>J661</f>
        <v>884.374</v>
      </c>
      <c r="K660" s="26">
        <f>K661</f>
        <v>0</v>
      </c>
      <c r="L660" s="26">
        <f>L661</f>
        <v>884.374</v>
      </c>
      <c r="M660" s="40"/>
      <c r="N660" s="29"/>
      <c r="O660" s="15">
        <f t="shared" si="217"/>
        <v>0</v>
      </c>
    </row>
    <row r="661" spans="1:15" ht="60" customHeight="1">
      <c r="A661" s="105" t="s">
        <v>1026</v>
      </c>
      <c r="B661" s="25" t="s">
        <v>421</v>
      </c>
      <c r="C661" s="25" t="s">
        <v>85</v>
      </c>
      <c r="D661" s="25" t="s">
        <v>24</v>
      </c>
      <c r="E661" s="25" t="s">
        <v>491</v>
      </c>
      <c r="F661" s="25" t="s">
        <v>1010</v>
      </c>
      <c r="G661" s="135"/>
      <c r="H661" s="524"/>
      <c r="I661" s="135"/>
      <c r="J661" s="26">
        <v>884.374</v>
      </c>
      <c r="K661" s="26"/>
      <c r="L661" s="26">
        <f>J661+K661</f>
        <v>884.374</v>
      </c>
      <c r="M661" s="40"/>
      <c r="N661" s="29"/>
      <c r="O661" s="15">
        <f t="shared" si="217"/>
        <v>0</v>
      </c>
    </row>
    <row r="662" spans="1:15" ht="45">
      <c r="A662" s="105" t="s">
        <v>1075</v>
      </c>
      <c r="B662" s="25" t="s">
        <v>421</v>
      </c>
      <c r="C662" s="25" t="s">
        <v>85</v>
      </c>
      <c r="D662" s="25" t="s">
        <v>24</v>
      </c>
      <c r="E662" s="25" t="s">
        <v>544</v>
      </c>
      <c r="F662" s="25"/>
      <c r="G662" s="135"/>
      <c r="H662" s="524"/>
      <c r="I662" s="135"/>
      <c r="J662" s="26">
        <f>J663</f>
        <v>398.461</v>
      </c>
      <c r="K662" s="26">
        <f>K663</f>
        <v>0</v>
      </c>
      <c r="L662" s="26">
        <f>L663</f>
        <v>398.461</v>
      </c>
      <c r="M662" s="40"/>
      <c r="N662" s="29"/>
      <c r="O662" s="15">
        <f t="shared" si="217"/>
        <v>0</v>
      </c>
    </row>
    <row r="663" spans="1:15" ht="15">
      <c r="A663" s="99" t="s">
        <v>239</v>
      </c>
      <c r="B663" s="25" t="s">
        <v>421</v>
      </c>
      <c r="C663" s="25" t="s">
        <v>85</v>
      </c>
      <c r="D663" s="25" t="s">
        <v>24</v>
      </c>
      <c r="E663" s="25" t="s">
        <v>544</v>
      </c>
      <c r="F663" s="25" t="s">
        <v>240</v>
      </c>
      <c r="G663" s="135"/>
      <c r="H663" s="524"/>
      <c r="I663" s="135"/>
      <c r="J663" s="26">
        <v>398.461</v>
      </c>
      <c r="K663" s="26"/>
      <c r="L663" s="26">
        <f>J663+K663</f>
        <v>398.461</v>
      </c>
      <c r="M663" s="40"/>
      <c r="N663" s="29"/>
      <c r="O663" s="15">
        <f t="shared" si="217"/>
        <v>0</v>
      </c>
    </row>
    <row r="664" spans="1:15" ht="30.75" customHeight="1">
      <c r="A664" s="99" t="s">
        <v>408</v>
      </c>
      <c r="B664" s="25" t="s">
        <v>421</v>
      </c>
      <c r="C664" s="25" t="s">
        <v>85</v>
      </c>
      <c r="D664" s="25" t="s">
        <v>24</v>
      </c>
      <c r="E664" s="25" t="s">
        <v>409</v>
      </c>
      <c r="F664" s="25"/>
      <c r="G664" s="26">
        <f>G665</f>
        <v>0</v>
      </c>
      <c r="H664" s="26">
        <f>H665</f>
        <v>0</v>
      </c>
      <c r="I664" s="26">
        <f>I665</f>
        <v>0</v>
      </c>
      <c r="J664" s="26">
        <f>J665+J669</f>
        <v>666.323</v>
      </c>
      <c r="K664" s="26">
        <f>K665+K669</f>
        <v>9.72</v>
      </c>
      <c r="L664" s="26">
        <f>L665+L669</f>
        <v>676.043</v>
      </c>
      <c r="M664" s="40">
        <f>M667</f>
        <v>90</v>
      </c>
      <c r="N664" s="41">
        <f>N667</f>
        <v>90</v>
      </c>
      <c r="O664" s="15">
        <f t="shared" si="217"/>
        <v>0</v>
      </c>
    </row>
    <row r="665" spans="1:15" ht="45">
      <c r="A665" s="99" t="s">
        <v>550</v>
      </c>
      <c r="B665" s="25" t="s">
        <v>421</v>
      </c>
      <c r="C665" s="25" t="s">
        <v>85</v>
      </c>
      <c r="D665" s="25" t="s">
        <v>24</v>
      </c>
      <c r="E665" s="25" t="s">
        <v>542</v>
      </c>
      <c r="F665" s="25"/>
      <c r="G665" s="135"/>
      <c r="H665" s="135"/>
      <c r="I665" s="135"/>
      <c r="J665" s="26">
        <f>J666</f>
        <v>202.643</v>
      </c>
      <c r="K665" s="26">
        <f>K666</f>
        <v>9.72</v>
      </c>
      <c r="L665" s="26">
        <f>J665+K665</f>
        <v>212.363</v>
      </c>
      <c r="M665" s="40"/>
      <c r="N665" s="41"/>
      <c r="O665" s="15">
        <f t="shared" si="217"/>
        <v>0</v>
      </c>
    </row>
    <row r="666" spans="1:15" ht="30">
      <c r="A666" s="99" t="s">
        <v>133</v>
      </c>
      <c r="B666" s="25" t="s">
        <v>421</v>
      </c>
      <c r="C666" s="25" t="s">
        <v>85</v>
      </c>
      <c r="D666" s="25" t="s">
        <v>24</v>
      </c>
      <c r="E666" s="25" t="s">
        <v>542</v>
      </c>
      <c r="F666" s="25" t="s">
        <v>131</v>
      </c>
      <c r="G666" s="135"/>
      <c r="H666" s="135"/>
      <c r="I666" s="135"/>
      <c r="J666" s="26">
        <v>202.643</v>
      </c>
      <c r="K666" s="26">
        <v>9.72</v>
      </c>
      <c r="L666" s="26">
        <f>J666+K666</f>
        <v>212.363</v>
      </c>
      <c r="M666" s="40"/>
      <c r="N666" s="41"/>
      <c r="O666" s="15">
        <f t="shared" si="217"/>
        <v>0</v>
      </c>
    </row>
    <row r="667" spans="1:15" ht="88.5" customHeight="1" hidden="1">
      <c r="A667" s="99" t="s">
        <v>545</v>
      </c>
      <c r="B667" s="25" t="s">
        <v>421</v>
      </c>
      <c r="C667" s="25" t="s">
        <v>85</v>
      </c>
      <c r="D667" s="25" t="s">
        <v>24</v>
      </c>
      <c r="E667" s="25" t="s">
        <v>546</v>
      </c>
      <c r="F667" s="25"/>
      <c r="G667" s="135">
        <f aca="true" t="shared" si="218" ref="G667:N667">G668</f>
        <v>0</v>
      </c>
      <c r="H667" s="135">
        <f t="shared" si="218"/>
        <v>110</v>
      </c>
      <c r="I667" s="135">
        <f t="shared" si="218"/>
        <v>0</v>
      </c>
      <c r="J667" s="26">
        <f t="shared" si="218"/>
        <v>0</v>
      </c>
      <c r="K667" s="26">
        <f t="shared" si="218"/>
        <v>0</v>
      </c>
      <c r="L667" s="26">
        <f t="shared" si="218"/>
        <v>0</v>
      </c>
      <c r="M667" s="40">
        <f t="shared" si="218"/>
        <v>90</v>
      </c>
      <c r="N667" s="41">
        <f t="shared" si="218"/>
        <v>90</v>
      </c>
      <c r="O667" s="15">
        <f t="shared" si="217"/>
        <v>0</v>
      </c>
    </row>
    <row r="668" spans="1:15" ht="17.25" customHeight="1" hidden="1" thickBot="1">
      <c r="A668" s="99" t="s">
        <v>239</v>
      </c>
      <c r="B668" s="25" t="s">
        <v>421</v>
      </c>
      <c r="C668" s="25" t="s">
        <v>85</v>
      </c>
      <c r="D668" s="25" t="s">
        <v>24</v>
      </c>
      <c r="E668" s="25" t="s">
        <v>546</v>
      </c>
      <c r="F668" s="25" t="s">
        <v>240</v>
      </c>
      <c r="G668" s="135"/>
      <c r="H668" s="524">
        <v>110</v>
      </c>
      <c r="I668" s="135"/>
      <c r="J668" s="623"/>
      <c r="K668" s="26"/>
      <c r="L668" s="26">
        <f>J668+K668</f>
        <v>0</v>
      </c>
      <c r="M668" s="174">
        <v>90</v>
      </c>
      <c r="N668" s="92">
        <f>L668+M668</f>
        <v>90</v>
      </c>
      <c r="O668" s="15">
        <f t="shared" si="217"/>
        <v>0</v>
      </c>
    </row>
    <row r="669" spans="1:15" ht="29.25" customHeight="1" thickBot="1">
      <c r="A669" s="99" t="s">
        <v>402</v>
      </c>
      <c r="B669" s="25" t="s">
        <v>421</v>
      </c>
      <c r="C669" s="25" t="s">
        <v>85</v>
      </c>
      <c r="D669" s="25" t="s">
        <v>24</v>
      </c>
      <c r="E669" s="25" t="s">
        <v>907</v>
      </c>
      <c r="F669" s="25"/>
      <c r="G669" s="135"/>
      <c r="H669" s="524"/>
      <c r="I669" s="135"/>
      <c r="J669" s="26">
        <f>J670</f>
        <v>463.68</v>
      </c>
      <c r="K669" s="26">
        <f>K670</f>
        <v>0</v>
      </c>
      <c r="L669" s="26">
        <f>L670</f>
        <v>463.68</v>
      </c>
      <c r="M669" s="175"/>
      <c r="N669" s="176"/>
      <c r="O669" s="15">
        <f t="shared" si="217"/>
        <v>0</v>
      </c>
    </row>
    <row r="670" spans="1:15" ht="17.25" customHeight="1" thickBot="1">
      <c r="A670" s="99" t="s">
        <v>239</v>
      </c>
      <c r="B670" s="25" t="s">
        <v>421</v>
      </c>
      <c r="C670" s="25" t="s">
        <v>85</v>
      </c>
      <c r="D670" s="25" t="s">
        <v>24</v>
      </c>
      <c r="E670" s="25" t="s">
        <v>907</v>
      </c>
      <c r="F670" s="25" t="s">
        <v>240</v>
      </c>
      <c r="G670" s="135"/>
      <c r="H670" s="524"/>
      <c r="I670" s="135"/>
      <c r="J670" s="26">
        <v>463.68</v>
      </c>
      <c r="K670" s="26"/>
      <c r="L670" s="26">
        <f>J670+K670</f>
        <v>463.68</v>
      </c>
      <c r="M670" s="175"/>
      <c r="N670" s="176"/>
      <c r="O670" s="15">
        <f t="shared" si="217"/>
        <v>0</v>
      </c>
    </row>
    <row r="671" spans="1:15" ht="17.25" customHeight="1" thickBot="1">
      <c r="A671" s="162" t="s">
        <v>97</v>
      </c>
      <c r="B671" s="116" t="s">
        <v>421</v>
      </c>
      <c r="C671" s="116" t="s">
        <v>36</v>
      </c>
      <c r="D671" s="116"/>
      <c r="E671" s="116"/>
      <c r="F671" s="116"/>
      <c r="G671" s="539"/>
      <c r="H671" s="540"/>
      <c r="I671" s="539"/>
      <c r="J671" s="626">
        <f>J672</f>
        <v>966.721</v>
      </c>
      <c r="K671" s="626">
        <f>K672</f>
        <v>0</v>
      </c>
      <c r="L671" s="626">
        <f>L672</f>
        <v>966.721</v>
      </c>
      <c r="M671" s="175"/>
      <c r="N671" s="176"/>
      <c r="O671" s="15">
        <f t="shared" si="217"/>
        <v>0</v>
      </c>
    </row>
    <row r="672" spans="1:15" ht="30" customHeight="1" thickBot="1">
      <c r="A672" s="98" t="s">
        <v>73</v>
      </c>
      <c r="B672" s="24" t="s">
        <v>421</v>
      </c>
      <c r="C672" s="24" t="s">
        <v>36</v>
      </c>
      <c r="D672" s="24" t="s">
        <v>22</v>
      </c>
      <c r="E672" s="24"/>
      <c r="F672" s="24"/>
      <c r="G672" s="503">
        <f aca="true" t="shared" si="219" ref="G672:L674">G673</f>
        <v>0</v>
      </c>
      <c r="H672" s="503">
        <f t="shared" si="219"/>
        <v>666</v>
      </c>
      <c r="I672" s="503">
        <f t="shared" si="219"/>
        <v>0</v>
      </c>
      <c r="J672" s="504">
        <f t="shared" si="219"/>
        <v>966.721</v>
      </c>
      <c r="K672" s="504">
        <f t="shared" si="219"/>
        <v>0</v>
      </c>
      <c r="L672" s="504">
        <f t="shared" si="219"/>
        <v>966.721</v>
      </c>
      <c r="M672" s="175"/>
      <c r="N672" s="176"/>
      <c r="O672" s="15">
        <f t="shared" si="217"/>
        <v>0</v>
      </c>
    </row>
    <row r="673" spans="1:15" ht="29.25" customHeight="1" thickBot="1">
      <c r="A673" s="99" t="s">
        <v>520</v>
      </c>
      <c r="B673" s="25" t="s">
        <v>421</v>
      </c>
      <c r="C673" s="25" t="s">
        <v>36</v>
      </c>
      <c r="D673" s="25" t="s">
        <v>22</v>
      </c>
      <c r="E673" s="25" t="s">
        <v>521</v>
      </c>
      <c r="F673" s="25"/>
      <c r="G673" s="135">
        <f t="shared" si="219"/>
        <v>0</v>
      </c>
      <c r="H673" s="135">
        <f t="shared" si="219"/>
        <v>666</v>
      </c>
      <c r="I673" s="135">
        <f t="shared" si="219"/>
        <v>0</v>
      </c>
      <c r="J673" s="26">
        <f t="shared" si="219"/>
        <v>966.721</v>
      </c>
      <c r="K673" s="26">
        <f t="shared" si="219"/>
        <v>0</v>
      </c>
      <c r="L673" s="26">
        <f t="shared" si="219"/>
        <v>966.721</v>
      </c>
      <c r="M673" s="175"/>
      <c r="N673" s="176"/>
      <c r="O673" s="15">
        <f t="shared" si="217"/>
        <v>0</v>
      </c>
    </row>
    <row r="674" spans="1:15" ht="45" customHeight="1" thickBot="1">
      <c r="A674" s="105" t="s">
        <v>522</v>
      </c>
      <c r="B674" s="25" t="s">
        <v>421</v>
      </c>
      <c r="C674" s="25" t="s">
        <v>36</v>
      </c>
      <c r="D674" s="25" t="s">
        <v>22</v>
      </c>
      <c r="E674" s="25" t="s">
        <v>523</v>
      </c>
      <c r="F674" s="25"/>
      <c r="G674" s="135">
        <f t="shared" si="219"/>
        <v>0</v>
      </c>
      <c r="H674" s="135">
        <f t="shared" si="219"/>
        <v>666</v>
      </c>
      <c r="I674" s="135">
        <f t="shared" si="219"/>
        <v>0</v>
      </c>
      <c r="J674" s="26">
        <f t="shared" si="219"/>
        <v>966.721</v>
      </c>
      <c r="K674" s="26">
        <f t="shared" si="219"/>
        <v>0</v>
      </c>
      <c r="L674" s="26">
        <f t="shared" si="219"/>
        <v>966.721</v>
      </c>
      <c r="M674" s="175"/>
      <c r="N674" s="176"/>
      <c r="O674" s="15">
        <f t="shared" si="217"/>
        <v>0</v>
      </c>
    </row>
    <row r="675" spans="1:15" ht="16.5" customHeight="1" thickBot="1">
      <c r="A675" s="99" t="s">
        <v>300</v>
      </c>
      <c r="B675" s="25" t="s">
        <v>421</v>
      </c>
      <c r="C675" s="25" t="s">
        <v>36</v>
      </c>
      <c r="D675" s="25" t="s">
        <v>22</v>
      </c>
      <c r="E675" s="25" t="s">
        <v>523</v>
      </c>
      <c r="F675" s="25" t="s">
        <v>301</v>
      </c>
      <c r="G675" s="135"/>
      <c r="H675" s="135">
        <v>666</v>
      </c>
      <c r="I675" s="135"/>
      <c r="J675" s="26">
        <v>966.721</v>
      </c>
      <c r="K675" s="26"/>
      <c r="L675" s="26">
        <f>J675+K675</f>
        <v>966.721</v>
      </c>
      <c r="M675" s="175"/>
      <c r="N675" s="176"/>
      <c r="O675" s="15">
        <f t="shared" si="217"/>
        <v>0</v>
      </c>
    </row>
    <row r="676" spans="1:16" ht="30" thickBot="1">
      <c r="A676" s="550" t="s">
        <v>547</v>
      </c>
      <c r="B676" s="194" t="s">
        <v>548</v>
      </c>
      <c r="C676" s="194"/>
      <c r="D676" s="194"/>
      <c r="E676" s="194"/>
      <c r="F676" s="194"/>
      <c r="G676" s="196">
        <f>G677+G697</f>
        <v>166.57999999999998</v>
      </c>
      <c r="H676" s="196">
        <f>H677+H697+H723</f>
        <v>6376.0199999999995</v>
      </c>
      <c r="I676" s="196">
        <f>I677+I697+I723</f>
        <v>0</v>
      </c>
      <c r="J676" s="621">
        <f>J677+J697+J723+J686+J728+J682</f>
        <v>9202.79528</v>
      </c>
      <c r="K676" s="621">
        <f>K677+K697+K723+K686+K728+K682</f>
        <v>1.021405182655144E-14</v>
      </c>
      <c r="L676" s="621">
        <f>L677+L697+L723+L686+L728+L682</f>
        <v>9202.79528</v>
      </c>
      <c r="M676" s="81">
        <f>M677+M697+M723+M686</f>
        <v>52.756</v>
      </c>
      <c r="N676" s="82">
        <f>N677+N697+N723+N686</f>
        <v>5377.57315</v>
      </c>
      <c r="O676" s="15">
        <f t="shared" si="217"/>
        <v>0</v>
      </c>
      <c r="P676" s="15"/>
    </row>
    <row r="677" spans="1:15" s="148" customFormat="1" ht="15">
      <c r="A677" s="162" t="s">
        <v>18</v>
      </c>
      <c r="B677" s="32" t="s">
        <v>548</v>
      </c>
      <c r="C677" s="32" t="s">
        <v>21</v>
      </c>
      <c r="D677" s="32"/>
      <c r="E677" s="32"/>
      <c r="F677" s="32"/>
      <c r="G677" s="520">
        <f aca="true" t="shared" si="220" ref="G677:N680">G678</f>
        <v>0</v>
      </c>
      <c r="H677" s="520">
        <f t="shared" si="220"/>
        <v>774.87</v>
      </c>
      <c r="I677" s="520">
        <f t="shared" si="220"/>
        <v>0</v>
      </c>
      <c r="J677" s="622">
        <f t="shared" si="220"/>
        <v>832.74</v>
      </c>
      <c r="K677" s="622">
        <f t="shared" si="220"/>
        <v>0</v>
      </c>
      <c r="L677" s="622">
        <f t="shared" si="220"/>
        <v>832.74</v>
      </c>
      <c r="M677" s="95">
        <f t="shared" si="220"/>
        <v>-78.244</v>
      </c>
      <c r="N677" s="96">
        <f t="shared" si="220"/>
        <v>754.496</v>
      </c>
      <c r="O677" s="15">
        <f t="shared" si="217"/>
        <v>0</v>
      </c>
    </row>
    <row r="678" spans="1:15" s="102" customFormat="1" ht="75">
      <c r="A678" s="99" t="s">
        <v>268</v>
      </c>
      <c r="B678" s="24" t="s">
        <v>548</v>
      </c>
      <c r="C678" s="24" t="s">
        <v>21</v>
      </c>
      <c r="D678" s="24" t="s">
        <v>26</v>
      </c>
      <c r="E678" s="24"/>
      <c r="F678" s="24"/>
      <c r="G678" s="503">
        <f t="shared" si="220"/>
        <v>0</v>
      </c>
      <c r="H678" s="503">
        <f t="shared" si="220"/>
        <v>774.87</v>
      </c>
      <c r="I678" s="503">
        <f t="shared" si="220"/>
        <v>0</v>
      </c>
      <c r="J678" s="504">
        <f t="shared" si="220"/>
        <v>832.74</v>
      </c>
      <c r="K678" s="504">
        <f t="shared" si="220"/>
        <v>0</v>
      </c>
      <c r="L678" s="504">
        <f t="shared" si="220"/>
        <v>832.74</v>
      </c>
      <c r="M678" s="505">
        <f t="shared" si="220"/>
        <v>-78.244</v>
      </c>
      <c r="N678" s="86">
        <f t="shared" si="220"/>
        <v>754.496</v>
      </c>
      <c r="O678" s="15">
        <f t="shared" si="217"/>
        <v>0</v>
      </c>
    </row>
    <row r="679" spans="1:15" ht="30">
      <c r="A679" s="99" t="s">
        <v>407</v>
      </c>
      <c r="B679" s="25" t="s">
        <v>548</v>
      </c>
      <c r="C679" s="25" t="s">
        <v>21</v>
      </c>
      <c r="D679" s="25" t="s">
        <v>26</v>
      </c>
      <c r="E679" s="25" t="s">
        <v>189</v>
      </c>
      <c r="F679" s="25"/>
      <c r="G679" s="135">
        <f t="shared" si="220"/>
        <v>0</v>
      </c>
      <c r="H679" s="135">
        <f t="shared" si="220"/>
        <v>774.87</v>
      </c>
      <c r="I679" s="135">
        <f t="shared" si="220"/>
        <v>0</v>
      </c>
      <c r="J679" s="26">
        <f t="shared" si="220"/>
        <v>832.74</v>
      </c>
      <c r="K679" s="26">
        <f t="shared" si="220"/>
        <v>0</v>
      </c>
      <c r="L679" s="26">
        <f t="shared" si="220"/>
        <v>832.74</v>
      </c>
      <c r="M679" s="40">
        <f t="shared" si="220"/>
        <v>-78.244</v>
      </c>
      <c r="N679" s="41">
        <f t="shared" si="220"/>
        <v>754.496</v>
      </c>
      <c r="O679" s="15">
        <f t="shared" si="217"/>
        <v>0</v>
      </c>
    </row>
    <row r="680" spans="1:15" ht="15">
      <c r="A680" s="99" t="s">
        <v>190</v>
      </c>
      <c r="B680" s="25" t="s">
        <v>548</v>
      </c>
      <c r="C680" s="25" t="s">
        <v>21</v>
      </c>
      <c r="D680" s="25" t="s">
        <v>26</v>
      </c>
      <c r="E680" s="25" t="s">
        <v>191</v>
      </c>
      <c r="F680" s="25"/>
      <c r="G680" s="135">
        <f t="shared" si="220"/>
        <v>0</v>
      </c>
      <c r="H680" s="135">
        <f t="shared" si="220"/>
        <v>774.87</v>
      </c>
      <c r="I680" s="135">
        <f t="shared" si="220"/>
        <v>0</v>
      </c>
      <c r="J680" s="26">
        <f t="shared" si="220"/>
        <v>832.74</v>
      </c>
      <c r="K680" s="26">
        <f t="shared" si="220"/>
        <v>0</v>
      </c>
      <c r="L680" s="26">
        <f t="shared" si="220"/>
        <v>832.74</v>
      </c>
      <c r="M680" s="40">
        <f t="shared" si="220"/>
        <v>-78.244</v>
      </c>
      <c r="N680" s="41">
        <f t="shared" si="220"/>
        <v>754.496</v>
      </c>
      <c r="O680" s="15">
        <f t="shared" si="217"/>
        <v>0</v>
      </c>
    </row>
    <row r="681" spans="1:16" ht="30">
      <c r="A681" s="105" t="s">
        <v>133</v>
      </c>
      <c r="B681" s="25" t="s">
        <v>548</v>
      </c>
      <c r="C681" s="25" t="s">
        <v>21</v>
      </c>
      <c r="D681" s="25" t="s">
        <v>26</v>
      </c>
      <c r="E681" s="25" t="s">
        <v>191</v>
      </c>
      <c r="F681" s="25" t="s">
        <v>131</v>
      </c>
      <c r="G681" s="135"/>
      <c r="H681" s="177">
        <v>774.87</v>
      </c>
      <c r="I681" s="177"/>
      <c r="J681" s="26">
        <v>832.74</v>
      </c>
      <c r="K681" s="26"/>
      <c r="L681" s="26">
        <f>J681+K681</f>
        <v>832.74</v>
      </c>
      <c r="M681" s="40">
        <f>-78.244</f>
        <v>-78.244</v>
      </c>
      <c r="N681" s="29">
        <f>L681+M681</f>
        <v>754.496</v>
      </c>
      <c r="O681" s="15">
        <f t="shared" si="217"/>
        <v>0</v>
      </c>
      <c r="P681" s="15">
        <f>L681-O681</f>
        <v>832.74</v>
      </c>
    </row>
    <row r="682" spans="1:16" s="441" customFormat="1" ht="15">
      <c r="A682" s="438" t="s">
        <v>48</v>
      </c>
      <c r="B682" s="439" t="s">
        <v>548</v>
      </c>
      <c r="C682" s="439" t="s">
        <v>26</v>
      </c>
      <c r="D682" s="439"/>
      <c r="E682" s="439"/>
      <c r="F682" s="439"/>
      <c r="G682" s="551"/>
      <c r="H682" s="552"/>
      <c r="I682" s="552"/>
      <c r="J682" s="630">
        <f>J683</f>
        <v>51.97888</v>
      </c>
      <c r="K682" s="630">
        <f aca="true" t="shared" si="221" ref="K682:N684">K683</f>
        <v>0</v>
      </c>
      <c r="L682" s="630">
        <f t="shared" si="221"/>
        <v>51.97888</v>
      </c>
      <c r="M682" s="446">
        <f t="shared" si="221"/>
        <v>0</v>
      </c>
      <c r="N682" s="440">
        <f t="shared" si="221"/>
        <v>0</v>
      </c>
      <c r="O682" s="15">
        <f t="shared" si="217"/>
        <v>0</v>
      </c>
      <c r="P682" s="442"/>
    </row>
    <row r="683" spans="1:16" ht="15">
      <c r="A683" s="110" t="s">
        <v>50</v>
      </c>
      <c r="B683" s="24" t="s">
        <v>548</v>
      </c>
      <c r="C683" s="24" t="s">
        <v>26</v>
      </c>
      <c r="D683" s="24" t="s">
        <v>21</v>
      </c>
      <c r="E683" s="24"/>
      <c r="F683" s="24"/>
      <c r="G683" s="135"/>
      <c r="H683" s="177"/>
      <c r="I683" s="177"/>
      <c r="J683" s="504">
        <f>J684</f>
        <v>51.97888</v>
      </c>
      <c r="K683" s="504">
        <f t="shared" si="221"/>
        <v>0</v>
      </c>
      <c r="L683" s="504">
        <f t="shared" si="221"/>
        <v>51.97888</v>
      </c>
      <c r="M683" s="447">
        <f t="shared" si="221"/>
        <v>0</v>
      </c>
      <c r="N683" s="364">
        <f t="shared" si="221"/>
        <v>0</v>
      </c>
      <c r="O683" s="15">
        <f t="shared" si="217"/>
        <v>0</v>
      </c>
      <c r="P683" s="15"/>
    </row>
    <row r="684" spans="1:16" ht="30">
      <c r="A684" s="112" t="s">
        <v>1021</v>
      </c>
      <c r="B684" s="25" t="s">
        <v>548</v>
      </c>
      <c r="C684" s="25" t="s">
        <v>26</v>
      </c>
      <c r="D684" s="25" t="s">
        <v>21</v>
      </c>
      <c r="E684" s="25" t="s">
        <v>1011</v>
      </c>
      <c r="F684" s="25"/>
      <c r="G684" s="135"/>
      <c r="H684" s="177"/>
      <c r="I684" s="177"/>
      <c r="J684" s="26">
        <f>J685</f>
        <v>51.97888</v>
      </c>
      <c r="K684" s="26">
        <f t="shared" si="221"/>
        <v>0</v>
      </c>
      <c r="L684" s="26">
        <f t="shared" si="221"/>
        <v>51.97888</v>
      </c>
      <c r="M684" s="40"/>
      <c r="N684" s="29"/>
      <c r="O684" s="15">
        <f t="shared" si="217"/>
        <v>0</v>
      </c>
      <c r="P684" s="15"/>
    </row>
    <row r="685" spans="1:16" ht="30">
      <c r="A685" s="105" t="s">
        <v>133</v>
      </c>
      <c r="B685" s="25" t="s">
        <v>548</v>
      </c>
      <c r="C685" s="25" t="s">
        <v>26</v>
      </c>
      <c r="D685" s="25" t="s">
        <v>21</v>
      </c>
      <c r="E685" s="25" t="s">
        <v>1011</v>
      </c>
      <c r="F685" s="25" t="s">
        <v>140</v>
      </c>
      <c r="G685" s="135"/>
      <c r="H685" s="177"/>
      <c r="I685" s="177"/>
      <c r="J685" s="26">
        <v>51.97888</v>
      </c>
      <c r="K685" s="26"/>
      <c r="L685" s="26">
        <f>J685+K685</f>
        <v>51.97888</v>
      </c>
      <c r="M685" s="40"/>
      <c r="N685" s="29"/>
      <c r="O685" s="15">
        <f t="shared" si="217"/>
        <v>0</v>
      </c>
      <c r="P685" s="15"/>
    </row>
    <row r="686" spans="1:15" s="148" customFormat="1" ht="15">
      <c r="A686" s="167" t="s">
        <v>63</v>
      </c>
      <c r="B686" s="32" t="s">
        <v>548</v>
      </c>
      <c r="C686" s="32" t="s">
        <v>32</v>
      </c>
      <c r="D686" s="32"/>
      <c r="E686" s="32"/>
      <c r="F686" s="32"/>
      <c r="G686" s="520" t="e">
        <f>G708+G722+#REF!</f>
        <v>#REF!</v>
      </c>
      <c r="H686" s="523">
        <f>H708+H722+H687</f>
        <v>3071.02</v>
      </c>
      <c r="I686" s="523">
        <f>I708+I722+I687</f>
        <v>0</v>
      </c>
      <c r="J686" s="622">
        <f>J687</f>
        <v>260.739</v>
      </c>
      <c r="K686" s="622">
        <f>K687</f>
        <v>-3.1373</v>
      </c>
      <c r="L686" s="622">
        <f>L687</f>
        <v>257.6017</v>
      </c>
      <c r="M686" s="34">
        <f>M687</f>
        <v>50</v>
      </c>
      <c r="N686" s="85">
        <f>N687</f>
        <v>50</v>
      </c>
      <c r="O686" s="15">
        <f t="shared" si="217"/>
        <v>0</v>
      </c>
    </row>
    <row r="687" spans="1:15" s="102" customFormat="1" ht="29.25">
      <c r="A687" s="108" t="s">
        <v>68</v>
      </c>
      <c r="B687" s="24" t="s">
        <v>548</v>
      </c>
      <c r="C687" s="24" t="s">
        <v>32</v>
      </c>
      <c r="D687" s="24" t="s">
        <v>32</v>
      </c>
      <c r="E687" s="24"/>
      <c r="F687" s="24"/>
      <c r="G687" s="470">
        <f aca="true" t="shared" si="222" ref="G687:L687">G688+G692+G694+G690</f>
        <v>0</v>
      </c>
      <c r="H687" s="470">
        <f t="shared" si="222"/>
        <v>15.72</v>
      </c>
      <c r="I687" s="470">
        <f t="shared" si="222"/>
        <v>0</v>
      </c>
      <c r="J687" s="504">
        <f t="shared" si="222"/>
        <v>260.739</v>
      </c>
      <c r="K687" s="504">
        <f t="shared" si="222"/>
        <v>-3.1373</v>
      </c>
      <c r="L687" s="504">
        <f t="shared" si="222"/>
        <v>257.6017</v>
      </c>
      <c r="M687" s="505">
        <f>M688</f>
        <v>50</v>
      </c>
      <c r="N687" s="86">
        <f>N688</f>
        <v>50</v>
      </c>
      <c r="O687" s="15">
        <f t="shared" si="217"/>
        <v>0</v>
      </c>
    </row>
    <row r="688" spans="1:15" ht="30" hidden="1">
      <c r="A688" s="105" t="s">
        <v>515</v>
      </c>
      <c r="B688" s="25" t="s">
        <v>548</v>
      </c>
      <c r="C688" s="25" t="s">
        <v>32</v>
      </c>
      <c r="D688" s="25" t="s">
        <v>32</v>
      </c>
      <c r="E688" s="25" t="s">
        <v>516</v>
      </c>
      <c r="F688" s="25"/>
      <c r="G688" s="135">
        <f aca="true" t="shared" si="223" ref="G688:L688">G689</f>
        <v>0</v>
      </c>
      <c r="H688" s="135">
        <f t="shared" si="223"/>
        <v>15.72</v>
      </c>
      <c r="I688" s="135">
        <f t="shared" si="223"/>
        <v>0</v>
      </c>
      <c r="J688" s="26">
        <f t="shared" si="223"/>
        <v>0</v>
      </c>
      <c r="K688" s="26">
        <f t="shared" si="223"/>
        <v>0</v>
      </c>
      <c r="L688" s="26">
        <f t="shared" si="223"/>
        <v>0</v>
      </c>
      <c r="M688" s="40">
        <f>M689</f>
        <v>50</v>
      </c>
      <c r="N688" s="41">
        <f>N689</f>
        <v>50</v>
      </c>
      <c r="O688" s="15">
        <f t="shared" si="217"/>
        <v>0</v>
      </c>
    </row>
    <row r="689" spans="1:15" ht="30" hidden="1">
      <c r="A689" s="105" t="s">
        <v>133</v>
      </c>
      <c r="B689" s="25" t="s">
        <v>548</v>
      </c>
      <c r="C689" s="25" t="s">
        <v>32</v>
      </c>
      <c r="D689" s="25" t="s">
        <v>32</v>
      </c>
      <c r="E689" s="25" t="s">
        <v>516</v>
      </c>
      <c r="F689" s="25" t="s">
        <v>131</v>
      </c>
      <c r="G689" s="135"/>
      <c r="H689" s="135">
        <v>15.72</v>
      </c>
      <c r="I689" s="135"/>
      <c r="J689" s="26"/>
      <c r="K689" s="26"/>
      <c r="L689" s="26">
        <f>J689+K689</f>
        <v>0</v>
      </c>
      <c r="M689" s="40">
        <v>50</v>
      </c>
      <c r="N689" s="29">
        <f>L689+M689</f>
        <v>50</v>
      </c>
      <c r="O689" s="15">
        <f t="shared" si="217"/>
        <v>0</v>
      </c>
    </row>
    <row r="690" spans="1:15" ht="30">
      <c r="A690" s="553" t="s">
        <v>1077</v>
      </c>
      <c r="B690" s="25" t="s">
        <v>548</v>
      </c>
      <c r="C690" s="25" t="s">
        <v>32</v>
      </c>
      <c r="D690" s="25" t="s">
        <v>32</v>
      </c>
      <c r="E690" s="25" t="s">
        <v>516</v>
      </c>
      <c r="F690" s="25"/>
      <c r="G690" s="135"/>
      <c r="H690" s="135"/>
      <c r="I690" s="135"/>
      <c r="J690" s="26">
        <f>J691</f>
        <v>58.014</v>
      </c>
      <c r="K690" s="26">
        <f>K691</f>
        <v>0</v>
      </c>
      <c r="L690" s="26">
        <f>L691</f>
        <v>58.014</v>
      </c>
      <c r="M690" s="40"/>
      <c r="N690" s="29"/>
      <c r="O690" s="15">
        <f t="shared" si="217"/>
        <v>0</v>
      </c>
    </row>
    <row r="691" spans="1:15" ht="30">
      <c r="A691" s="164" t="s">
        <v>150</v>
      </c>
      <c r="B691" s="25" t="s">
        <v>548</v>
      </c>
      <c r="C691" s="25" t="s">
        <v>32</v>
      </c>
      <c r="D691" s="25" t="s">
        <v>32</v>
      </c>
      <c r="E691" s="25" t="s">
        <v>516</v>
      </c>
      <c r="F691" s="25" t="s">
        <v>140</v>
      </c>
      <c r="G691" s="135"/>
      <c r="H691" s="135"/>
      <c r="I691" s="135"/>
      <c r="J691" s="26">
        <v>58.014</v>
      </c>
      <c r="K691" s="26"/>
      <c r="L691" s="26">
        <f>J691+K691</f>
        <v>58.014</v>
      </c>
      <c r="M691" s="40"/>
      <c r="N691" s="29"/>
      <c r="O691" s="15">
        <f t="shared" si="217"/>
        <v>0</v>
      </c>
    </row>
    <row r="692" spans="1:15" ht="30">
      <c r="A692" s="99" t="s">
        <v>143</v>
      </c>
      <c r="B692" s="25" t="s">
        <v>548</v>
      </c>
      <c r="C692" s="25" t="s">
        <v>32</v>
      </c>
      <c r="D692" s="25" t="s">
        <v>32</v>
      </c>
      <c r="E692" s="25" t="s">
        <v>549</v>
      </c>
      <c r="F692" s="25"/>
      <c r="G692" s="135"/>
      <c r="H692" s="135"/>
      <c r="I692" s="135"/>
      <c r="J692" s="26">
        <f>J693</f>
        <v>131.725</v>
      </c>
      <c r="K692" s="26">
        <f>K693</f>
        <v>-3.1373</v>
      </c>
      <c r="L692" s="26">
        <f>L693</f>
        <v>128.58769999999998</v>
      </c>
      <c r="M692" s="40"/>
      <c r="N692" s="29"/>
      <c r="O692" s="15">
        <f t="shared" si="217"/>
        <v>0</v>
      </c>
    </row>
    <row r="693" spans="1:16" ht="30">
      <c r="A693" s="164" t="s">
        <v>150</v>
      </c>
      <c r="B693" s="25" t="s">
        <v>548</v>
      </c>
      <c r="C693" s="25" t="s">
        <v>32</v>
      </c>
      <c r="D693" s="25" t="s">
        <v>32</v>
      </c>
      <c r="E693" s="25" t="s">
        <v>549</v>
      </c>
      <c r="F693" s="25" t="s">
        <v>140</v>
      </c>
      <c r="G693" s="135"/>
      <c r="H693" s="135"/>
      <c r="I693" s="135"/>
      <c r="J693" s="26">
        <v>131.725</v>
      </c>
      <c r="K693" s="26">
        <v>-3.1373</v>
      </c>
      <c r="L693" s="26">
        <f>J693+K693</f>
        <v>128.58769999999998</v>
      </c>
      <c r="M693" s="40"/>
      <c r="N693" s="29"/>
      <c r="O693" s="15">
        <f t="shared" si="217"/>
        <v>0</v>
      </c>
      <c r="P693" s="15">
        <f>L693-O693</f>
        <v>128.58769999999998</v>
      </c>
    </row>
    <row r="694" spans="1:15" ht="30">
      <c r="A694" s="99" t="s">
        <v>408</v>
      </c>
      <c r="B694" s="25" t="s">
        <v>548</v>
      </c>
      <c r="C694" s="25" t="s">
        <v>32</v>
      </c>
      <c r="D694" s="25" t="s">
        <v>32</v>
      </c>
      <c r="E694" s="25" t="s">
        <v>409</v>
      </c>
      <c r="F694" s="25"/>
      <c r="G694" s="135"/>
      <c r="H694" s="135"/>
      <c r="I694" s="135"/>
      <c r="J694" s="26">
        <f aca="true" t="shared" si="224" ref="J694:L695">J695</f>
        <v>71</v>
      </c>
      <c r="K694" s="26">
        <f t="shared" si="224"/>
        <v>0</v>
      </c>
      <c r="L694" s="26">
        <f t="shared" si="224"/>
        <v>71</v>
      </c>
      <c r="M694" s="40"/>
      <c r="N694" s="29"/>
      <c r="O694" s="15">
        <f t="shared" si="217"/>
        <v>0</v>
      </c>
    </row>
    <row r="695" spans="1:15" ht="45">
      <c r="A695" s="99" t="s">
        <v>550</v>
      </c>
      <c r="B695" s="25" t="s">
        <v>548</v>
      </c>
      <c r="C695" s="25" t="s">
        <v>32</v>
      </c>
      <c r="D695" s="25" t="s">
        <v>32</v>
      </c>
      <c r="E695" s="25" t="s">
        <v>542</v>
      </c>
      <c r="F695" s="25"/>
      <c r="G695" s="135"/>
      <c r="H695" s="135"/>
      <c r="I695" s="135"/>
      <c r="J695" s="26">
        <f t="shared" si="224"/>
        <v>71</v>
      </c>
      <c r="K695" s="26">
        <f t="shared" si="224"/>
        <v>0</v>
      </c>
      <c r="L695" s="26">
        <f t="shared" si="224"/>
        <v>71</v>
      </c>
      <c r="M695" s="40"/>
      <c r="N695" s="29"/>
      <c r="O695" s="15">
        <f t="shared" si="217"/>
        <v>0</v>
      </c>
    </row>
    <row r="696" spans="1:16" ht="30">
      <c r="A696" s="99" t="s">
        <v>133</v>
      </c>
      <c r="B696" s="25" t="s">
        <v>548</v>
      </c>
      <c r="C696" s="25" t="s">
        <v>32</v>
      </c>
      <c r="D696" s="25" t="s">
        <v>32</v>
      </c>
      <c r="E696" s="25" t="s">
        <v>542</v>
      </c>
      <c r="F696" s="25" t="s">
        <v>131</v>
      </c>
      <c r="G696" s="135"/>
      <c r="H696" s="135"/>
      <c r="I696" s="135"/>
      <c r="J696" s="26">
        <v>71</v>
      </c>
      <c r="K696" s="26"/>
      <c r="L696" s="26">
        <f>J696+K696</f>
        <v>71</v>
      </c>
      <c r="M696" s="40"/>
      <c r="N696" s="29"/>
      <c r="O696" s="15">
        <f t="shared" si="217"/>
        <v>0</v>
      </c>
      <c r="P696" s="15">
        <f>L696-O696</f>
        <v>71</v>
      </c>
    </row>
    <row r="697" spans="1:15" s="148" customFormat="1" ht="29.25">
      <c r="A697" s="162" t="s">
        <v>551</v>
      </c>
      <c r="B697" s="32" t="s">
        <v>548</v>
      </c>
      <c r="C697" s="32" t="s">
        <v>53</v>
      </c>
      <c r="D697" s="32"/>
      <c r="E697" s="32"/>
      <c r="F697" s="32"/>
      <c r="G697" s="520">
        <f>G698+G719</f>
        <v>166.57999999999998</v>
      </c>
      <c r="H697" s="520">
        <f>H698+H719</f>
        <v>5601.15</v>
      </c>
      <c r="I697" s="520">
        <f>I698+I719</f>
        <v>0</v>
      </c>
      <c r="J697" s="622">
        <f>J698+J719+J715</f>
        <v>6778.598400000001</v>
      </c>
      <c r="K697" s="622">
        <f>K698+K719+K715</f>
        <v>3.1373000000000104</v>
      </c>
      <c r="L697" s="622">
        <f>L698+L719+L715</f>
        <v>6781.7357</v>
      </c>
      <c r="M697" s="140">
        <f>M698+M719+M715</f>
        <v>1</v>
      </c>
      <c r="N697" s="33">
        <f>N698+N719+N715</f>
        <v>4493.07715</v>
      </c>
      <c r="O697" s="15">
        <f t="shared" si="217"/>
        <v>0</v>
      </c>
    </row>
    <row r="698" spans="1:15" s="102" customFormat="1" ht="15">
      <c r="A698" s="98" t="s">
        <v>72</v>
      </c>
      <c r="B698" s="24" t="s">
        <v>548</v>
      </c>
      <c r="C698" s="24" t="s">
        <v>53</v>
      </c>
      <c r="D698" s="24" t="s">
        <v>21</v>
      </c>
      <c r="E698" s="24"/>
      <c r="F698" s="24"/>
      <c r="G698" s="503">
        <f aca="true" t="shared" si="225" ref="G698:M698">G699+G706</f>
        <v>137.57999999999998</v>
      </c>
      <c r="H698" s="503">
        <f t="shared" si="225"/>
        <v>3820.25</v>
      </c>
      <c r="I698" s="503">
        <f t="shared" si="225"/>
        <v>0</v>
      </c>
      <c r="J698" s="504">
        <f>J699+J706+J711+J713</f>
        <v>4610.121</v>
      </c>
      <c r="K698" s="504">
        <f>K699+K706+K711+K713</f>
        <v>-74.54384999999999</v>
      </c>
      <c r="L698" s="504">
        <f>L699+L706+L711+L713</f>
        <v>4535.57715</v>
      </c>
      <c r="M698" s="505">
        <f t="shared" si="225"/>
        <v>51</v>
      </c>
      <c r="N698" s="86">
        <f>N699+N706</f>
        <v>4543.07715</v>
      </c>
      <c r="O698" s="15">
        <f t="shared" si="217"/>
        <v>0</v>
      </c>
    </row>
    <row r="699" spans="1:15" ht="15">
      <c r="A699" s="99" t="s">
        <v>552</v>
      </c>
      <c r="B699" s="25" t="s">
        <v>548</v>
      </c>
      <c r="C699" s="25" t="s">
        <v>53</v>
      </c>
      <c r="D699" s="25" t="s">
        <v>21</v>
      </c>
      <c r="E699" s="25" t="s">
        <v>553</v>
      </c>
      <c r="F699" s="25"/>
      <c r="G699" s="135">
        <f aca="true" t="shared" si="226" ref="G699:N699">G700</f>
        <v>67.58</v>
      </c>
      <c r="H699" s="135">
        <f t="shared" si="226"/>
        <v>2510.85</v>
      </c>
      <c r="I699" s="135">
        <f t="shared" si="226"/>
        <v>0</v>
      </c>
      <c r="J699" s="26">
        <f t="shared" si="226"/>
        <v>1241.22</v>
      </c>
      <c r="K699" s="26">
        <f t="shared" si="226"/>
        <v>-17.39728</v>
      </c>
      <c r="L699" s="26">
        <f t="shared" si="226"/>
        <v>1223.8227200000001</v>
      </c>
      <c r="M699" s="40">
        <f t="shared" si="226"/>
        <v>-39</v>
      </c>
      <c r="N699" s="41">
        <f t="shared" si="226"/>
        <v>1184.8227200000001</v>
      </c>
      <c r="O699" s="15">
        <f t="shared" si="217"/>
        <v>0</v>
      </c>
    </row>
    <row r="700" spans="1:15" ht="30">
      <c r="A700" s="99" t="s">
        <v>143</v>
      </c>
      <c r="B700" s="25" t="s">
        <v>548</v>
      </c>
      <c r="C700" s="25" t="s">
        <v>53</v>
      </c>
      <c r="D700" s="25" t="s">
        <v>21</v>
      </c>
      <c r="E700" s="25" t="s">
        <v>317</v>
      </c>
      <c r="F700" s="25"/>
      <c r="G700" s="135">
        <f>G701</f>
        <v>67.58</v>
      </c>
      <c r="H700" s="135">
        <f>H701</f>
        <v>2510.85</v>
      </c>
      <c r="I700" s="135">
        <f>I701</f>
        <v>0</v>
      </c>
      <c r="J700" s="26">
        <f>J701+J702+J704</f>
        <v>1241.22</v>
      </c>
      <c r="K700" s="26">
        <f>K701+K702+K704</f>
        <v>-17.39728</v>
      </c>
      <c r="L700" s="26">
        <f>L701+L702+L704</f>
        <v>1223.8227200000001</v>
      </c>
      <c r="M700" s="40">
        <f>M701</f>
        <v>-39</v>
      </c>
      <c r="N700" s="41">
        <f>N701</f>
        <v>1184.8227200000001</v>
      </c>
      <c r="O700" s="15">
        <f t="shared" si="217"/>
        <v>0</v>
      </c>
    </row>
    <row r="701" spans="1:16" ht="30">
      <c r="A701" s="99" t="s">
        <v>139</v>
      </c>
      <c r="B701" s="25" t="s">
        <v>548</v>
      </c>
      <c r="C701" s="25" t="s">
        <v>53</v>
      </c>
      <c r="D701" s="25" t="s">
        <v>21</v>
      </c>
      <c r="E701" s="25" t="s">
        <v>317</v>
      </c>
      <c r="F701" s="25" t="s">
        <v>140</v>
      </c>
      <c r="G701" s="135">
        <f>67.58</f>
        <v>67.58</v>
      </c>
      <c r="H701" s="524">
        <v>2510.85</v>
      </c>
      <c r="I701" s="135"/>
      <c r="J701" s="26">
        <v>1241.22</v>
      </c>
      <c r="K701" s="26">
        <f>-17.39728</f>
        <v>-17.39728</v>
      </c>
      <c r="L701" s="26">
        <f>J701+K701</f>
        <v>1223.8227200000001</v>
      </c>
      <c r="M701" s="178">
        <f>-4-35</f>
        <v>-39</v>
      </c>
      <c r="N701" s="29">
        <f>L701+M701</f>
        <v>1184.8227200000001</v>
      </c>
      <c r="O701" s="15">
        <f t="shared" si="217"/>
        <v>0</v>
      </c>
      <c r="P701" s="15">
        <f>L701-O701</f>
        <v>1223.8227200000001</v>
      </c>
    </row>
    <row r="702" spans="1:16" ht="30" hidden="1">
      <c r="A702" s="30" t="s">
        <v>554</v>
      </c>
      <c r="B702" s="25" t="s">
        <v>548</v>
      </c>
      <c r="C702" s="25" t="s">
        <v>53</v>
      </c>
      <c r="D702" s="25" t="s">
        <v>21</v>
      </c>
      <c r="E702" s="25" t="s">
        <v>317</v>
      </c>
      <c r="F702" s="25"/>
      <c r="G702" s="135"/>
      <c r="H702" s="524"/>
      <c r="I702" s="135"/>
      <c r="J702" s="26">
        <f>J703</f>
        <v>0</v>
      </c>
      <c r="K702" s="26">
        <f>K703</f>
        <v>0</v>
      </c>
      <c r="L702" s="26">
        <f>L703</f>
        <v>0</v>
      </c>
      <c r="M702" s="178"/>
      <c r="N702" s="29"/>
      <c r="O702" s="15">
        <f t="shared" si="217"/>
        <v>0</v>
      </c>
      <c r="P702" s="87"/>
    </row>
    <row r="703" spans="1:16" ht="30" hidden="1">
      <c r="A703" s="30" t="s">
        <v>150</v>
      </c>
      <c r="B703" s="25" t="s">
        <v>548</v>
      </c>
      <c r="C703" s="25" t="s">
        <v>53</v>
      </c>
      <c r="D703" s="25" t="s">
        <v>21</v>
      </c>
      <c r="E703" s="25" t="s">
        <v>555</v>
      </c>
      <c r="F703" s="25" t="s">
        <v>140</v>
      </c>
      <c r="G703" s="135"/>
      <c r="H703" s="524"/>
      <c r="I703" s="135"/>
      <c r="J703" s="26"/>
      <c r="K703" s="26"/>
      <c r="L703" s="26">
        <f>J703+K703</f>
        <v>0</v>
      </c>
      <c r="M703" s="178"/>
      <c r="N703" s="29"/>
      <c r="O703" s="15">
        <f t="shared" si="217"/>
        <v>0</v>
      </c>
      <c r="P703" s="87"/>
    </row>
    <row r="704" spans="1:16" ht="45" hidden="1">
      <c r="A704" s="30" t="s">
        <v>153</v>
      </c>
      <c r="B704" s="25" t="s">
        <v>548</v>
      </c>
      <c r="C704" s="25" t="s">
        <v>53</v>
      </c>
      <c r="D704" s="25" t="s">
        <v>21</v>
      </c>
      <c r="E704" s="25" t="s">
        <v>317</v>
      </c>
      <c r="F704" s="25"/>
      <c r="G704" s="135"/>
      <c r="H704" s="524"/>
      <c r="I704" s="135"/>
      <c r="J704" s="26">
        <f>J705</f>
        <v>0</v>
      </c>
      <c r="K704" s="26">
        <f>K705</f>
        <v>0</v>
      </c>
      <c r="L704" s="26">
        <f>L705</f>
        <v>0</v>
      </c>
      <c r="M704" s="178"/>
      <c r="N704" s="29"/>
      <c r="O704" s="15">
        <f t="shared" si="217"/>
        <v>0</v>
      </c>
      <c r="P704" s="87"/>
    </row>
    <row r="705" spans="1:16" ht="30" hidden="1">
      <c r="A705" s="30" t="s">
        <v>150</v>
      </c>
      <c r="B705" s="25" t="s">
        <v>548</v>
      </c>
      <c r="C705" s="25" t="s">
        <v>53</v>
      </c>
      <c r="D705" s="25" t="s">
        <v>21</v>
      </c>
      <c r="E705" s="25" t="s">
        <v>556</v>
      </c>
      <c r="F705" s="25" t="s">
        <v>140</v>
      </c>
      <c r="G705" s="135"/>
      <c r="H705" s="524"/>
      <c r="I705" s="135"/>
      <c r="J705" s="26"/>
      <c r="K705" s="26">
        <v>0</v>
      </c>
      <c r="L705" s="623">
        <f>J705+K705</f>
        <v>0</v>
      </c>
      <c r="M705" s="178"/>
      <c r="N705" s="29"/>
      <c r="O705" s="15">
        <f t="shared" si="217"/>
        <v>0</v>
      </c>
      <c r="P705" s="87"/>
    </row>
    <row r="706" spans="1:15" ht="45">
      <c r="A706" s="99" t="s">
        <v>557</v>
      </c>
      <c r="B706" s="25" t="s">
        <v>548</v>
      </c>
      <c r="C706" s="25" t="s">
        <v>53</v>
      </c>
      <c r="D706" s="25" t="s">
        <v>21</v>
      </c>
      <c r="E706" s="25" t="s">
        <v>558</v>
      </c>
      <c r="F706" s="25"/>
      <c r="G706" s="135">
        <f aca="true" t="shared" si="227" ref="G706:M706">G707+G709</f>
        <v>70</v>
      </c>
      <c r="H706" s="135">
        <f t="shared" si="227"/>
        <v>1309.4</v>
      </c>
      <c r="I706" s="135">
        <f t="shared" si="227"/>
        <v>0</v>
      </c>
      <c r="J706" s="26">
        <f t="shared" si="227"/>
        <v>3325.401</v>
      </c>
      <c r="K706" s="26">
        <f t="shared" si="227"/>
        <v>-57.14657</v>
      </c>
      <c r="L706" s="26">
        <f t="shared" si="227"/>
        <v>3268.25443</v>
      </c>
      <c r="M706" s="40">
        <f t="shared" si="227"/>
        <v>90</v>
      </c>
      <c r="N706" s="41">
        <f>N707+N709</f>
        <v>3358.25443</v>
      </c>
      <c r="O706" s="15">
        <f t="shared" si="217"/>
        <v>0</v>
      </c>
    </row>
    <row r="707" spans="1:15" ht="30">
      <c r="A707" s="99" t="s">
        <v>143</v>
      </c>
      <c r="B707" s="25" t="s">
        <v>548</v>
      </c>
      <c r="C707" s="25" t="s">
        <v>53</v>
      </c>
      <c r="D707" s="25" t="s">
        <v>21</v>
      </c>
      <c r="E707" s="25" t="s">
        <v>559</v>
      </c>
      <c r="F707" s="25"/>
      <c r="G707" s="135">
        <f aca="true" t="shared" si="228" ref="G707:N707">G708</f>
        <v>70</v>
      </c>
      <c r="H707" s="135">
        <f t="shared" si="228"/>
        <v>1274.4</v>
      </c>
      <c r="I707" s="135">
        <f t="shared" si="228"/>
        <v>0</v>
      </c>
      <c r="J707" s="26">
        <f t="shared" si="228"/>
        <v>3287.401</v>
      </c>
      <c r="K707" s="26">
        <f t="shared" si="228"/>
        <v>-57.14657</v>
      </c>
      <c r="L707" s="26">
        <f t="shared" si="228"/>
        <v>3230.25443</v>
      </c>
      <c r="M707" s="40">
        <f t="shared" si="228"/>
        <v>90</v>
      </c>
      <c r="N707" s="41">
        <f t="shared" si="228"/>
        <v>3320.25443</v>
      </c>
      <c r="O707" s="15">
        <f t="shared" si="217"/>
        <v>0</v>
      </c>
    </row>
    <row r="708" spans="1:16" ht="30">
      <c r="A708" s="99" t="s">
        <v>139</v>
      </c>
      <c r="B708" s="25" t="s">
        <v>548</v>
      </c>
      <c r="C708" s="25" t="s">
        <v>53</v>
      </c>
      <c r="D708" s="25" t="s">
        <v>21</v>
      </c>
      <c r="E708" s="25" t="s">
        <v>559</v>
      </c>
      <c r="F708" s="25" t="s">
        <v>140</v>
      </c>
      <c r="G708" s="135">
        <f>10+60</f>
        <v>70</v>
      </c>
      <c r="H708" s="524">
        <v>1274.4</v>
      </c>
      <c r="I708" s="135"/>
      <c r="J708" s="26">
        <v>3287.401</v>
      </c>
      <c r="K708" s="26">
        <v>-57.14657</v>
      </c>
      <c r="L708" s="26">
        <f>J708+K708</f>
        <v>3230.25443</v>
      </c>
      <c r="M708" s="40">
        <v>90</v>
      </c>
      <c r="N708" s="29">
        <f>L708+M708</f>
        <v>3320.25443</v>
      </c>
      <c r="O708" s="15">
        <f t="shared" si="217"/>
        <v>0</v>
      </c>
      <c r="P708" s="15">
        <f>L708-O708</f>
        <v>3230.25443</v>
      </c>
    </row>
    <row r="709" spans="1:15" ht="30">
      <c r="A709" s="99" t="s">
        <v>143</v>
      </c>
      <c r="B709" s="25" t="s">
        <v>548</v>
      </c>
      <c r="C709" s="25" t="s">
        <v>53</v>
      </c>
      <c r="D709" s="25" t="s">
        <v>21</v>
      </c>
      <c r="E709" s="25" t="s">
        <v>560</v>
      </c>
      <c r="F709" s="25"/>
      <c r="G709" s="135">
        <f aca="true" t="shared" si="229" ref="G709:N709">G710</f>
        <v>0</v>
      </c>
      <c r="H709" s="524">
        <f t="shared" si="229"/>
        <v>35</v>
      </c>
      <c r="I709" s="135">
        <f t="shared" si="229"/>
        <v>0</v>
      </c>
      <c r="J709" s="26">
        <f t="shared" si="229"/>
        <v>38</v>
      </c>
      <c r="K709" s="26">
        <f t="shared" si="229"/>
        <v>0</v>
      </c>
      <c r="L709" s="26">
        <f t="shared" si="229"/>
        <v>38</v>
      </c>
      <c r="M709" s="40">
        <f t="shared" si="229"/>
        <v>0</v>
      </c>
      <c r="N709" s="29">
        <f t="shared" si="229"/>
        <v>38</v>
      </c>
      <c r="O709" s="15">
        <f t="shared" si="217"/>
        <v>0</v>
      </c>
    </row>
    <row r="710" spans="1:19" ht="30">
      <c r="A710" s="99" t="s">
        <v>139</v>
      </c>
      <c r="B710" s="25" t="s">
        <v>548</v>
      </c>
      <c r="C710" s="25" t="s">
        <v>53</v>
      </c>
      <c r="D710" s="25" t="s">
        <v>21</v>
      </c>
      <c r="E710" s="25" t="s">
        <v>560</v>
      </c>
      <c r="F710" s="25" t="s">
        <v>140</v>
      </c>
      <c r="G710" s="135"/>
      <c r="H710" s="524">
        <v>35</v>
      </c>
      <c r="I710" s="135"/>
      <c r="J710" s="26">
        <v>38</v>
      </c>
      <c r="K710" s="26"/>
      <c r="L710" s="26">
        <f>J710+K710</f>
        <v>38</v>
      </c>
      <c r="M710" s="40"/>
      <c r="N710" s="29">
        <f>L710+M710</f>
        <v>38</v>
      </c>
      <c r="O710" s="15">
        <f t="shared" si="217"/>
        <v>0</v>
      </c>
      <c r="S710" s="144"/>
    </row>
    <row r="711" spans="1:15" ht="45">
      <c r="A711" s="99" t="s">
        <v>561</v>
      </c>
      <c r="B711" s="25" t="s">
        <v>548</v>
      </c>
      <c r="C711" s="25" t="s">
        <v>53</v>
      </c>
      <c r="D711" s="25" t="s">
        <v>21</v>
      </c>
      <c r="E711" s="25" t="s">
        <v>562</v>
      </c>
      <c r="F711" s="25"/>
      <c r="G711" s="135"/>
      <c r="H711" s="524"/>
      <c r="I711" s="135"/>
      <c r="J711" s="26">
        <f>J712</f>
        <v>0</v>
      </c>
      <c r="K711" s="26">
        <f>K712</f>
        <v>0</v>
      </c>
      <c r="L711" s="26">
        <f>L712</f>
        <v>0</v>
      </c>
      <c r="M711" s="40"/>
      <c r="N711" s="29"/>
      <c r="O711" s="15">
        <f t="shared" si="217"/>
        <v>0</v>
      </c>
    </row>
    <row r="712" spans="1:19" ht="30">
      <c r="A712" s="99" t="s">
        <v>139</v>
      </c>
      <c r="B712" s="25" t="s">
        <v>548</v>
      </c>
      <c r="C712" s="25" t="s">
        <v>53</v>
      </c>
      <c r="D712" s="25" t="s">
        <v>21</v>
      </c>
      <c r="E712" s="25" t="s">
        <v>562</v>
      </c>
      <c r="F712" s="25" t="s">
        <v>140</v>
      </c>
      <c r="G712" s="135"/>
      <c r="H712" s="524"/>
      <c r="I712" s="135"/>
      <c r="J712" s="26">
        <v>0</v>
      </c>
      <c r="K712" s="26"/>
      <c r="L712" s="26">
        <f>J712+K712</f>
        <v>0</v>
      </c>
      <c r="M712" s="40"/>
      <c r="N712" s="29"/>
      <c r="O712" s="15">
        <f t="shared" si="217"/>
        <v>0</v>
      </c>
      <c r="P712" s="15">
        <f>K712</f>
        <v>0</v>
      </c>
      <c r="S712" s="144"/>
    </row>
    <row r="713" spans="1:19" ht="45">
      <c r="A713" s="99" t="s">
        <v>561</v>
      </c>
      <c r="B713" s="25" t="s">
        <v>548</v>
      </c>
      <c r="C713" s="25" t="s">
        <v>53</v>
      </c>
      <c r="D713" s="25" t="s">
        <v>21</v>
      </c>
      <c r="E713" s="25" t="s">
        <v>1015</v>
      </c>
      <c r="F713" s="25"/>
      <c r="G713" s="135"/>
      <c r="H713" s="524"/>
      <c r="I713" s="135"/>
      <c r="J713" s="26">
        <f>J714</f>
        <v>43.5</v>
      </c>
      <c r="K713" s="26">
        <f>K714</f>
        <v>0</v>
      </c>
      <c r="L713" s="26">
        <f>L714</f>
        <v>43.5</v>
      </c>
      <c r="M713" s="40"/>
      <c r="N713" s="29"/>
      <c r="O713" s="15">
        <f t="shared" si="217"/>
        <v>0</v>
      </c>
      <c r="P713" s="15"/>
      <c r="S713" s="144"/>
    </row>
    <row r="714" spans="1:19" ht="30">
      <c r="A714" s="99" t="s">
        <v>139</v>
      </c>
      <c r="B714" s="25" t="s">
        <v>548</v>
      </c>
      <c r="C714" s="25" t="s">
        <v>53</v>
      </c>
      <c r="D714" s="25" t="s">
        <v>21</v>
      </c>
      <c r="E714" s="25" t="s">
        <v>1015</v>
      </c>
      <c r="F714" s="25" t="s">
        <v>140</v>
      </c>
      <c r="G714" s="135"/>
      <c r="H714" s="524"/>
      <c r="I714" s="135"/>
      <c r="J714" s="26">
        <v>43.5</v>
      </c>
      <c r="K714" s="26"/>
      <c r="L714" s="26">
        <f>J714+K714</f>
        <v>43.5</v>
      </c>
      <c r="M714" s="40"/>
      <c r="N714" s="29"/>
      <c r="O714" s="15">
        <f t="shared" si="217"/>
        <v>0</v>
      </c>
      <c r="P714" s="15"/>
      <c r="S714" s="144"/>
    </row>
    <row r="715" spans="1:15" ht="29.25">
      <c r="A715" s="98" t="s">
        <v>563</v>
      </c>
      <c r="B715" s="24" t="s">
        <v>548</v>
      </c>
      <c r="C715" s="24" t="s">
        <v>53</v>
      </c>
      <c r="D715" s="24" t="s">
        <v>26</v>
      </c>
      <c r="E715" s="24"/>
      <c r="F715" s="24"/>
      <c r="G715" s="503">
        <f aca="true" t="shared" si="230" ref="G715:L717">G716</f>
        <v>29</v>
      </c>
      <c r="H715" s="503">
        <f t="shared" si="230"/>
        <v>1780.9</v>
      </c>
      <c r="I715" s="503">
        <f t="shared" si="230"/>
        <v>0</v>
      </c>
      <c r="J715" s="504">
        <f t="shared" si="230"/>
        <v>2168.4774</v>
      </c>
      <c r="K715" s="504">
        <f t="shared" si="230"/>
        <v>77.68115</v>
      </c>
      <c r="L715" s="504">
        <f t="shared" si="230"/>
        <v>2246.15855</v>
      </c>
      <c r="M715" s="40"/>
      <c r="N715" s="29"/>
      <c r="O715" s="15">
        <f t="shared" si="217"/>
        <v>0</v>
      </c>
    </row>
    <row r="716" spans="1:15" ht="45">
      <c r="A716" s="99" t="s">
        <v>525</v>
      </c>
      <c r="B716" s="25" t="s">
        <v>548</v>
      </c>
      <c r="C716" s="25" t="s">
        <v>53</v>
      </c>
      <c r="D716" s="25" t="s">
        <v>26</v>
      </c>
      <c r="E716" s="25" t="s">
        <v>173</v>
      </c>
      <c r="F716" s="25"/>
      <c r="G716" s="135">
        <f t="shared" si="230"/>
        <v>29</v>
      </c>
      <c r="H716" s="135">
        <f t="shared" si="230"/>
        <v>1780.9</v>
      </c>
      <c r="I716" s="135">
        <f t="shared" si="230"/>
        <v>0</v>
      </c>
      <c r="J716" s="26">
        <f t="shared" si="230"/>
        <v>2168.4774</v>
      </c>
      <c r="K716" s="26">
        <f t="shared" si="230"/>
        <v>77.68115</v>
      </c>
      <c r="L716" s="26">
        <f>L717</f>
        <v>2246.15855</v>
      </c>
      <c r="M716" s="40"/>
      <c r="N716" s="29"/>
      <c r="O716" s="15">
        <f t="shared" si="217"/>
        <v>0</v>
      </c>
    </row>
    <row r="717" spans="1:15" ht="30">
      <c r="A717" s="99" t="s">
        <v>143</v>
      </c>
      <c r="B717" s="25" t="s">
        <v>548</v>
      </c>
      <c r="C717" s="25" t="s">
        <v>53</v>
      </c>
      <c r="D717" s="25" t="s">
        <v>26</v>
      </c>
      <c r="E717" s="25" t="s">
        <v>174</v>
      </c>
      <c r="F717" s="25"/>
      <c r="G717" s="135">
        <f t="shared" si="230"/>
        <v>29</v>
      </c>
      <c r="H717" s="135">
        <f t="shared" si="230"/>
        <v>1780.9</v>
      </c>
      <c r="I717" s="135">
        <f t="shared" si="230"/>
        <v>0</v>
      </c>
      <c r="J717" s="26">
        <f t="shared" si="230"/>
        <v>2168.4774</v>
      </c>
      <c r="K717" s="26">
        <f t="shared" si="230"/>
        <v>77.68115</v>
      </c>
      <c r="L717" s="26">
        <f t="shared" si="230"/>
        <v>2246.15855</v>
      </c>
      <c r="M717" s="40"/>
      <c r="N717" s="29"/>
      <c r="O717" s="15">
        <f t="shared" si="217"/>
        <v>0</v>
      </c>
    </row>
    <row r="718" spans="1:16" ht="30">
      <c r="A718" s="99" t="s">
        <v>139</v>
      </c>
      <c r="B718" s="25" t="s">
        <v>548</v>
      </c>
      <c r="C718" s="25" t="s">
        <v>53</v>
      </c>
      <c r="D718" s="25" t="s">
        <v>26</v>
      </c>
      <c r="E718" s="25" t="s">
        <v>174</v>
      </c>
      <c r="F718" s="25" t="s">
        <v>140</v>
      </c>
      <c r="G718" s="135">
        <v>29</v>
      </c>
      <c r="H718" s="524">
        <v>1780.9</v>
      </c>
      <c r="I718" s="135"/>
      <c r="J718" s="26">
        <v>2168.4774</v>
      </c>
      <c r="K718" s="26">
        <v>77.68115</v>
      </c>
      <c r="L718" s="26">
        <f>J718+K718</f>
        <v>2246.15855</v>
      </c>
      <c r="M718" s="40"/>
      <c r="N718" s="29"/>
      <c r="O718" s="15">
        <f t="shared" si="217"/>
        <v>0</v>
      </c>
      <c r="P718" s="15"/>
    </row>
    <row r="719" spans="1:15" s="102" customFormat="1" ht="43.5" hidden="1">
      <c r="A719" s="98" t="s">
        <v>526</v>
      </c>
      <c r="B719" s="24" t="s">
        <v>548</v>
      </c>
      <c r="C719" s="24" t="s">
        <v>53</v>
      </c>
      <c r="D719" s="24" t="s">
        <v>30</v>
      </c>
      <c r="E719" s="24"/>
      <c r="F719" s="24"/>
      <c r="G719" s="503">
        <f aca="true" t="shared" si="231" ref="G719:N721">G720</f>
        <v>29</v>
      </c>
      <c r="H719" s="503">
        <f t="shared" si="231"/>
        <v>1780.9</v>
      </c>
      <c r="I719" s="503">
        <f t="shared" si="231"/>
        <v>0</v>
      </c>
      <c r="J719" s="504">
        <f t="shared" si="231"/>
        <v>0</v>
      </c>
      <c r="K719" s="504">
        <f t="shared" si="231"/>
        <v>0</v>
      </c>
      <c r="L719" s="504">
        <f t="shared" si="231"/>
        <v>0</v>
      </c>
      <c r="M719" s="505">
        <f t="shared" si="231"/>
        <v>-50</v>
      </c>
      <c r="N719" s="86">
        <f t="shared" si="231"/>
        <v>-50</v>
      </c>
      <c r="O719" s="15">
        <f aca="true" t="shared" si="232" ref="O719:O733">J719+K719-L719</f>
        <v>0</v>
      </c>
    </row>
    <row r="720" spans="1:15" ht="45" hidden="1">
      <c r="A720" s="99" t="s">
        <v>525</v>
      </c>
      <c r="B720" s="25" t="s">
        <v>548</v>
      </c>
      <c r="C720" s="25" t="s">
        <v>53</v>
      </c>
      <c r="D720" s="25" t="s">
        <v>30</v>
      </c>
      <c r="E720" s="25" t="s">
        <v>173</v>
      </c>
      <c r="F720" s="25"/>
      <c r="G720" s="135">
        <f t="shared" si="231"/>
        <v>29</v>
      </c>
      <c r="H720" s="135">
        <f t="shared" si="231"/>
        <v>1780.9</v>
      </c>
      <c r="I720" s="135">
        <f t="shared" si="231"/>
        <v>0</v>
      </c>
      <c r="J720" s="26">
        <f t="shared" si="231"/>
        <v>0</v>
      </c>
      <c r="K720" s="26">
        <f t="shared" si="231"/>
        <v>0</v>
      </c>
      <c r="L720" s="26">
        <f>L721</f>
        <v>0</v>
      </c>
      <c r="M720" s="40">
        <f t="shared" si="231"/>
        <v>-50</v>
      </c>
      <c r="N720" s="41">
        <f>N721</f>
        <v>-50</v>
      </c>
      <c r="O720" s="15">
        <f t="shared" si="232"/>
        <v>0</v>
      </c>
    </row>
    <row r="721" spans="1:15" ht="30" hidden="1">
      <c r="A721" s="99" t="s">
        <v>143</v>
      </c>
      <c r="B721" s="25" t="s">
        <v>548</v>
      </c>
      <c r="C721" s="25" t="s">
        <v>53</v>
      </c>
      <c r="D721" s="25" t="s">
        <v>30</v>
      </c>
      <c r="E721" s="25" t="s">
        <v>174</v>
      </c>
      <c r="F721" s="25"/>
      <c r="G721" s="135">
        <f t="shared" si="231"/>
        <v>29</v>
      </c>
      <c r="H721" s="135">
        <f t="shared" si="231"/>
        <v>1780.9</v>
      </c>
      <c r="I721" s="135">
        <f t="shared" si="231"/>
        <v>0</v>
      </c>
      <c r="J721" s="26">
        <f t="shared" si="231"/>
        <v>0</v>
      </c>
      <c r="K721" s="26">
        <f t="shared" si="231"/>
        <v>0</v>
      </c>
      <c r="L721" s="26">
        <f t="shared" si="231"/>
        <v>0</v>
      </c>
      <c r="M721" s="40">
        <f t="shared" si="231"/>
        <v>-50</v>
      </c>
      <c r="N721" s="41">
        <f t="shared" si="231"/>
        <v>-50</v>
      </c>
      <c r="O721" s="15">
        <f t="shared" si="232"/>
        <v>0</v>
      </c>
    </row>
    <row r="722" spans="1:16" ht="30" hidden="1">
      <c r="A722" s="99" t="s">
        <v>139</v>
      </c>
      <c r="B722" s="25" t="s">
        <v>548</v>
      </c>
      <c r="C722" s="25" t="s">
        <v>53</v>
      </c>
      <c r="D722" s="25" t="s">
        <v>30</v>
      </c>
      <c r="E722" s="25" t="s">
        <v>174</v>
      </c>
      <c r="F722" s="25" t="s">
        <v>140</v>
      </c>
      <c r="G722" s="135">
        <v>29</v>
      </c>
      <c r="H722" s="524">
        <v>1780.9</v>
      </c>
      <c r="I722" s="135"/>
      <c r="J722" s="26"/>
      <c r="K722" s="26"/>
      <c r="L722" s="26">
        <f>J722+K722</f>
        <v>0</v>
      </c>
      <c r="M722" s="45">
        <v>-50</v>
      </c>
      <c r="N722" s="46">
        <f>L722+M722</f>
        <v>-50</v>
      </c>
      <c r="O722" s="15">
        <f t="shared" si="232"/>
        <v>0</v>
      </c>
      <c r="P722" s="87"/>
    </row>
    <row r="723" spans="1:15" ht="29.25" hidden="1">
      <c r="A723" s="31" t="s">
        <v>564</v>
      </c>
      <c r="B723" s="32" t="s">
        <v>548</v>
      </c>
      <c r="C723" s="32" t="s">
        <v>47</v>
      </c>
      <c r="D723" s="25"/>
      <c r="E723" s="25"/>
      <c r="F723" s="25"/>
      <c r="G723" s="135"/>
      <c r="H723" s="524">
        <f aca="true" t="shared" si="233" ref="H723:N723">H724</f>
        <v>0</v>
      </c>
      <c r="I723" s="524">
        <f t="shared" si="233"/>
        <v>0</v>
      </c>
      <c r="J723" s="626">
        <f t="shared" si="233"/>
        <v>0</v>
      </c>
      <c r="K723" s="626">
        <f t="shared" si="233"/>
        <v>0</v>
      </c>
      <c r="L723" s="626">
        <f t="shared" si="233"/>
        <v>0</v>
      </c>
      <c r="M723" s="154">
        <f t="shared" si="233"/>
        <v>80</v>
      </c>
      <c r="N723" s="46">
        <f t="shared" si="233"/>
        <v>80</v>
      </c>
      <c r="O723" s="15">
        <f t="shared" si="232"/>
        <v>0</v>
      </c>
    </row>
    <row r="724" spans="1:15" s="102" customFormat="1" ht="15" hidden="1">
      <c r="A724" s="98" t="s">
        <v>82</v>
      </c>
      <c r="B724" s="24" t="s">
        <v>548</v>
      </c>
      <c r="C724" s="24" t="s">
        <v>47</v>
      </c>
      <c r="D724" s="24" t="s">
        <v>53</v>
      </c>
      <c r="E724" s="24"/>
      <c r="F724" s="24"/>
      <c r="G724" s="503">
        <f aca="true" t="shared" si="234" ref="G724:N726">G725</f>
        <v>0</v>
      </c>
      <c r="H724" s="503">
        <f t="shared" si="234"/>
        <v>0</v>
      </c>
      <c r="I724" s="503">
        <f t="shared" si="234"/>
        <v>0</v>
      </c>
      <c r="J724" s="504">
        <f t="shared" si="234"/>
        <v>0</v>
      </c>
      <c r="K724" s="504">
        <f t="shared" si="234"/>
        <v>0</v>
      </c>
      <c r="L724" s="504">
        <f t="shared" si="234"/>
        <v>0</v>
      </c>
      <c r="M724" s="505">
        <f>M725</f>
        <v>80</v>
      </c>
      <c r="N724" s="86">
        <f t="shared" si="234"/>
        <v>80</v>
      </c>
      <c r="O724" s="15">
        <f t="shared" si="232"/>
        <v>0</v>
      </c>
    </row>
    <row r="725" spans="1:15" ht="30" hidden="1">
      <c r="A725" s="99" t="s">
        <v>528</v>
      </c>
      <c r="B725" s="25" t="s">
        <v>548</v>
      </c>
      <c r="C725" s="25" t="s">
        <v>47</v>
      </c>
      <c r="D725" s="25" t="s">
        <v>53</v>
      </c>
      <c r="E725" s="25" t="s">
        <v>529</v>
      </c>
      <c r="F725" s="25"/>
      <c r="G725" s="135">
        <f t="shared" si="234"/>
        <v>0</v>
      </c>
      <c r="H725" s="135">
        <f t="shared" si="234"/>
        <v>0</v>
      </c>
      <c r="I725" s="135">
        <f t="shared" si="234"/>
        <v>0</v>
      </c>
      <c r="J725" s="26">
        <f t="shared" si="234"/>
        <v>0</v>
      </c>
      <c r="K725" s="26">
        <f t="shared" si="234"/>
        <v>0</v>
      </c>
      <c r="L725" s="26">
        <f t="shared" si="234"/>
        <v>0</v>
      </c>
      <c r="M725" s="40">
        <f>M726</f>
        <v>80</v>
      </c>
      <c r="N725" s="41">
        <f t="shared" si="234"/>
        <v>80</v>
      </c>
      <c r="O725" s="15">
        <f t="shared" si="232"/>
        <v>0</v>
      </c>
    </row>
    <row r="726" spans="1:18" ht="45" hidden="1">
      <c r="A726" s="99" t="s">
        <v>530</v>
      </c>
      <c r="B726" s="25" t="s">
        <v>548</v>
      </c>
      <c r="C726" s="25" t="s">
        <v>47</v>
      </c>
      <c r="D726" s="25" t="s">
        <v>53</v>
      </c>
      <c r="E726" s="25" t="s">
        <v>531</v>
      </c>
      <c r="F726" s="25"/>
      <c r="G726" s="135">
        <f t="shared" si="234"/>
        <v>0</v>
      </c>
      <c r="H726" s="135">
        <f t="shared" si="234"/>
        <v>0</v>
      </c>
      <c r="I726" s="135">
        <f t="shared" si="234"/>
        <v>0</v>
      </c>
      <c r="J726" s="26">
        <f t="shared" si="234"/>
        <v>0</v>
      </c>
      <c r="K726" s="26">
        <f t="shared" si="234"/>
        <v>0</v>
      </c>
      <c r="L726" s="26">
        <f t="shared" si="234"/>
        <v>0</v>
      </c>
      <c r="M726" s="40">
        <f>M727</f>
        <v>80</v>
      </c>
      <c r="N726" s="41">
        <f t="shared" si="234"/>
        <v>80</v>
      </c>
      <c r="O726" s="15">
        <f t="shared" si="232"/>
        <v>0</v>
      </c>
      <c r="R726" s="144"/>
    </row>
    <row r="727" spans="1:15" ht="30.75" hidden="1" thickBot="1">
      <c r="A727" s="105" t="s">
        <v>133</v>
      </c>
      <c r="B727" s="25" t="s">
        <v>548</v>
      </c>
      <c r="C727" s="25" t="s">
        <v>47</v>
      </c>
      <c r="D727" s="25" t="s">
        <v>53</v>
      </c>
      <c r="E727" s="25" t="s">
        <v>531</v>
      </c>
      <c r="F727" s="25" t="s">
        <v>131</v>
      </c>
      <c r="G727" s="135"/>
      <c r="H727" s="524"/>
      <c r="I727" s="135"/>
      <c r="J727" s="26"/>
      <c r="K727" s="26"/>
      <c r="L727" s="26">
        <f>J727+K727</f>
        <v>0</v>
      </c>
      <c r="M727" s="76">
        <v>80</v>
      </c>
      <c r="N727" s="92">
        <f>L727+M727</f>
        <v>80</v>
      </c>
      <c r="O727" s="15">
        <f t="shared" si="232"/>
        <v>0</v>
      </c>
    </row>
    <row r="728" spans="1:15" ht="15.75" thickBot="1">
      <c r="A728" s="31" t="s">
        <v>82</v>
      </c>
      <c r="B728" s="32" t="s">
        <v>548</v>
      </c>
      <c r="C728" s="32" t="s">
        <v>34</v>
      </c>
      <c r="D728" s="25"/>
      <c r="E728" s="25"/>
      <c r="F728" s="25"/>
      <c r="G728" s="135"/>
      <c r="H728" s="524">
        <f>H729</f>
        <v>0</v>
      </c>
      <c r="I728" s="524">
        <f>I729</f>
        <v>0</v>
      </c>
      <c r="J728" s="626">
        <f>J729</f>
        <v>1278.739</v>
      </c>
      <c r="K728" s="626">
        <f>K729</f>
        <v>0</v>
      </c>
      <c r="L728" s="626">
        <f>L729</f>
        <v>1278.739</v>
      </c>
      <c r="M728" s="179"/>
      <c r="N728" s="176"/>
      <c r="O728" s="15">
        <f t="shared" si="232"/>
        <v>0</v>
      </c>
    </row>
    <row r="729" spans="1:15" ht="15.75" thickBot="1">
      <c r="A729" s="98" t="s">
        <v>319</v>
      </c>
      <c r="B729" s="24" t="s">
        <v>548</v>
      </c>
      <c r="C729" s="24" t="s">
        <v>34</v>
      </c>
      <c r="D729" s="24" t="s">
        <v>21</v>
      </c>
      <c r="E729" s="24"/>
      <c r="F729" s="24"/>
      <c r="G729" s="503">
        <f aca="true" t="shared" si="235" ref="G729:L731">G730</f>
        <v>0</v>
      </c>
      <c r="H729" s="503">
        <f t="shared" si="235"/>
        <v>0</v>
      </c>
      <c r="I729" s="503">
        <f t="shared" si="235"/>
        <v>0</v>
      </c>
      <c r="J729" s="504">
        <f t="shared" si="235"/>
        <v>1278.739</v>
      </c>
      <c r="K729" s="504">
        <f t="shared" si="235"/>
        <v>0</v>
      </c>
      <c r="L729" s="504">
        <f t="shared" si="235"/>
        <v>1278.739</v>
      </c>
      <c r="M729" s="179"/>
      <c r="N729" s="176"/>
      <c r="O729" s="15">
        <f t="shared" si="232"/>
        <v>0</v>
      </c>
    </row>
    <row r="730" spans="1:15" ht="30.75" thickBot="1">
      <c r="A730" s="99" t="s">
        <v>528</v>
      </c>
      <c r="B730" s="25" t="s">
        <v>548</v>
      </c>
      <c r="C730" s="25" t="s">
        <v>34</v>
      </c>
      <c r="D730" s="25" t="s">
        <v>21</v>
      </c>
      <c r="E730" s="25" t="s">
        <v>529</v>
      </c>
      <c r="F730" s="25"/>
      <c r="G730" s="135">
        <f t="shared" si="235"/>
        <v>0</v>
      </c>
      <c r="H730" s="135">
        <f t="shared" si="235"/>
        <v>0</v>
      </c>
      <c r="I730" s="135">
        <f t="shared" si="235"/>
        <v>0</v>
      </c>
      <c r="J730" s="26">
        <f t="shared" si="235"/>
        <v>1278.739</v>
      </c>
      <c r="K730" s="26">
        <f t="shared" si="235"/>
        <v>0</v>
      </c>
      <c r="L730" s="26">
        <f t="shared" si="235"/>
        <v>1278.739</v>
      </c>
      <c r="M730" s="179"/>
      <c r="N730" s="176"/>
      <c r="O730" s="15">
        <f t="shared" si="232"/>
        <v>0</v>
      </c>
    </row>
    <row r="731" spans="1:15" ht="30.75" thickBot="1">
      <c r="A731" s="99" t="s">
        <v>565</v>
      </c>
      <c r="B731" s="25" t="s">
        <v>548</v>
      </c>
      <c r="C731" s="25" t="s">
        <v>34</v>
      </c>
      <c r="D731" s="25" t="s">
        <v>21</v>
      </c>
      <c r="E731" s="25" t="s">
        <v>531</v>
      </c>
      <c r="F731" s="25"/>
      <c r="G731" s="135">
        <f t="shared" si="235"/>
        <v>0</v>
      </c>
      <c r="H731" s="135">
        <f t="shared" si="235"/>
        <v>0</v>
      </c>
      <c r="I731" s="135">
        <f t="shared" si="235"/>
        <v>0</v>
      </c>
      <c r="J731" s="26">
        <f t="shared" si="235"/>
        <v>1278.739</v>
      </c>
      <c r="K731" s="26">
        <f t="shared" si="235"/>
        <v>0</v>
      </c>
      <c r="L731" s="26">
        <f t="shared" si="235"/>
        <v>1278.739</v>
      </c>
      <c r="M731" s="179"/>
      <c r="N731" s="176"/>
      <c r="O731" s="15">
        <f t="shared" si="232"/>
        <v>0</v>
      </c>
    </row>
    <row r="732" spans="1:19" ht="30.75" thickBot="1">
      <c r="A732" s="99" t="s">
        <v>133</v>
      </c>
      <c r="B732" s="25" t="s">
        <v>548</v>
      </c>
      <c r="C732" s="25" t="s">
        <v>34</v>
      </c>
      <c r="D732" s="25" t="s">
        <v>21</v>
      </c>
      <c r="E732" s="25" t="s">
        <v>531</v>
      </c>
      <c r="F732" s="25" t="s">
        <v>131</v>
      </c>
      <c r="G732" s="135"/>
      <c r="H732" s="524"/>
      <c r="I732" s="135"/>
      <c r="J732" s="26">
        <v>1278.739</v>
      </c>
      <c r="K732" s="26"/>
      <c r="L732" s="26">
        <f>J732+K732</f>
        <v>1278.739</v>
      </c>
      <c r="M732" s="179"/>
      <c r="N732" s="176"/>
      <c r="O732" s="15">
        <f t="shared" si="232"/>
        <v>0</v>
      </c>
      <c r="P732" s="144"/>
      <c r="R732" s="149"/>
      <c r="S732" s="144"/>
    </row>
    <row r="733" spans="1:19" s="165" customFormat="1" ht="13.5" customHeight="1" thickBot="1">
      <c r="A733" s="507" t="s">
        <v>566</v>
      </c>
      <c r="B733" s="508"/>
      <c r="C733" s="508"/>
      <c r="D733" s="508"/>
      <c r="E733" s="508"/>
      <c r="F733" s="509"/>
      <c r="G733" s="510" t="e">
        <f aca="true" t="shared" si="236" ref="G733:N733">G12+G97+G204+G326+G420+G427+G676</f>
        <v>#REF!</v>
      </c>
      <c r="H733" s="511" t="e">
        <f t="shared" si="236"/>
        <v>#REF!</v>
      </c>
      <c r="I733" s="512" t="e">
        <f t="shared" si="236"/>
        <v>#REF!</v>
      </c>
      <c r="J733" s="631">
        <f t="shared" si="236"/>
        <v>626765.7155399999</v>
      </c>
      <c r="K733" s="631">
        <f t="shared" si="236"/>
        <v>21338.502850000004</v>
      </c>
      <c r="L733" s="631">
        <f>L12+L97+L204+L326+L420+L427+L676</f>
        <v>648104.2223899999</v>
      </c>
      <c r="M733" s="332" t="e">
        <f t="shared" si="236"/>
        <v>#REF!</v>
      </c>
      <c r="N733" s="180" t="e">
        <f t="shared" si="236"/>
        <v>#REF!</v>
      </c>
      <c r="O733" s="15">
        <f t="shared" si="232"/>
        <v>-0.003999999957159162</v>
      </c>
      <c r="P733" s="181"/>
      <c r="S733" s="181"/>
    </row>
    <row r="734" spans="1:18" ht="15">
      <c r="A734" s="42"/>
      <c r="H734" s="42"/>
      <c r="J734" s="144">
        <v>626765.72</v>
      </c>
      <c r="L734" s="574">
        <v>648104.22239</v>
      </c>
      <c r="N734" s="182">
        <v>372157.62</v>
      </c>
      <c r="O734" s="579">
        <f>L733-15038.4</f>
        <v>633065.8223899999</v>
      </c>
      <c r="Q734" s="15"/>
      <c r="R734" s="42"/>
    </row>
    <row r="735" spans="1:17" ht="15.75" thickBot="1">
      <c r="A735" s="42"/>
      <c r="H735" s="42"/>
      <c r="L735" s="554">
        <f>L734-L733</f>
        <v>0</v>
      </c>
      <c r="N735" s="182" t="e">
        <f>N734-N733</f>
        <v>#REF!</v>
      </c>
      <c r="O735" s="144"/>
      <c r="Q735" s="15"/>
    </row>
    <row r="736" spans="1:14" ht="15.75" thickBot="1">
      <c r="A736" s="42"/>
      <c r="E736" s="11">
        <f>SUM(H737:H747)</f>
        <v>18920.13</v>
      </c>
      <c r="F736" s="183" t="s">
        <v>21</v>
      </c>
      <c r="G736" s="184" t="e">
        <f>G98+G205+G428+G677</f>
        <v>#REF!</v>
      </c>
      <c r="H736" s="184">
        <f>H98+H205+H428+H677</f>
        <v>18920.129999999997</v>
      </c>
      <c r="I736" s="185">
        <f>I98+I205+I428+I677</f>
        <v>0</v>
      </c>
      <c r="J736" s="558">
        <f>J737+J738+J739+J740+J741+J742+J743+J744+J745+J746+J747</f>
        <v>25068.285999999996</v>
      </c>
      <c r="K736" s="559">
        <f>K737+K738+K739+K740+K741+K742+K743+K744+K745+K746+K747</f>
        <v>81.51856999999998</v>
      </c>
      <c r="L736" s="559">
        <f>L737+L738+L739+L740+L741+L742+L743+L744+L745+L746+L747</f>
        <v>25149.80857</v>
      </c>
      <c r="M736" s="186">
        <f>M98+M205+M428+M677</f>
        <v>-833.36</v>
      </c>
      <c r="N736" s="187">
        <f>N98+N205+N428+N677</f>
        <v>22522.63086</v>
      </c>
    </row>
    <row r="737" spans="1:14" ht="15">
      <c r="A737" s="42"/>
      <c r="F737" s="47" t="s">
        <v>567</v>
      </c>
      <c r="G737" s="188">
        <f aca="true" t="shared" si="237" ref="G737:N737">G429</f>
        <v>0</v>
      </c>
      <c r="H737" s="188">
        <f t="shared" si="237"/>
        <v>861</v>
      </c>
      <c r="I737" s="188">
        <f t="shared" si="237"/>
        <v>0</v>
      </c>
      <c r="J737" s="366">
        <f t="shared" si="237"/>
        <v>1080.095</v>
      </c>
      <c r="K737" s="560">
        <f t="shared" si="237"/>
        <v>-75.522</v>
      </c>
      <c r="L737" s="560">
        <f t="shared" si="237"/>
        <v>1004.573</v>
      </c>
      <c r="M737" s="189">
        <f t="shared" si="237"/>
        <v>0</v>
      </c>
      <c r="N737" s="189">
        <f t="shared" si="237"/>
        <v>1004.573</v>
      </c>
    </row>
    <row r="738" spans="1:14" ht="15">
      <c r="A738" s="42"/>
      <c r="F738" s="24" t="s">
        <v>568</v>
      </c>
      <c r="G738" s="503">
        <f>G434</f>
        <v>30</v>
      </c>
      <c r="H738" s="503">
        <f aca="true" t="shared" si="238" ref="H738:N738">H433</f>
        <v>1353</v>
      </c>
      <c r="I738" s="503">
        <f t="shared" si="238"/>
        <v>0</v>
      </c>
      <c r="J738" s="561">
        <f t="shared" si="238"/>
        <v>1710.671</v>
      </c>
      <c r="K738" s="470">
        <f t="shared" si="238"/>
        <v>-32.182</v>
      </c>
      <c r="L738" s="470">
        <f t="shared" si="238"/>
        <v>1678.489</v>
      </c>
      <c r="M738" s="190">
        <f t="shared" si="238"/>
        <v>0</v>
      </c>
      <c r="N738" s="190">
        <f t="shared" si="238"/>
        <v>1678.489</v>
      </c>
    </row>
    <row r="739" spans="6:14" ht="15">
      <c r="F739" s="24" t="s">
        <v>569</v>
      </c>
      <c r="G739" s="503" t="e">
        <f aca="true" t="shared" si="239" ref="G739:N739">G439+G678+G99+G206</f>
        <v>#REF!</v>
      </c>
      <c r="H739" s="191">
        <f t="shared" si="239"/>
        <v>11828.130000000001</v>
      </c>
      <c r="I739" s="191">
        <f t="shared" si="239"/>
        <v>0</v>
      </c>
      <c r="J739" s="561">
        <f t="shared" si="239"/>
        <v>16578.905</v>
      </c>
      <c r="K739" s="561">
        <f t="shared" si="239"/>
        <v>95.00553000000001</v>
      </c>
      <c r="L739" s="470">
        <f t="shared" si="239"/>
        <v>16673.91053</v>
      </c>
      <c r="M739" s="504">
        <f t="shared" si="239"/>
        <v>-216.864</v>
      </c>
      <c r="N739" s="504">
        <f t="shared" si="239"/>
        <v>16457.04653</v>
      </c>
    </row>
    <row r="740" spans="6:14" ht="15">
      <c r="F740" s="24" t="s">
        <v>570</v>
      </c>
      <c r="G740" s="503">
        <f>G450</f>
        <v>0</v>
      </c>
      <c r="H740" s="192">
        <f aca="true" t="shared" si="240" ref="H740:N740">H452</f>
        <v>0</v>
      </c>
      <c r="I740" s="192">
        <f t="shared" si="240"/>
        <v>0</v>
      </c>
      <c r="J740" s="561">
        <f t="shared" si="240"/>
        <v>0</v>
      </c>
      <c r="K740" s="470">
        <f t="shared" si="240"/>
        <v>0</v>
      </c>
      <c r="L740" s="470">
        <f t="shared" si="240"/>
        <v>0</v>
      </c>
      <c r="M740" s="193">
        <f t="shared" si="240"/>
        <v>0</v>
      </c>
      <c r="N740" s="193">
        <f t="shared" si="240"/>
        <v>0</v>
      </c>
    </row>
    <row r="741" spans="6:14" ht="15">
      <c r="F741" s="24" t="s">
        <v>571</v>
      </c>
      <c r="G741" s="503">
        <f aca="true" t="shared" si="241" ref="G741:N741">G215</f>
        <v>412.31000000000006</v>
      </c>
      <c r="H741" s="503">
        <f t="shared" si="241"/>
        <v>2981.6</v>
      </c>
      <c r="I741" s="503">
        <f t="shared" si="241"/>
        <v>0</v>
      </c>
      <c r="J741" s="561">
        <f t="shared" si="241"/>
        <v>3322.046</v>
      </c>
      <c r="K741" s="470">
        <f t="shared" si="241"/>
        <v>67.82503999999999</v>
      </c>
      <c r="L741" s="470">
        <f t="shared" si="241"/>
        <v>3389.8750400000004</v>
      </c>
      <c r="M741" s="190">
        <f t="shared" si="241"/>
        <v>-205.496</v>
      </c>
      <c r="N741" s="504">
        <f t="shared" si="241"/>
        <v>3184.3790400000003</v>
      </c>
    </row>
    <row r="742" spans="6:14" ht="15">
      <c r="F742" s="24" t="s">
        <v>572</v>
      </c>
      <c r="G742" s="503">
        <f aca="true" t="shared" si="242" ref="G742:N742">G455</f>
        <v>0</v>
      </c>
      <c r="H742" s="503">
        <f t="shared" si="242"/>
        <v>20</v>
      </c>
      <c r="I742" s="503">
        <f t="shared" si="242"/>
        <v>0</v>
      </c>
      <c r="J742" s="561">
        <f t="shared" si="242"/>
        <v>134.289</v>
      </c>
      <c r="K742" s="470">
        <f t="shared" si="242"/>
        <v>0</v>
      </c>
      <c r="L742" s="470">
        <f t="shared" si="242"/>
        <v>134.289</v>
      </c>
      <c r="M742" s="190">
        <f t="shared" si="242"/>
        <v>0</v>
      </c>
      <c r="N742" s="504">
        <f t="shared" si="242"/>
        <v>48.04329</v>
      </c>
    </row>
    <row r="743" spans="6:14" ht="15" hidden="1">
      <c r="F743" s="194" t="s">
        <v>573</v>
      </c>
      <c r="G743" s="195">
        <f aca="true" t="shared" si="243" ref="G743:N743">G219</f>
        <v>0</v>
      </c>
      <c r="H743" s="195">
        <f t="shared" si="243"/>
        <v>63</v>
      </c>
      <c r="I743" s="195">
        <f t="shared" si="243"/>
        <v>0</v>
      </c>
      <c r="J743" s="556">
        <f t="shared" si="243"/>
        <v>0</v>
      </c>
      <c r="K743" s="557">
        <f t="shared" si="243"/>
        <v>0</v>
      </c>
      <c r="L743" s="557">
        <f t="shared" si="243"/>
        <v>0</v>
      </c>
      <c r="M743" s="190">
        <f t="shared" si="243"/>
        <v>0</v>
      </c>
      <c r="N743" s="504">
        <f t="shared" si="243"/>
        <v>0</v>
      </c>
    </row>
    <row r="744" spans="6:14" ht="15" hidden="1">
      <c r="F744" s="194" t="s">
        <v>573</v>
      </c>
      <c r="G744" s="195"/>
      <c r="H744" s="195"/>
      <c r="I744" s="195"/>
      <c r="J744" s="556">
        <f>J223</f>
        <v>0</v>
      </c>
      <c r="K744" s="556">
        <f>K223</f>
        <v>0</v>
      </c>
      <c r="L744" s="556">
        <f>L223</f>
        <v>0</v>
      </c>
      <c r="M744" s="196">
        <f>M223</f>
        <v>0</v>
      </c>
      <c r="N744" s="196">
        <f>N223</f>
        <v>0</v>
      </c>
    </row>
    <row r="745" spans="6:14" ht="15" hidden="1">
      <c r="F745" s="24" t="s">
        <v>574</v>
      </c>
      <c r="G745" s="503">
        <f aca="true" t="shared" si="244" ref="G745:N745">G227</f>
        <v>-233.58</v>
      </c>
      <c r="H745" s="503">
        <f t="shared" si="244"/>
        <v>0</v>
      </c>
      <c r="I745" s="503">
        <f t="shared" si="244"/>
        <v>0</v>
      </c>
      <c r="J745" s="561">
        <f t="shared" si="244"/>
        <v>0</v>
      </c>
      <c r="K745" s="470">
        <f t="shared" si="244"/>
        <v>9.7</v>
      </c>
      <c r="L745" s="470">
        <f t="shared" si="244"/>
        <v>9.7</v>
      </c>
      <c r="M745" s="190">
        <f t="shared" si="244"/>
        <v>-323</v>
      </c>
      <c r="N745" s="504">
        <f t="shared" si="244"/>
        <v>-323</v>
      </c>
    </row>
    <row r="746" spans="6:14" ht="15">
      <c r="F746" s="24" t="s">
        <v>575</v>
      </c>
      <c r="G746" s="503"/>
      <c r="H746" s="503"/>
      <c r="I746" s="503"/>
      <c r="J746" s="561">
        <f>J461</f>
        <v>2242.2799999999997</v>
      </c>
      <c r="K746" s="561">
        <f>K461</f>
        <v>16.692</v>
      </c>
      <c r="L746" s="561">
        <f>L461</f>
        <v>2258.9719999999998</v>
      </c>
      <c r="M746" s="190"/>
      <c r="N746" s="504"/>
    </row>
    <row r="747" spans="6:14" ht="15.75" thickBot="1">
      <c r="F747" s="197" t="s">
        <v>576</v>
      </c>
      <c r="G747" s="198">
        <f>G231+G471</f>
        <v>-1000</v>
      </c>
      <c r="H747" s="198">
        <f>H231+H471</f>
        <v>1813.4</v>
      </c>
      <c r="I747" s="198">
        <f>I231+I471</f>
        <v>0</v>
      </c>
      <c r="J747" s="562">
        <f>J471</f>
        <v>0</v>
      </c>
      <c r="K747" s="563">
        <f>K471</f>
        <v>0</v>
      </c>
      <c r="L747" s="563">
        <f>L471</f>
        <v>0</v>
      </c>
      <c r="M747" s="201">
        <f>M231+M471</f>
        <v>-88</v>
      </c>
      <c r="N747" s="200">
        <f>N231+N471</f>
        <v>473.1</v>
      </c>
    </row>
    <row r="748" spans="6:14" ht="15.75" thickBot="1">
      <c r="F748" s="202" t="s">
        <v>22</v>
      </c>
      <c r="G748" s="203"/>
      <c r="H748" s="203"/>
      <c r="I748" s="203"/>
      <c r="J748" s="564">
        <f>J749</f>
        <v>541.5</v>
      </c>
      <c r="K748" s="565">
        <f>K749</f>
        <v>19.6</v>
      </c>
      <c r="L748" s="566">
        <f>L749</f>
        <v>561.1</v>
      </c>
      <c r="M748" s="204"/>
      <c r="N748" s="205"/>
    </row>
    <row r="749" spans="6:14" ht="15.75" thickBot="1">
      <c r="F749" s="206" t="s">
        <v>577</v>
      </c>
      <c r="G749" s="207"/>
      <c r="H749" s="207"/>
      <c r="I749" s="207"/>
      <c r="J749" s="567">
        <f>J232</f>
        <v>541.5</v>
      </c>
      <c r="K749" s="567">
        <f>K232</f>
        <v>19.6</v>
      </c>
      <c r="L749" s="567">
        <f>L232</f>
        <v>561.1</v>
      </c>
      <c r="M749" s="208"/>
      <c r="N749" s="205"/>
    </row>
    <row r="750" spans="5:14" ht="15.75" thickBot="1">
      <c r="E750" s="11">
        <f>SUM(H751:H752)</f>
        <v>583.7</v>
      </c>
      <c r="F750" s="183" t="s">
        <v>24</v>
      </c>
      <c r="G750" s="209">
        <f>G477+G421</f>
        <v>0</v>
      </c>
      <c r="H750" s="209">
        <f>H477+H421</f>
        <v>583.7</v>
      </c>
      <c r="I750" s="209">
        <f>I477+I421</f>
        <v>0</v>
      </c>
      <c r="J750" s="564">
        <f>J751+J752+J753</f>
        <v>745</v>
      </c>
      <c r="K750" s="564">
        <f>K751+K752+K753</f>
        <v>-10</v>
      </c>
      <c r="L750" s="564">
        <f>L751+L752+L753</f>
        <v>735</v>
      </c>
      <c r="M750" s="210">
        <f>M477+M421+M237</f>
        <v>0</v>
      </c>
      <c r="N750" s="211">
        <f>N477+N421+N237</f>
        <v>720</v>
      </c>
    </row>
    <row r="751" spans="6:14" ht="15">
      <c r="F751" s="47" t="s">
        <v>578</v>
      </c>
      <c r="G751" s="188">
        <f>G422</f>
        <v>0</v>
      </c>
      <c r="H751" s="188">
        <f>H422</f>
        <v>526.1</v>
      </c>
      <c r="I751" s="188">
        <f>I422</f>
        <v>0</v>
      </c>
      <c r="J751" s="366">
        <f>J422+J238</f>
        <v>700</v>
      </c>
      <c r="K751" s="560">
        <f>K422+K238</f>
        <v>0</v>
      </c>
      <c r="L751" s="560">
        <f>L422+L238</f>
        <v>700</v>
      </c>
      <c r="M751" s="48">
        <f>M422+M238</f>
        <v>0</v>
      </c>
      <c r="N751" s="48">
        <f>N422+N238</f>
        <v>700</v>
      </c>
    </row>
    <row r="752" spans="6:14" ht="15">
      <c r="F752" s="24" t="s">
        <v>579</v>
      </c>
      <c r="G752" s="503">
        <f aca="true" t="shared" si="245" ref="G752:N752">G478</f>
        <v>0</v>
      </c>
      <c r="H752" s="503">
        <f t="shared" si="245"/>
        <v>57.6</v>
      </c>
      <c r="I752" s="503">
        <f t="shared" si="245"/>
        <v>0</v>
      </c>
      <c r="J752" s="561">
        <f t="shared" si="245"/>
        <v>30</v>
      </c>
      <c r="K752" s="470">
        <f t="shared" si="245"/>
        <v>-10</v>
      </c>
      <c r="L752" s="470">
        <f t="shared" si="245"/>
        <v>20</v>
      </c>
      <c r="M752" s="201">
        <f t="shared" si="245"/>
        <v>0</v>
      </c>
      <c r="N752" s="200">
        <f t="shared" si="245"/>
        <v>20</v>
      </c>
    </row>
    <row r="753" spans="6:14" ht="15.75" thickBot="1">
      <c r="F753" s="443" t="s">
        <v>1019</v>
      </c>
      <c r="G753" s="207"/>
      <c r="H753" s="207"/>
      <c r="I753" s="207"/>
      <c r="J753" s="568">
        <f>J482</f>
        <v>15</v>
      </c>
      <c r="K753" s="568">
        <f>K482</f>
        <v>0</v>
      </c>
      <c r="L753" s="568">
        <f>L482</f>
        <v>15</v>
      </c>
      <c r="M753" s="208"/>
      <c r="N753" s="205"/>
    </row>
    <row r="754" spans="5:14" ht="15">
      <c r="E754" s="11" t="e">
        <f>SUM(H756:H759)</f>
        <v>#REF!</v>
      </c>
      <c r="F754" s="374" t="s">
        <v>26</v>
      </c>
      <c r="G754" s="375" t="e">
        <f>G243+G485</f>
        <v>#REF!</v>
      </c>
      <c r="H754" s="375" t="e">
        <f>H243+H485</f>
        <v>#REF!</v>
      </c>
      <c r="I754" s="375" t="e">
        <f>I243+I485</f>
        <v>#REF!</v>
      </c>
      <c r="J754" s="569">
        <f>J755+J756+J759</f>
        <v>9319.393</v>
      </c>
      <c r="K754" s="569">
        <f>K755+K756+K759</f>
        <v>9249.92058</v>
      </c>
      <c r="L754" s="569">
        <f>L755+L756+L759</f>
        <v>18569.313580000002</v>
      </c>
      <c r="M754" s="444" t="e">
        <f>M755+M756+M759</f>
        <v>#REF!</v>
      </c>
      <c r="N754" s="444" t="e">
        <f>N755+N756+N759</f>
        <v>#REF!</v>
      </c>
    </row>
    <row r="755" spans="6:14" ht="15">
      <c r="F755" s="376" t="s">
        <v>950</v>
      </c>
      <c r="G755" s="503"/>
      <c r="H755" s="503"/>
      <c r="I755" s="503"/>
      <c r="J755" s="365">
        <f>J244+J486+J683</f>
        <v>659.2</v>
      </c>
      <c r="K755" s="365">
        <f>K244+K486+K683</f>
        <v>9.92058</v>
      </c>
      <c r="L755" s="365">
        <f>L244+L486+L683</f>
        <v>669.12058</v>
      </c>
      <c r="M755" s="365" t="e">
        <f>M244+M486+M683</f>
        <v>#REF!</v>
      </c>
      <c r="N755" s="365" t="e">
        <f>N244+N486+N683</f>
        <v>#REF!</v>
      </c>
    </row>
    <row r="756" spans="6:14" ht="15">
      <c r="F756" s="47" t="s">
        <v>580</v>
      </c>
      <c r="G756" s="188" t="e">
        <f>G244+G489</f>
        <v>#REF!</v>
      </c>
      <c r="H756" s="214" t="e">
        <f>H244+H489</f>
        <v>#REF!</v>
      </c>
      <c r="I756" s="188" t="e">
        <f>I244+I489</f>
        <v>#REF!</v>
      </c>
      <c r="J756" s="560">
        <f>J489</f>
        <v>3348.631</v>
      </c>
      <c r="K756" s="560">
        <f>K489</f>
        <v>0</v>
      </c>
      <c r="L756" s="560">
        <f>L489</f>
        <v>3348.631</v>
      </c>
      <c r="M756" s="189" t="e">
        <f>M244+M489</f>
        <v>#REF!</v>
      </c>
      <c r="N756" s="48" t="e">
        <f>N244+N489</f>
        <v>#REF!</v>
      </c>
    </row>
    <row r="757" spans="6:14" ht="15" hidden="1">
      <c r="F757" s="24" t="s">
        <v>581</v>
      </c>
      <c r="G757" s="207">
        <f aca="true" t="shared" si="246" ref="G757:N757">G492</f>
        <v>786.5</v>
      </c>
      <c r="H757" s="207">
        <f t="shared" si="246"/>
        <v>0</v>
      </c>
      <c r="I757" s="207">
        <f t="shared" si="246"/>
        <v>0</v>
      </c>
      <c r="J757" s="561">
        <f t="shared" si="246"/>
        <v>0</v>
      </c>
      <c r="K757" s="470">
        <f t="shared" si="246"/>
        <v>0</v>
      </c>
      <c r="L757" s="470">
        <f t="shared" si="246"/>
        <v>0</v>
      </c>
      <c r="M757" s="208">
        <f t="shared" si="246"/>
        <v>0</v>
      </c>
      <c r="N757" s="205">
        <f t="shared" si="246"/>
        <v>0</v>
      </c>
    </row>
    <row r="758" spans="6:14" ht="15" hidden="1">
      <c r="F758" s="206" t="s">
        <v>582</v>
      </c>
      <c r="G758" s="207"/>
      <c r="H758" s="215">
        <f aca="true" t="shared" si="247" ref="H758:N758">H495</f>
        <v>0</v>
      </c>
      <c r="I758" s="215">
        <f t="shared" si="247"/>
        <v>0</v>
      </c>
      <c r="J758" s="567">
        <f t="shared" si="247"/>
        <v>0</v>
      </c>
      <c r="K758" s="568">
        <f t="shared" si="247"/>
        <v>0</v>
      </c>
      <c r="L758" s="568">
        <f t="shared" si="247"/>
        <v>0</v>
      </c>
      <c r="M758" s="216">
        <f t="shared" si="247"/>
        <v>0</v>
      </c>
      <c r="N758" s="205">
        <f t="shared" si="247"/>
        <v>0</v>
      </c>
    </row>
    <row r="759" spans="6:14" ht="15.75" thickBot="1">
      <c r="F759" s="197" t="s">
        <v>583</v>
      </c>
      <c r="G759" s="198">
        <f aca="true" t="shared" si="248" ref="G759:N759">G498+G248</f>
        <v>3300</v>
      </c>
      <c r="H759" s="198">
        <f t="shared" si="248"/>
        <v>2170</v>
      </c>
      <c r="I759" s="198">
        <f t="shared" si="248"/>
        <v>0</v>
      </c>
      <c r="J759" s="562">
        <f t="shared" si="248"/>
        <v>5311.562</v>
      </c>
      <c r="K759" s="563">
        <f t="shared" si="248"/>
        <v>9240</v>
      </c>
      <c r="L759" s="563">
        <f t="shared" si="248"/>
        <v>14551.562</v>
      </c>
      <c r="M759" s="201">
        <f t="shared" si="248"/>
        <v>0</v>
      </c>
      <c r="N759" s="200">
        <f t="shared" si="248"/>
        <v>2590.795</v>
      </c>
    </row>
    <row r="760" spans="5:14" ht="15.75" thickBot="1">
      <c r="E760" s="11">
        <f>SUM(H761:H764)</f>
        <v>1667</v>
      </c>
      <c r="F760" s="217" t="s">
        <v>28</v>
      </c>
      <c r="G760" s="209">
        <f>G510</f>
        <v>-1048.5</v>
      </c>
      <c r="H760" s="218">
        <f>H510+H257</f>
        <v>1667</v>
      </c>
      <c r="I760" s="218">
        <f>I510+I257</f>
        <v>31353.699999999997</v>
      </c>
      <c r="J760" s="564">
        <f>J761+J762+J763+J764</f>
        <v>33945.92999999999</v>
      </c>
      <c r="K760" s="565">
        <f>K761+K762+K763+K764</f>
        <v>-334.77194000000003</v>
      </c>
      <c r="L760" s="565">
        <f>L761+L762+L763+L764</f>
        <v>33611.15806</v>
      </c>
      <c r="M760" s="219">
        <f>M510+M257</f>
        <v>550</v>
      </c>
      <c r="N760" s="219">
        <f>N510+N257</f>
        <v>27591.59806</v>
      </c>
    </row>
    <row r="761" spans="6:14" ht="15">
      <c r="F761" s="47" t="s">
        <v>584</v>
      </c>
      <c r="G761" s="188">
        <f>G512</f>
        <v>-40</v>
      </c>
      <c r="H761" s="220">
        <f>H512+H263</f>
        <v>0</v>
      </c>
      <c r="I761" s="220">
        <f>I512+I263</f>
        <v>31353.699999999997</v>
      </c>
      <c r="J761" s="366">
        <f>J511</f>
        <v>1319.7900000000002</v>
      </c>
      <c r="K761" s="366">
        <f>K511</f>
        <v>0.00047</v>
      </c>
      <c r="L761" s="366">
        <f>L511</f>
        <v>1319.7904700000001</v>
      </c>
      <c r="M761" s="221">
        <f>M512+M263</f>
        <v>0</v>
      </c>
      <c r="N761" s="221">
        <f>N512+N263</f>
        <v>1660</v>
      </c>
    </row>
    <row r="762" spans="6:14" ht="15">
      <c r="F762" s="24" t="s">
        <v>585</v>
      </c>
      <c r="G762" s="503">
        <f>G523</f>
        <v>2000</v>
      </c>
      <c r="H762" s="503">
        <f>H523</f>
        <v>1667</v>
      </c>
      <c r="I762" s="192">
        <f>I523</f>
        <v>0</v>
      </c>
      <c r="J762" s="470">
        <f>J523+J258</f>
        <v>30226.139999999996</v>
      </c>
      <c r="K762" s="470">
        <f>K523+K258</f>
        <v>-273.374</v>
      </c>
      <c r="L762" s="470">
        <f>L523+L258</f>
        <v>29952.766</v>
      </c>
      <c r="M762" s="193">
        <f>M523</f>
        <v>550</v>
      </c>
      <c r="N762" s="504">
        <f>N523</f>
        <v>25681.606000000003</v>
      </c>
    </row>
    <row r="763" spans="6:14" ht="15">
      <c r="F763" s="24" t="s">
        <v>586</v>
      </c>
      <c r="G763" s="503">
        <f aca="true" t="shared" si="249" ref="G763:M763">G560</f>
        <v>-786.5</v>
      </c>
      <c r="H763" s="503">
        <f t="shared" si="249"/>
        <v>0</v>
      </c>
      <c r="I763" s="503">
        <f t="shared" si="249"/>
        <v>0</v>
      </c>
      <c r="J763" s="561">
        <f>J560+J263</f>
        <v>2400</v>
      </c>
      <c r="K763" s="561">
        <f>K560+K263</f>
        <v>-61.39841</v>
      </c>
      <c r="L763" s="561">
        <f>L560+L263</f>
        <v>2338.60159</v>
      </c>
      <c r="M763" s="190">
        <f t="shared" si="249"/>
        <v>0</v>
      </c>
      <c r="N763" s="504">
        <f>N560</f>
        <v>178.60159</v>
      </c>
    </row>
    <row r="764" spans="6:14" ht="15.75" thickBot="1">
      <c r="F764" s="197" t="s">
        <v>587</v>
      </c>
      <c r="G764" s="198">
        <f aca="true" t="shared" si="250" ref="G764:M764">G566</f>
        <v>-2222</v>
      </c>
      <c r="H764" s="198">
        <f t="shared" si="250"/>
        <v>0</v>
      </c>
      <c r="I764" s="198">
        <f t="shared" si="250"/>
        <v>0</v>
      </c>
      <c r="J764" s="562">
        <f>J566</f>
        <v>0</v>
      </c>
      <c r="K764" s="563">
        <f t="shared" si="250"/>
        <v>0</v>
      </c>
      <c r="L764" s="563">
        <f t="shared" si="250"/>
        <v>0</v>
      </c>
      <c r="M764" s="201">
        <f t="shared" si="250"/>
        <v>0</v>
      </c>
      <c r="N764" s="200">
        <f>N566</f>
        <v>0</v>
      </c>
    </row>
    <row r="765" spans="5:14" ht="15.75" thickBot="1">
      <c r="E765" s="97">
        <f>SUM(J766:J770)</f>
        <v>316884.77195</v>
      </c>
      <c r="F765" s="183" t="s">
        <v>32</v>
      </c>
      <c r="G765" s="222" t="e">
        <f>G13+G105+G268+G327+G572</f>
        <v>#REF!</v>
      </c>
      <c r="H765" s="222">
        <f>H13+H105+H268+H327+H572</f>
        <v>147822.10999999996</v>
      </c>
      <c r="I765" s="222">
        <f>I13+I105+I268+I327+I572</f>
        <v>0</v>
      </c>
      <c r="J765" s="564">
        <f>J766+J767+J768+J769+J770</f>
        <v>316884.77195</v>
      </c>
      <c r="K765" s="565">
        <f>K766+K767+K768+K769+K770</f>
        <v>5330.8597</v>
      </c>
      <c r="L765" s="565">
        <f>L766+L767+L768+L769+L770</f>
        <v>322215.63165</v>
      </c>
      <c r="M765" s="211">
        <f>M13+M105+M268+M327+M572+M686</f>
        <v>1156.3000000000002</v>
      </c>
      <c r="N765" s="211">
        <f>N13+N105+N268+N327+N572+N686</f>
        <v>106066.478</v>
      </c>
    </row>
    <row r="766" spans="6:14" ht="15">
      <c r="F766" s="47" t="s">
        <v>588</v>
      </c>
      <c r="G766" s="188">
        <f>G106</f>
        <v>-926.36</v>
      </c>
      <c r="H766" s="220">
        <f aca="true" t="shared" si="251" ref="H766:N766">H106+H573</f>
        <v>4401</v>
      </c>
      <c r="I766" s="220">
        <f t="shared" si="251"/>
        <v>0</v>
      </c>
      <c r="J766" s="366">
        <f t="shared" si="251"/>
        <v>920.933</v>
      </c>
      <c r="K766" s="560">
        <f t="shared" si="251"/>
        <v>-516.553</v>
      </c>
      <c r="L766" s="560">
        <f t="shared" si="251"/>
        <v>404.38</v>
      </c>
      <c r="M766" s="221">
        <f t="shared" si="251"/>
        <v>805.6</v>
      </c>
      <c r="N766" s="221">
        <f t="shared" si="251"/>
        <v>1209.98</v>
      </c>
    </row>
    <row r="767" spans="6:14" ht="15">
      <c r="F767" s="24" t="s">
        <v>589</v>
      </c>
      <c r="G767" s="191" t="e">
        <f>G111+#REF!</f>
        <v>#REF!</v>
      </c>
      <c r="H767" s="191">
        <f>H111</f>
        <v>135780.43999999997</v>
      </c>
      <c r="I767" s="191">
        <f>I111</f>
        <v>0</v>
      </c>
      <c r="J767" s="561">
        <f>J111+J577</f>
        <v>304728.93796999997</v>
      </c>
      <c r="K767" s="470">
        <f>K111+K577</f>
        <v>5860.55</v>
      </c>
      <c r="L767" s="470">
        <f>L111+L577</f>
        <v>310589.48796999996</v>
      </c>
      <c r="M767" s="504">
        <f>M111+M577</f>
        <v>1721.3940000000002</v>
      </c>
      <c r="N767" s="504">
        <f>N111+N577</f>
        <v>69306.48000000001</v>
      </c>
    </row>
    <row r="768" spans="6:14" ht="15">
      <c r="F768" s="24" t="s">
        <v>590</v>
      </c>
      <c r="G768" s="192" t="e">
        <f aca="true" t="shared" si="252" ref="G768:N768">G14+G146+G328+G595+G269</f>
        <v>#REF!</v>
      </c>
      <c r="H768" s="191">
        <f t="shared" si="252"/>
        <v>460.3</v>
      </c>
      <c r="I768" s="191">
        <f t="shared" si="252"/>
        <v>0</v>
      </c>
      <c r="J768" s="561">
        <f t="shared" si="252"/>
        <v>468.4599999999999</v>
      </c>
      <c r="K768" s="470">
        <f t="shared" si="252"/>
        <v>0</v>
      </c>
      <c r="L768" s="470">
        <f t="shared" si="252"/>
        <v>468.4599999999999</v>
      </c>
      <c r="M768" s="504">
        <f t="shared" si="252"/>
        <v>44.61</v>
      </c>
      <c r="N768" s="504">
        <f t="shared" si="252"/>
        <v>27822.274999999998</v>
      </c>
    </row>
    <row r="769" spans="6:14" ht="15">
      <c r="F769" s="24" t="s">
        <v>591</v>
      </c>
      <c r="G769" s="503">
        <f>G154+G601</f>
        <v>821</v>
      </c>
      <c r="H769" s="503">
        <f>H154+H601+H334</f>
        <v>665.72</v>
      </c>
      <c r="I769" s="503">
        <f>I154+I601+I334</f>
        <v>0</v>
      </c>
      <c r="J769" s="561">
        <f>J154+J601+J334+J687</f>
        <v>3494.439</v>
      </c>
      <c r="K769" s="470">
        <f>K154+K601+K334+K687</f>
        <v>-3.1373</v>
      </c>
      <c r="L769" s="470">
        <f>L154+L601+L334+L687</f>
        <v>3491.3017</v>
      </c>
      <c r="M769" s="504">
        <f>M154+M601+M334+M687</f>
        <v>720</v>
      </c>
      <c r="N769" s="504">
        <f>N154+N601+N334+N687</f>
        <v>3563.5</v>
      </c>
    </row>
    <row r="770" spans="6:14" ht="15.75" thickBot="1">
      <c r="F770" s="197" t="s">
        <v>592</v>
      </c>
      <c r="G770" s="198">
        <f>G161</f>
        <v>878.1</v>
      </c>
      <c r="H770" s="198">
        <f>H161</f>
        <v>6514.65</v>
      </c>
      <c r="I770" s="198">
        <f>I161</f>
        <v>0</v>
      </c>
      <c r="J770" s="562">
        <f>J161+J604</f>
        <v>7272.00198</v>
      </c>
      <c r="K770" s="562">
        <f>K161+K604</f>
        <v>-10</v>
      </c>
      <c r="L770" s="562">
        <f>L161+L604</f>
        <v>7262.00198</v>
      </c>
      <c r="M770" s="201">
        <f>M161</f>
        <v>-2135.304</v>
      </c>
      <c r="N770" s="200">
        <f>N161</f>
        <v>4164.243</v>
      </c>
    </row>
    <row r="771" spans="5:14" ht="15.75" thickBot="1">
      <c r="E771" s="15">
        <f>SUM(J772:J775)</f>
        <v>7431.713900000001</v>
      </c>
      <c r="F771" s="183" t="s">
        <v>53</v>
      </c>
      <c r="G771" s="209">
        <f>G607+G697</f>
        <v>216.57999999999998</v>
      </c>
      <c r="H771" s="209">
        <f>H607+H697</f>
        <v>6311.15</v>
      </c>
      <c r="I771" s="209">
        <f>I607+I697</f>
        <v>0</v>
      </c>
      <c r="J771" s="564">
        <f>J772+J773+J775+J774</f>
        <v>7431.713900000001</v>
      </c>
      <c r="K771" s="564">
        <f>K772+K773+K775+K774</f>
        <v>1190.1372999999999</v>
      </c>
      <c r="L771" s="564">
        <f>L772+L773+L775+L774</f>
        <v>8621.851200000001</v>
      </c>
      <c r="M771" s="213">
        <f>M607+M697</f>
        <v>-101</v>
      </c>
      <c r="N771" s="211">
        <f>N607+N697</f>
        <v>5098.07715</v>
      </c>
    </row>
    <row r="772" spans="6:14" ht="15">
      <c r="F772" s="47" t="s">
        <v>593</v>
      </c>
      <c r="G772" s="188">
        <f>G698</f>
        <v>137.57999999999998</v>
      </c>
      <c r="H772" s="188">
        <f>H698</f>
        <v>3820.25</v>
      </c>
      <c r="I772" s="212">
        <f>I698</f>
        <v>0</v>
      </c>
      <c r="J772" s="560">
        <f>J698+J608+J276</f>
        <v>5086.4995</v>
      </c>
      <c r="K772" s="560">
        <f>K698+K608+K276</f>
        <v>1132.45615</v>
      </c>
      <c r="L772" s="560">
        <f>L698+L608+L276</f>
        <v>6218.95565</v>
      </c>
      <c r="M772" s="48">
        <f>M698+M608</f>
        <v>51</v>
      </c>
      <c r="N772" s="48">
        <f>N698+N608</f>
        <v>5250.07715</v>
      </c>
    </row>
    <row r="773" spans="6:14" ht="15">
      <c r="F773" s="194" t="s">
        <v>594</v>
      </c>
      <c r="G773" s="195">
        <f aca="true" t="shared" si="253" ref="G773:M773">G614</f>
        <v>0</v>
      </c>
      <c r="H773" s="196">
        <f t="shared" si="253"/>
        <v>666</v>
      </c>
      <c r="I773" s="196">
        <f t="shared" si="253"/>
        <v>0</v>
      </c>
      <c r="J773" s="556">
        <f>J614</f>
        <v>0</v>
      </c>
      <c r="K773" s="556">
        <f>K614</f>
        <v>0</v>
      </c>
      <c r="L773" s="556">
        <f>L614</f>
        <v>0</v>
      </c>
      <c r="M773" s="504">
        <f t="shared" si="253"/>
        <v>20</v>
      </c>
      <c r="N773" s="504">
        <f>N614</f>
        <v>20</v>
      </c>
    </row>
    <row r="774" spans="6:14" ht="15">
      <c r="F774" s="223" t="s">
        <v>594</v>
      </c>
      <c r="G774" s="224"/>
      <c r="H774" s="225"/>
      <c r="I774" s="225"/>
      <c r="J774" s="570">
        <f>J715+J618</f>
        <v>2345.2144000000003</v>
      </c>
      <c r="K774" s="570">
        <f>K715+K618</f>
        <v>57.68115</v>
      </c>
      <c r="L774" s="570">
        <f>L715+L618</f>
        <v>2402.89555</v>
      </c>
      <c r="M774" s="200"/>
      <c r="N774" s="200"/>
    </row>
    <row r="775" spans="6:14" ht="15.75" thickBot="1">
      <c r="F775" s="197" t="s">
        <v>595</v>
      </c>
      <c r="G775" s="198">
        <f aca="true" t="shared" si="254" ref="G775:N775">G719+G622</f>
        <v>79</v>
      </c>
      <c r="H775" s="199">
        <f t="shared" si="254"/>
        <v>1824.9</v>
      </c>
      <c r="I775" s="199">
        <f t="shared" si="254"/>
        <v>0</v>
      </c>
      <c r="J775" s="562">
        <f t="shared" si="254"/>
        <v>0</v>
      </c>
      <c r="K775" s="563">
        <f t="shared" si="254"/>
        <v>0</v>
      </c>
      <c r="L775" s="563">
        <f t="shared" si="254"/>
        <v>0</v>
      </c>
      <c r="M775" s="200">
        <f t="shared" si="254"/>
        <v>-172</v>
      </c>
      <c r="N775" s="200">
        <f t="shared" si="254"/>
        <v>-172</v>
      </c>
    </row>
    <row r="776" spans="5:14" ht="15.75" thickBot="1">
      <c r="E776" s="11" t="e">
        <f>SUM(H777:H782)</f>
        <v>#REF!</v>
      </c>
      <c r="F776" s="183" t="s">
        <v>47</v>
      </c>
      <c r="G776" s="209" t="e">
        <f>G20+G626</f>
        <v>#REF!</v>
      </c>
      <c r="H776" s="222" t="e">
        <f>H20+H626+H723</f>
        <v>#REF!</v>
      </c>
      <c r="I776" s="222" t="e">
        <f>I20+I626+I723</f>
        <v>#REF!</v>
      </c>
      <c r="J776" s="564">
        <f>J777+J778+J779+J780+J781+J782</f>
        <v>107482.03468999999</v>
      </c>
      <c r="K776" s="565">
        <f>K777+K778+K779+K780+K781+K782</f>
        <v>6162.020160000001</v>
      </c>
      <c r="L776" s="565">
        <f>L777+L778+L779+L780+L781+L782</f>
        <v>113644.05485000001</v>
      </c>
      <c r="M776" s="226" t="e">
        <f>M20+M626+M723</f>
        <v>#REF!</v>
      </c>
      <c r="N776" s="211" t="e">
        <f>N20+N626+N723</f>
        <v>#REF!</v>
      </c>
    </row>
    <row r="777" spans="6:14" ht="15">
      <c r="F777" s="47" t="s">
        <v>596</v>
      </c>
      <c r="G777" s="366" t="e">
        <f aca="true" t="shared" si="255" ref="G777:L777">G21+G284+G627</f>
        <v>#REF!</v>
      </c>
      <c r="H777" s="366" t="e">
        <f t="shared" si="255"/>
        <v>#REF!</v>
      </c>
      <c r="I777" s="366" t="e">
        <f t="shared" si="255"/>
        <v>#REF!</v>
      </c>
      <c r="J777" s="366">
        <f t="shared" si="255"/>
        <v>100797.87069</v>
      </c>
      <c r="K777" s="366">
        <f t="shared" si="255"/>
        <v>6290.58716</v>
      </c>
      <c r="L777" s="366">
        <f t="shared" si="255"/>
        <v>107088.45785</v>
      </c>
      <c r="M777" s="189">
        <f>M21</f>
        <v>-1006.6600000000001</v>
      </c>
      <c r="N777" s="48">
        <f>N21</f>
        <v>15440.876</v>
      </c>
    </row>
    <row r="778" spans="6:14" ht="15">
      <c r="F778" s="24" t="s">
        <v>597</v>
      </c>
      <c r="G778" s="503" t="e">
        <f>G40+G627</f>
        <v>#REF!</v>
      </c>
      <c r="H778" s="503" t="e">
        <f>H40+H627</f>
        <v>#REF!</v>
      </c>
      <c r="I778" s="503" t="e">
        <f>I40+I627</f>
        <v>#REF!</v>
      </c>
      <c r="J778" s="470">
        <f>J40</f>
        <v>5134.264</v>
      </c>
      <c r="K778" s="470">
        <f>K40</f>
        <v>-172.51999999999998</v>
      </c>
      <c r="L778" s="470">
        <f>L40</f>
        <v>4961.744000000001</v>
      </c>
      <c r="M778" s="190" t="e">
        <f>M40+M627</f>
        <v>#REF!</v>
      </c>
      <c r="N778" s="504" t="e">
        <f>N40+N627</f>
        <v>#REF!</v>
      </c>
    </row>
    <row r="779" spans="6:14" ht="15">
      <c r="F779" s="24" t="s">
        <v>598</v>
      </c>
      <c r="G779" s="503">
        <f aca="true" t="shared" si="256" ref="G779:N779">G60</f>
        <v>2852</v>
      </c>
      <c r="H779" s="503">
        <f t="shared" si="256"/>
        <v>0</v>
      </c>
      <c r="I779" s="503">
        <f t="shared" si="256"/>
        <v>0</v>
      </c>
      <c r="J779" s="561">
        <f t="shared" si="256"/>
        <v>749.9</v>
      </c>
      <c r="K779" s="470">
        <f t="shared" si="256"/>
        <v>43.953</v>
      </c>
      <c r="L779" s="470">
        <f t="shared" si="256"/>
        <v>793.853</v>
      </c>
      <c r="M779" s="190">
        <f t="shared" si="256"/>
        <v>-1.8800000000000026</v>
      </c>
      <c r="N779" s="504">
        <f t="shared" si="256"/>
        <v>791.973</v>
      </c>
    </row>
    <row r="780" spans="3:14" ht="15">
      <c r="C780" s="11" t="s">
        <v>599</v>
      </c>
      <c r="F780" s="194" t="s">
        <v>600</v>
      </c>
      <c r="G780" s="195">
        <f>G634</f>
        <v>0</v>
      </c>
      <c r="H780" s="195">
        <f aca="true" t="shared" si="257" ref="H780:N780">H634+H724</f>
        <v>628.8</v>
      </c>
      <c r="I780" s="195">
        <f t="shared" si="257"/>
        <v>0</v>
      </c>
      <c r="J780" s="556">
        <f t="shared" si="257"/>
        <v>0</v>
      </c>
      <c r="K780" s="557">
        <f t="shared" si="257"/>
        <v>0</v>
      </c>
      <c r="L780" s="557">
        <f t="shared" si="257"/>
        <v>0</v>
      </c>
      <c r="M780" s="190">
        <f t="shared" si="257"/>
        <v>80</v>
      </c>
      <c r="N780" s="504">
        <f t="shared" si="257"/>
        <v>80</v>
      </c>
    </row>
    <row r="781" spans="6:14" ht="15">
      <c r="F781" s="223" t="s">
        <v>601</v>
      </c>
      <c r="G781" s="224"/>
      <c r="H781" s="224"/>
      <c r="I781" s="224"/>
      <c r="J781" s="570">
        <f>J65</f>
        <v>800</v>
      </c>
      <c r="K781" s="570">
        <f>K65</f>
        <v>0</v>
      </c>
      <c r="L781" s="570">
        <f>L65</f>
        <v>800</v>
      </c>
      <c r="M781" s="201"/>
      <c r="N781" s="200"/>
    </row>
    <row r="782" spans="6:14" ht="15.75" thickBot="1">
      <c r="F782" s="197" t="s">
        <v>602</v>
      </c>
      <c r="G782" s="198">
        <f aca="true" t="shared" si="258" ref="G782:N782">G83</f>
        <v>0</v>
      </c>
      <c r="H782" s="198">
        <f t="shared" si="258"/>
        <v>1049.66</v>
      </c>
      <c r="I782" s="198">
        <f t="shared" si="258"/>
        <v>0</v>
      </c>
      <c r="J782" s="562">
        <f t="shared" si="258"/>
        <v>0</v>
      </c>
      <c r="K782" s="563">
        <f t="shared" si="258"/>
        <v>0</v>
      </c>
      <c r="L782" s="563">
        <f t="shared" si="258"/>
        <v>0</v>
      </c>
      <c r="M782" s="201">
        <f t="shared" si="258"/>
        <v>33</v>
      </c>
      <c r="N782" s="200">
        <f t="shared" si="258"/>
        <v>33</v>
      </c>
    </row>
    <row r="783" spans="5:14" ht="15.75" thickBot="1">
      <c r="E783" s="11">
        <f>SUM(H784:H788)</f>
        <v>53413.100000000006</v>
      </c>
      <c r="F783" s="183" t="s">
        <v>85</v>
      </c>
      <c r="G783" s="209" t="e">
        <f>G175+G338+G638</f>
        <v>#REF!</v>
      </c>
      <c r="H783" s="227">
        <f>H175+H338+H638</f>
        <v>53413.100000000006</v>
      </c>
      <c r="I783" s="227">
        <f>I175+I338+I638</f>
        <v>0</v>
      </c>
      <c r="J783" s="564">
        <f>J784+J785+J786+J787+J788</f>
        <v>88159.11399999999</v>
      </c>
      <c r="K783" s="565">
        <f>K784+K785+K786+K787+K788</f>
        <v>-549.15448</v>
      </c>
      <c r="L783" s="565">
        <f>L784+L785+L786+L787+L788</f>
        <v>87609.95951999999</v>
      </c>
      <c r="M783" s="211">
        <f>M175+M338+M638</f>
        <v>225.5</v>
      </c>
      <c r="N783" s="211">
        <f>N175+N338+N638</f>
        <v>56223.20211</v>
      </c>
    </row>
    <row r="784" spans="6:14" ht="15">
      <c r="F784" s="47" t="s">
        <v>603</v>
      </c>
      <c r="G784" s="188" t="e">
        <f aca="true" t="shared" si="259" ref="G784:N784">G339</f>
        <v>#REF!</v>
      </c>
      <c r="H784" s="188">
        <f t="shared" si="259"/>
        <v>1925.2</v>
      </c>
      <c r="I784" s="188">
        <f t="shared" si="259"/>
        <v>0</v>
      </c>
      <c r="J784" s="366">
        <f t="shared" si="259"/>
        <v>1593.18</v>
      </c>
      <c r="K784" s="560">
        <f t="shared" si="259"/>
        <v>-98.5</v>
      </c>
      <c r="L784" s="560">
        <f t="shared" si="259"/>
        <v>1494.68</v>
      </c>
      <c r="M784" s="189">
        <f t="shared" si="259"/>
        <v>0</v>
      </c>
      <c r="N784" s="48">
        <f t="shared" si="259"/>
        <v>83.18</v>
      </c>
    </row>
    <row r="785" spans="6:14" ht="15">
      <c r="F785" s="24" t="s">
        <v>604</v>
      </c>
      <c r="G785" s="503">
        <f>G346</f>
        <v>6</v>
      </c>
      <c r="H785" s="503">
        <f>H346</f>
        <v>4331.9</v>
      </c>
      <c r="I785" s="503">
        <f>I346</f>
        <v>0</v>
      </c>
      <c r="J785" s="470">
        <f>J346+J639</f>
        <v>8655.003</v>
      </c>
      <c r="K785" s="470">
        <f>K346+K639</f>
        <v>-10.714229999999986</v>
      </c>
      <c r="L785" s="470">
        <f>L346+L639</f>
        <v>8644.288770000001</v>
      </c>
      <c r="M785" s="190">
        <f>M346</f>
        <v>182.5</v>
      </c>
      <c r="N785" s="504">
        <f>N346</f>
        <v>8442.494130000001</v>
      </c>
    </row>
    <row r="786" spans="6:14" ht="15">
      <c r="F786" s="24" t="s">
        <v>605</v>
      </c>
      <c r="G786" s="503">
        <f aca="true" t="shared" si="260" ref="G786:N786">G642+G356+G176</f>
        <v>-3704.64707</v>
      </c>
      <c r="H786" s="503">
        <f t="shared" si="260"/>
        <v>37803.100000000006</v>
      </c>
      <c r="I786" s="503">
        <f t="shared" si="260"/>
        <v>0</v>
      </c>
      <c r="J786" s="561">
        <f t="shared" si="260"/>
        <v>53793.30099999999</v>
      </c>
      <c r="K786" s="470">
        <f t="shared" si="260"/>
        <v>164.79610999999997</v>
      </c>
      <c r="L786" s="470">
        <f t="shared" si="260"/>
        <v>53958.097109999995</v>
      </c>
      <c r="M786" s="504">
        <f t="shared" si="260"/>
        <v>212</v>
      </c>
      <c r="N786" s="504">
        <f t="shared" si="260"/>
        <v>37134.16211</v>
      </c>
    </row>
    <row r="787" spans="6:14" ht="15">
      <c r="F787" s="197" t="s">
        <v>606</v>
      </c>
      <c r="G787" s="198">
        <f aca="true" t="shared" si="261" ref="G787:M787">G180</f>
        <v>5261.5429699999995</v>
      </c>
      <c r="H787" s="198">
        <f t="shared" si="261"/>
        <v>8194.800000000001</v>
      </c>
      <c r="I787" s="198">
        <f t="shared" si="261"/>
        <v>0</v>
      </c>
      <c r="J787" s="562">
        <f>J180</f>
        <v>22199.699999999997</v>
      </c>
      <c r="K787" s="563">
        <f t="shared" si="261"/>
        <v>-650</v>
      </c>
      <c r="L787" s="563">
        <f t="shared" si="261"/>
        <v>21549.699999999997</v>
      </c>
      <c r="M787" s="201">
        <f t="shared" si="261"/>
        <v>0</v>
      </c>
      <c r="N787" s="200">
        <f>N180</f>
        <v>8971.3</v>
      </c>
    </row>
    <row r="788" spans="6:14" ht="15.75" thickBot="1">
      <c r="F788" s="197" t="s">
        <v>607</v>
      </c>
      <c r="G788" s="198">
        <f aca="true" t="shared" si="262" ref="G788:M788">G408</f>
        <v>75</v>
      </c>
      <c r="H788" s="198">
        <f t="shared" si="262"/>
        <v>1158.1000000000001</v>
      </c>
      <c r="I788" s="198">
        <f t="shared" si="262"/>
        <v>0</v>
      </c>
      <c r="J788" s="562">
        <f>J408</f>
        <v>1917.93</v>
      </c>
      <c r="K788" s="563">
        <f t="shared" si="262"/>
        <v>45.26364</v>
      </c>
      <c r="L788" s="563">
        <f t="shared" si="262"/>
        <v>1963.19364</v>
      </c>
      <c r="M788" s="201">
        <f t="shared" si="262"/>
        <v>-169</v>
      </c>
      <c r="N788" s="200">
        <f>N408</f>
        <v>1592.06587</v>
      </c>
    </row>
    <row r="789" spans="5:14" ht="15.75" thickBot="1">
      <c r="E789" s="11" t="e">
        <f>SUM(H790:H793)</f>
        <v>#REF!</v>
      </c>
      <c r="F789" s="183" t="s">
        <v>34</v>
      </c>
      <c r="G789" s="209" t="e">
        <f aca="true" t="shared" si="263" ref="G789:I790">G287</f>
        <v>#REF!</v>
      </c>
      <c r="H789" s="209" t="e">
        <f t="shared" si="263"/>
        <v>#REF!</v>
      </c>
      <c r="I789" s="209" t="e">
        <f t="shared" si="263"/>
        <v>#REF!</v>
      </c>
      <c r="J789" s="564">
        <f>J790+J791+J792+J793</f>
        <v>0</v>
      </c>
      <c r="K789" s="565">
        <f>K790+K791+K792+K793</f>
        <v>0</v>
      </c>
      <c r="L789" s="565">
        <f>L790+L791+L792+L793</f>
        <v>0</v>
      </c>
      <c r="M789" s="213" t="e">
        <f>M287</f>
        <v>#REF!</v>
      </c>
      <c r="N789" s="211" t="e">
        <f>N287</f>
        <v>#REF!</v>
      </c>
    </row>
    <row r="790" spans="6:14" ht="15.75" hidden="1" thickBot="1">
      <c r="F790" s="47" t="s">
        <v>608</v>
      </c>
      <c r="G790" s="188">
        <f t="shared" si="263"/>
        <v>264</v>
      </c>
      <c r="H790" s="188">
        <f t="shared" si="263"/>
        <v>20914.8</v>
      </c>
      <c r="I790" s="188">
        <f t="shared" si="263"/>
        <v>0</v>
      </c>
      <c r="J790" s="366"/>
      <c r="K790" s="560"/>
      <c r="L790" s="560"/>
      <c r="M790" s="189">
        <f>M288</f>
        <v>8.4</v>
      </c>
      <c r="N790" s="48">
        <f>N288</f>
        <v>87.84400000000001</v>
      </c>
    </row>
    <row r="791" spans="6:14" ht="15.75" hidden="1" thickBot="1">
      <c r="F791" s="24" t="s">
        <v>609</v>
      </c>
      <c r="G791" s="503">
        <f aca="true" t="shared" si="264" ref="G791:M791">G293</f>
        <v>0</v>
      </c>
      <c r="H791" s="503">
        <f t="shared" si="264"/>
        <v>9363.8</v>
      </c>
      <c r="I791" s="503">
        <f t="shared" si="264"/>
        <v>0</v>
      </c>
      <c r="J791" s="561"/>
      <c r="K791" s="470"/>
      <c r="L791" s="470"/>
      <c r="M791" s="190">
        <f t="shared" si="264"/>
        <v>-768</v>
      </c>
      <c r="N791" s="504">
        <f>N293</f>
        <v>-768</v>
      </c>
    </row>
    <row r="792" spans="6:14" ht="15.75" hidden="1" thickBot="1">
      <c r="F792" s="24" t="s">
        <v>610</v>
      </c>
      <c r="G792" s="503">
        <f aca="true" t="shared" si="265" ref="G792:M792">G301</f>
        <v>42.8</v>
      </c>
      <c r="H792" s="503">
        <f t="shared" si="265"/>
        <v>573.7</v>
      </c>
      <c r="I792" s="503">
        <f t="shared" si="265"/>
        <v>0</v>
      </c>
      <c r="J792" s="561"/>
      <c r="K792" s="470"/>
      <c r="L792" s="470"/>
      <c r="M792" s="190">
        <f t="shared" si="265"/>
        <v>0</v>
      </c>
      <c r="N792" s="504">
        <f>N301</f>
        <v>0</v>
      </c>
    </row>
    <row r="793" spans="6:14" ht="15.75" hidden="1" thickBot="1">
      <c r="F793" s="207">
        <v>1104</v>
      </c>
      <c r="G793" s="207" t="e">
        <f aca="true" t="shared" si="266" ref="G793:M793">G306</f>
        <v>#REF!</v>
      </c>
      <c r="H793" s="207" t="e">
        <f t="shared" si="266"/>
        <v>#REF!</v>
      </c>
      <c r="I793" s="207" t="e">
        <f t="shared" si="266"/>
        <v>#REF!</v>
      </c>
      <c r="J793" s="567"/>
      <c r="K793" s="568"/>
      <c r="L793" s="568"/>
      <c r="M793" s="208" t="e">
        <f t="shared" si="266"/>
        <v>#REF!</v>
      </c>
      <c r="N793" s="205" t="e">
        <f>N306</f>
        <v>#REF!</v>
      </c>
    </row>
    <row r="794" spans="6:14" ht="15.75" thickBot="1">
      <c r="F794" s="228">
        <v>11</v>
      </c>
      <c r="G794" s="209"/>
      <c r="H794" s="209"/>
      <c r="I794" s="209"/>
      <c r="J794" s="564">
        <f>J795</f>
        <v>1358.183</v>
      </c>
      <c r="K794" s="564">
        <f>K795</f>
        <v>0</v>
      </c>
      <c r="L794" s="571">
        <f>L795</f>
        <v>1358.183</v>
      </c>
      <c r="M794" s="204"/>
      <c r="N794" s="205"/>
    </row>
    <row r="795" spans="6:14" ht="15.75" thickBot="1">
      <c r="F795" s="207">
        <v>1101</v>
      </c>
      <c r="G795" s="207"/>
      <c r="H795" s="207"/>
      <c r="I795" s="207"/>
      <c r="J795" s="567">
        <f>J729+J288</f>
        <v>1358.183</v>
      </c>
      <c r="K795" s="567">
        <f>K729+K288</f>
        <v>0</v>
      </c>
      <c r="L795" s="567">
        <f>L729+L288</f>
        <v>1358.183</v>
      </c>
      <c r="M795" s="204"/>
      <c r="N795" s="205"/>
    </row>
    <row r="796" spans="6:14" ht="15.75" thickBot="1">
      <c r="F796" s="229">
        <v>12</v>
      </c>
      <c r="G796" s="209"/>
      <c r="H796" s="209"/>
      <c r="I796" s="209"/>
      <c r="J796" s="564">
        <f>J797+J798+J799+J800</f>
        <v>966.721</v>
      </c>
      <c r="K796" s="564">
        <f>K797+K798+K799+K800</f>
        <v>0</v>
      </c>
      <c r="L796" s="571">
        <f>L797+L798+L799+L800</f>
        <v>966.721</v>
      </c>
      <c r="M796" s="204"/>
      <c r="N796" s="205"/>
    </row>
    <row r="797" spans="6:14" ht="15" hidden="1">
      <c r="F797" s="188">
        <v>1201</v>
      </c>
      <c r="G797" s="188"/>
      <c r="H797" s="188"/>
      <c r="I797" s="188"/>
      <c r="J797" s="366"/>
      <c r="K797" s="560"/>
      <c r="L797" s="560"/>
      <c r="M797" s="208"/>
      <c r="N797" s="205"/>
    </row>
    <row r="798" spans="6:14" ht="15.75" thickBot="1">
      <c r="F798" s="503">
        <v>1202</v>
      </c>
      <c r="G798" s="503"/>
      <c r="H798" s="503"/>
      <c r="I798" s="503"/>
      <c r="J798" s="561">
        <f>J672</f>
        <v>966.721</v>
      </c>
      <c r="K798" s="561">
        <f>K672</f>
        <v>0</v>
      </c>
      <c r="L798" s="561">
        <f>L672</f>
        <v>966.721</v>
      </c>
      <c r="M798" s="208"/>
      <c r="N798" s="205"/>
    </row>
    <row r="799" spans="6:14" ht="15.75" hidden="1" thickBot="1">
      <c r="F799" s="503">
        <v>1203</v>
      </c>
      <c r="G799" s="503"/>
      <c r="H799" s="503"/>
      <c r="I799" s="503"/>
      <c r="J799" s="561"/>
      <c r="K799" s="470"/>
      <c r="L799" s="470"/>
      <c r="M799" s="208"/>
      <c r="N799" s="205"/>
    </row>
    <row r="800" spans="6:14" ht="15.75" hidden="1" thickBot="1">
      <c r="F800" s="198">
        <v>1204</v>
      </c>
      <c r="G800" s="198"/>
      <c r="H800" s="198"/>
      <c r="I800" s="198"/>
      <c r="J800" s="562"/>
      <c r="K800" s="563"/>
      <c r="L800" s="563"/>
      <c r="M800" s="208"/>
      <c r="N800" s="205"/>
    </row>
    <row r="801" spans="6:14" ht="15.75" thickBot="1">
      <c r="F801" s="229">
        <v>13</v>
      </c>
      <c r="G801" s="209"/>
      <c r="H801" s="209"/>
      <c r="I801" s="209"/>
      <c r="J801" s="564">
        <f>J802+J803</f>
        <v>162.07</v>
      </c>
      <c r="K801" s="564">
        <f>K802+K803</f>
        <v>-1.62704</v>
      </c>
      <c r="L801" s="564">
        <f>L802+L803</f>
        <v>160.44296</v>
      </c>
      <c r="M801" s="204"/>
      <c r="N801" s="205"/>
    </row>
    <row r="802" spans="6:14" ht="15">
      <c r="F802" s="188">
        <v>1301</v>
      </c>
      <c r="G802" s="188"/>
      <c r="H802" s="188"/>
      <c r="I802" s="188"/>
      <c r="J802" s="366">
        <f>J306</f>
        <v>162.07</v>
      </c>
      <c r="K802" s="366">
        <f>K306</f>
        <v>-1.62704</v>
      </c>
      <c r="L802" s="366">
        <f>L306</f>
        <v>160.44296</v>
      </c>
      <c r="M802" s="208"/>
      <c r="N802" s="205"/>
    </row>
    <row r="803" spans="6:14" ht="15.75" thickBot="1">
      <c r="F803" s="198">
        <v>1302</v>
      </c>
      <c r="G803" s="198"/>
      <c r="H803" s="198"/>
      <c r="I803" s="198"/>
      <c r="J803" s="562"/>
      <c r="K803" s="563"/>
      <c r="L803" s="563"/>
      <c r="M803" s="208"/>
      <c r="N803" s="205"/>
    </row>
    <row r="804" spans="6:14" ht="15.75" thickBot="1">
      <c r="F804" s="229">
        <v>14</v>
      </c>
      <c r="G804" s="209"/>
      <c r="H804" s="209"/>
      <c r="I804" s="209"/>
      <c r="J804" s="564">
        <f>J805+J806+J807</f>
        <v>34700.998</v>
      </c>
      <c r="K804" s="564">
        <f>K805+K806+K807</f>
        <v>200</v>
      </c>
      <c r="L804" s="564">
        <f>L805+L806+L807</f>
        <v>34900.998</v>
      </c>
      <c r="M804" s="204"/>
      <c r="N804" s="205"/>
    </row>
    <row r="805" spans="6:14" ht="15">
      <c r="F805" s="188">
        <v>1401</v>
      </c>
      <c r="G805" s="188"/>
      <c r="H805" s="188"/>
      <c r="I805" s="188"/>
      <c r="J805" s="366">
        <f>J310</f>
        <v>25131.672</v>
      </c>
      <c r="K805" s="366">
        <f>K310</f>
        <v>0</v>
      </c>
      <c r="L805" s="366">
        <f>L310</f>
        <v>25131.672</v>
      </c>
      <c r="M805" s="208"/>
      <c r="N805" s="205"/>
    </row>
    <row r="806" spans="6:14" ht="15" hidden="1">
      <c r="F806" s="503">
        <v>1402</v>
      </c>
      <c r="G806" s="503"/>
      <c r="H806" s="503"/>
      <c r="I806" s="503"/>
      <c r="J806" s="561"/>
      <c r="K806" s="470"/>
      <c r="L806" s="470"/>
      <c r="M806" s="208"/>
      <c r="N806" s="205"/>
    </row>
    <row r="807" spans="6:14" ht="15.75" thickBot="1">
      <c r="F807" s="198">
        <v>1403</v>
      </c>
      <c r="G807" s="198"/>
      <c r="H807" s="198"/>
      <c r="I807" s="198"/>
      <c r="J807" s="562">
        <f>J318</f>
        <v>9569.326000000001</v>
      </c>
      <c r="K807" s="562">
        <f>K318</f>
        <v>200</v>
      </c>
      <c r="L807" s="562">
        <f>L318</f>
        <v>9769.326000000001</v>
      </c>
      <c r="M807" s="208"/>
      <c r="N807" s="205"/>
    </row>
    <row r="808" spans="6:14" ht="15.75" thickBot="1">
      <c r="F808" s="230" t="s">
        <v>611</v>
      </c>
      <c r="G808" s="222" t="e">
        <f>G736+G750+G754+G760+G765+G771+G776+G783+G789</f>
        <v>#REF!</v>
      </c>
      <c r="H808" s="222" t="e">
        <f>H736+H750+H754+H760+H765+H771+H776+H783+H789</f>
        <v>#REF!</v>
      </c>
      <c r="I808" s="222" t="e">
        <f>I736+I750+I754+I760+I765+I771+I776+I783+I789</f>
        <v>#REF!</v>
      </c>
      <c r="J808" s="572">
        <f>J736+J750+J754+J760+J765+J771+J776+J783+J789+J796+J801+J804+J794+J748</f>
        <v>626765.7155399999</v>
      </c>
      <c r="K808" s="572">
        <f>K736+K750+K754+K760+K765+K771+K776+K783+K789+K796+K801+K804+K794+K748</f>
        <v>21338.50285</v>
      </c>
      <c r="L808" s="572">
        <f>L736+L750+L754+L760+L765+L771+L776+L783+L789+L796+L801+L804+L794+L748</f>
        <v>648104.22239</v>
      </c>
      <c r="M808" s="227" t="e">
        <f>M736+M750+M754+M760+M765+M771+M776+M783+M789+M796+M801+M804+M794</f>
        <v>#REF!</v>
      </c>
      <c r="N808" s="227" t="e">
        <f>N736+N750+N754+N760+N765+N771+N776+N783+N789+N796+N801+N804+N794</f>
        <v>#REF!</v>
      </c>
    </row>
    <row r="809" spans="6:13" ht="15">
      <c r="F809" s="231"/>
      <c r="G809" s="102"/>
      <c r="I809" s="102"/>
      <c r="J809" s="144">
        <f>J808-J733</f>
        <v>0</v>
      </c>
      <c r="K809" s="573"/>
      <c r="M809" s="232"/>
    </row>
    <row r="810" spans="6:13" ht="15">
      <c r="F810" s="231"/>
      <c r="G810" s="102"/>
      <c r="I810" s="102"/>
      <c r="J810" s="144">
        <v>619179867.54</v>
      </c>
      <c r="K810" s="573">
        <f>K808-K733</f>
        <v>0</v>
      </c>
      <c r="M810" s="232"/>
    </row>
    <row r="811" spans="6:13" ht="15">
      <c r="F811" s="231"/>
      <c r="G811" s="102"/>
      <c r="I811" s="102"/>
      <c r="K811" s="573"/>
      <c r="M811" s="232"/>
    </row>
    <row r="812" spans="6:13" ht="15">
      <c r="F812" s="231"/>
      <c r="G812" s="102"/>
      <c r="I812" s="102"/>
      <c r="K812" s="573"/>
      <c r="M812" s="232"/>
    </row>
    <row r="813" spans="6:13" ht="15">
      <c r="F813" s="231"/>
      <c r="G813" s="102"/>
      <c r="I813" s="102"/>
      <c r="K813" s="573"/>
      <c r="M813" s="232"/>
    </row>
    <row r="814" spans="6:13" ht="15">
      <c r="F814" s="231"/>
      <c r="G814" s="102"/>
      <c r="I814" s="102"/>
      <c r="K814" s="573"/>
      <c r="M814" s="232"/>
    </row>
    <row r="815" spans="6:14" ht="15">
      <c r="F815" s="231"/>
      <c r="G815" s="102"/>
      <c r="I815" s="102"/>
      <c r="K815" s="573"/>
      <c r="M815" s="232"/>
      <c r="N815" s="11"/>
    </row>
    <row r="816" spans="7:14" ht="15">
      <c r="G816" s="102"/>
      <c r="I816" s="102"/>
      <c r="K816" s="573"/>
      <c r="M816" s="232"/>
      <c r="N816" s="11"/>
    </row>
    <row r="817" spans="7:14" ht="15">
      <c r="G817" s="102"/>
      <c r="I817" s="102"/>
      <c r="K817" s="573"/>
      <c r="M817" s="232"/>
      <c r="N817" s="11"/>
    </row>
    <row r="818" spans="7:14" ht="15">
      <c r="G818" s="102"/>
      <c r="I818" s="102"/>
      <c r="K818" s="573"/>
      <c r="M818" s="232"/>
      <c r="N818" s="11"/>
    </row>
    <row r="819" spans="7:14" ht="15">
      <c r="G819" s="102"/>
      <c r="I819" s="102"/>
      <c r="K819" s="573"/>
      <c r="M819" s="232"/>
      <c r="N819" s="11"/>
    </row>
    <row r="820" spans="7:14" ht="15">
      <c r="G820" s="102"/>
      <c r="I820" s="102"/>
      <c r="K820" s="573"/>
      <c r="M820" s="232"/>
      <c r="N820" s="11"/>
    </row>
    <row r="821" spans="7:14" ht="15">
      <c r="G821" s="102"/>
      <c r="I821" s="102"/>
      <c r="K821" s="573"/>
      <c r="M821" s="232"/>
      <c r="N821" s="11"/>
    </row>
    <row r="822" spans="7:14" ht="15">
      <c r="G822" s="102"/>
      <c r="I822" s="102"/>
      <c r="K822" s="573"/>
      <c r="M822" s="232"/>
      <c r="N822" s="11"/>
    </row>
    <row r="823" spans="7:14" ht="15">
      <c r="G823" s="102"/>
      <c r="I823" s="102"/>
      <c r="K823" s="573"/>
      <c r="M823" s="232"/>
      <c r="N823" s="11"/>
    </row>
    <row r="824" spans="7:14" ht="15">
      <c r="G824" s="102"/>
      <c r="I824" s="102"/>
      <c r="K824" s="573"/>
      <c r="M824" s="232"/>
      <c r="N824" s="11"/>
    </row>
    <row r="825" spans="7:14" ht="15">
      <c r="G825" s="102"/>
      <c r="I825" s="102"/>
      <c r="K825" s="573"/>
      <c r="M825" s="232"/>
      <c r="N825" s="11"/>
    </row>
    <row r="826" spans="7:14" ht="15">
      <c r="G826" s="102"/>
      <c r="I826" s="102"/>
      <c r="K826" s="573"/>
      <c r="M826" s="232"/>
      <c r="N826" s="11"/>
    </row>
    <row r="827" spans="7:14" ht="15">
      <c r="G827" s="102"/>
      <c r="I827" s="102"/>
      <c r="K827" s="573"/>
      <c r="M827" s="232"/>
      <c r="N827" s="11"/>
    </row>
    <row r="828" spans="7:14" ht="15">
      <c r="G828" s="102"/>
      <c r="I828" s="102"/>
      <c r="K828" s="573"/>
      <c r="M828" s="232"/>
      <c r="N828" s="11"/>
    </row>
    <row r="829" spans="7:14" ht="15">
      <c r="G829" s="102"/>
      <c r="I829" s="102"/>
      <c r="K829" s="573"/>
      <c r="M829" s="232"/>
      <c r="N829" s="11"/>
    </row>
    <row r="830" spans="7:14" ht="15">
      <c r="G830" s="102"/>
      <c r="I830" s="102"/>
      <c r="K830" s="573"/>
      <c r="M830" s="232"/>
      <c r="N830" s="11"/>
    </row>
    <row r="831" spans="7:14" ht="15">
      <c r="G831" s="102"/>
      <c r="I831" s="102"/>
      <c r="K831" s="573"/>
      <c r="M831" s="232"/>
      <c r="N831" s="11"/>
    </row>
    <row r="832" spans="7:14" ht="15">
      <c r="G832" s="102"/>
      <c r="I832" s="102"/>
      <c r="K832" s="573"/>
      <c r="M832" s="232"/>
      <c r="N832" s="11"/>
    </row>
    <row r="833" spans="7:14" ht="15">
      <c r="G833" s="102"/>
      <c r="I833" s="102"/>
      <c r="K833" s="573"/>
      <c r="M833" s="232"/>
      <c r="N833" s="11"/>
    </row>
    <row r="834" spans="7:14" ht="15">
      <c r="G834" s="102"/>
      <c r="I834" s="102"/>
      <c r="K834" s="573"/>
      <c r="M834" s="232"/>
      <c r="N834" s="11"/>
    </row>
    <row r="835" spans="7:14" ht="15">
      <c r="G835" s="102"/>
      <c r="I835" s="102"/>
      <c r="K835" s="573"/>
      <c r="M835" s="232"/>
      <c r="N835" s="11"/>
    </row>
    <row r="836" spans="7:14" ht="15">
      <c r="G836" s="102"/>
      <c r="I836" s="102"/>
      <c r="K836" s="573"/>
      <c r="M836" s="232"/>
      <c r="N836" s="11"/>
    </row>
    <row r="837" spans="7:14" ht="15">
      <c r="G837" s="102"/>
      <c r="I837" s="102"/>
      <c r="K837" s="573"/>
      <c r="M837" s="232"/>
      <c r="N837" s="11"/>
    </row>
    <row r="838" spans="7:14" ht="15">
      <c r="G838" s="102"/>
      <c r="I838" s="102"/>
      <c r="K838" s="573"/>
      <c r="M838" s="232"/>
      <c r="N838" s="11"/>
    </row>
    <row r="839" spans="7:14" ht="15">
      <c r="G839" s="102"/>
      <c r="I839" s="102"/>
      <c r="K839" s="573"/>
      <c r="M839" s="232"/>
      <c r="N839" s="11"/>
    </row>
    <row r="840" spans="7:14" ht="15">
      <c r="G840" s="102"/>
      <c r="I840" s="102"/>
      <c r="K840" s="573"/>
      <c r="M840" s="232"/>
      <c r="N840" s="11"/>
    </row>
    <row r="841" spans="7:14" ht="15">
      <c r="G841" s="102"/>
      <c r="I841" s="102"/>
      <c r="K841" s="573"/>
      <c r="M841" s="232"/>
      <c r="N841" s="11"/>
    </row>
    <row r="842" spans="7:14" ht="15">
      <c r="G842" s="102"/>
      <c r="I842" s="102"/>
      <c r="K842" s="573"/>
      <c r="M842" s="232"/>
      <c r="N842" s="11"/>
    </row>
    <row r="843" spans="7:14" ht="15">
      <c r="G843" s="102"/>
      <c r="I843" s="102"/>
      <c r="K843" s="573"/>
      <c r="M843" s="232"/>
      <c r="N843" s="11"/>
    </row>
    <row r="844" spans="7:14" ht="15">
      <c r="G844" s="102"/>
      <c r="I844" s="102"/>
      <c r="K844" s="573"/>
      <c r="M844" s="232"/>
      <c r="N844" s="11"/>
    </row>
    <row r="845" spans="7:14" ht="15">
      <c r="G845" s="102"/>
      <c r="I845" s="102"/>
      <c r="K845" s="573"/>
      <c r="M845" s="232"/>
      <c r="N845" s="11"/>
    </row>
    <row r="846" spans="7:14" ht="15">
      <c r="G846" s="102"/>
      <c r="I846" s="102"/>
      <c r="K846" s="573"/>
      <c r="M846" s="232"/>
      <c r="N846" s="11"/>
    </row>
    <row r="847" spans="7:14" ht="15">
      <c r="G847" s="102"/>
      <c r="I847" s="102"/>
      <c r="K847" s="573"/>
      <c r="M847" s="232"/>
      <c r="N847" s="11"/>
    </row>
    <row r="848" spans="7:14" ht="15">
      <c r="G848" s="102"/>
      <c r="I848" s="102"/>
      <c r="K848" s="573"/>
      <c r="M848" s="232"/>
      <c r="N848" s="11"/>
    </row>
    <row r="849" spans="7:14" ht="15">
      <c r="G849" s="102"/>
      <c r="I849" s="102"/>
      <c r="K849" s="573"/>
      <c r="M849" s="232"/>
      <c r="N849" s="11"/>
    </row>
    <row r="850" spans="7:14" ht="15">
      <c r="G850" s="102"/>
      <c r="I850" s="102"/>
      <c r="K850" s="573"/>
      <c r="M850" s="232"/>
      <c r="N850" s="11"/>
    </row>
    <row r="851" spans="7:14" ht="15">
      <c r="G851" s="102"/>
      <c r="I851" s="102"/>
      <c r="K851" s="573"/>
      <c r="M851" s="232"/>
      <c r="N851" s="11"/>
    </row>
    <row r="852" spans="7:14" ht="15">
      <c r="G852" s="102"/>
      <c r="I852" s="102"/>
      <c r="K852" s="573"/>
      <c r="M852" s="232"/>
      <c r="N852" s="11"/>
    </row>
    <row r="853" spans="7:14" ht="15">
      <c r="G853" s="102"/>
      <c r="I853" s="102"/>
      <c r="K853" s="573"/>
      <c r="M853" s="232"/>
      <c r="N853" s="11"/>
    </row>
    <row r="854" spans="7:14" ht="15">
      <c r="G854" s="102"/>
      <c r="I854" s="102"/>
      <c r="K854" s="573"/>
      <c r="M854" s="232"/>
      <c r="N854" s="11"/>
    </row>
    <row r="855" spans="7:14" ht="15">
      <c r="G855" s="102"/>
      <c r="I855" s="102"/>
      <c r="K855" s="573"/>
      <c r="M855" s="232"/>
      <c r="N855" s="11"/>
    </row>
    <row r="856" spans="7:14" ht="15">
      <c r="G856" s="102"/>
      <c r="I856" s="102"/>
      <c r="K856" s="573"/>
      <c r="M856" s="232"/>
      <c r="N856" s="11"/>
    </row>
    <row r="857" spans="7:14" ht="15">
      <c r="G857" s="102"/>
      <c r="I857" s="102"/>
      <c r="K857" s="573"/>
      <c r="M857" s="232"/>
      <c r="N857" s="11"/>
    </row>
    <row r="858" spans="7:14" ht="15">
      <c r="G858" s="102"/>
      <c r="I858" s="102"/>
      <c r="K858" s="573"/>
      <c r="M858" s="232"/>
      <c r="N858" s="11"/>
    </row>
    <row r="859" spans="7:14" ht="15">
      <c r="G859" s="102"/>
      <c r="I859" s="102"/>
      <c r="K859" s="573"/>
      <c r="M859" s="232"/>
      <c r="N859" s="11"/>
    </row>
    <row r="860" spans="7:14" ht="15">
      <c r="G860" s="102"/>
      <c r="I860" s="102"/>
      <c r="K860" s="573"/>
      <c r="M860" s="232"/>
      <c r="N860" s="11"/>
    </row>
    <row r="861" spans="7:14" ht="15">
      <c r="G861" s="102"/>
      <c r="I861" s="102"/>
      <c r="K861" s="573"/>
      <c r="M861" s="232"/>
      <c r="N861" s="11"/>
    </row>
    <row r="862" spans="7:14" ht="15">
      <c r="G862" s="102"/>
      <c r="I862" s="102"/>
      <c r="K862" s="573"/>
      <c r="M862" s="232"/>
      <c r="N862" s="11"/>
    </row>
    <row r="863" spans="7:14" ht="15">
      <c r="G863" s="102"/>
      <c r="I863" s="102"/>
      <c r="K863" s="573"/>
      <c r="M863" s="232"/>
      <c r="N863" s="11"/>
    </row>
    <row r="864" spans="7:14" ht="15">
      <c r="G864" s="102"/>
      <c r="I864" s="102"/>
      <c r="K864" s="573"/>
      <c r="M864" s="232"/>
      <c r="N864" s="11"/>
    </row>
    <row r="865" spans="7:14" ht="15">
      <c r="G865" s="102"/>
      <c r="I865" s="102"/>
      <c r="K865" s="573"/>
      <c r="M865" s="232"/>
      <c r="N865" s="11"/>
    </row>
    <row r="866" spans="7:14" ht="15">
      <c r="G866" s="102"/>
      <c r="I866" s="102"/>
      <c r="K866" s="573"/>
      <c r="M866" s="232"/>
      <c r="N866" s="11"/>
    </row>
    <row r="867" spans="7:14" ht="15">
      <c r="G867" s="102"/>
      <c r="I867" s="102"/>
      <c r="K867" s="573"/>
      <c r="M867" s="232"/>
      <c r="N867" s="11"/>
    </row>
    <row r="868" spans="7:14" ht="15">
      <c r="G868" s="102"/>
      <c r="I868" s="102"/>
      <c r="K868" s="573"/>
      <c r="M868" s="232"/>
      <c r="N868" s="11"/>
    </row>
    <row r="869" spans="7:14" ht="15">
      <c r="G869" s="102"/>
      <c r="I869" s="102"/>
      <c r="K869" s="573"/>
      <c r="M869" s="232"/>
      <c r="N869" s="11"/>
    </row>
    <row r="870" spans="7:14" ht="15">
      <c r="G870" s="102"/>
      <c r="I870" s="102"/>
      <c r="K870" s="573"/>
      <c r="M870" s="232"/>
      <c r="N870" s="11"/>
    </row>
    <row r="871" spans="7:14" ht="15">
      <c r="G871" s="102"/>
      <c r="I871" s="102"/>
      <c r="K871" s="573"/>
      <c r="M871" s="232"/>
      <c r="N871" s="11"/>
    </row>
    <row r="872" spans="7:14" ht="15">
      <c r="G872" s="102"/>
      <c r="I872" s="102"/>
      <c r="K872" s="573"/>
      <c r="M872" s="232"/>
      <c r="N872" s="11"/>
    </row>
    <row r="873" spans="7:14" ht="15">
      <c r="G873" s="102"/>
      <c r="I873" s="102"/>
      <c r="K873" s="573"/>
      <c r="M873" s="232"/>
      <c r="N873" s="11"/>
    </row>
    <row r="874" spans="7:14" ht="15">
      <c r="G874" s="102"/>
      <c r="I874" s="102"/>
      <c r="K874" s="573"/>
      <c r="M874" s="232"/>
      <c r="N874" s="11"/>
    </row>
    <row r="875" spans="7:14" ht="15">
      <c r="G875" s="102"/>
      <c r="I875" s="102"/>
      <c r="K875" s="573"/>
      <c r="M875" s="232"/>
      <c r="N875" s="11"/>
    </row>
    <row r="876" spans="7:14" ht="15">
      <c r="G876" s="102"/>
      <c r="I876" s="102"/>
      <c r="K876" s="573"/>
      <c r="M876" s="232"/>
      <c r="N876" s="11"/>
    </row>
    <row r="877" spans="7:14" ht="15">
      <c r="G877" s="102"/>
      <c r="I877" s="102"/>
      <c r="K877" s="573"/>
      <c r="M877" s="232"/>
      <c r="N877" s="11"/>
    </row>
    <row r="878" spans="7:14" ht="15">
      <c r="G878" s="102"/>
      <c r="I878" s="102"/>
      <c r="K878" s="573"/>
      <c r="M878" s="232"/>
      <c r="N878" s="11"/>
    </row>
    <row r="879" spans="7:14" ht="15">
      <c r="G879" s="102"/>
      <c r="I879" s="102"/>
      <c r="K879" s="573"/>
      <c r="M879" s="232"/>
      <c r="N879" s="11"/>
    </row>
    <row r="880" spans="7:14" ht="15">
      <c r="G880" s="102"/>
      <c r="I880" s="102"/>
      <c r="K880" s="573"/>
      <c r="M880" s="232"/>
      <c r="N880" s="11"/>
    </row>
    <row r="881" spans="7:14" ht="15">
      <c r="G881" s="102"/>
      <c r="I881" s="102"/>
      <c r="K881" s="573"/>
      <c r="M881" s="232"/>
      <c r="N881" s="11"/>
    </row>
    <row r="882" spans="7:14" ht="15">
      <c r="G882" s="102"/>
      <c r="I882" s="102"/>
      <c r="K882" s="573"/>
      <c r="M882" s="232"/>
      <c r="N882" s="11"/>
    </row>
    <row r="883" spans="7:14" ht="15">
      <c r="G883" s="102"/>
      <c r="I883" s="102"/>
      <c r="K883" s="573"/>
      <c r="M883" s="232"/>
      <c r="N883" s="11"/>
    </row>
    <row r="884" spans="7:14" ht="15">
      <c r="G884" s="102"/>
      <c r="I884" s="102"/>
      <c r="K884" s="573"/>
      <c r="M884" s="232"/>
      <c r="N884" s="11"/>
    </row>
    <row r="885" spans="7:14" ht="15">
      <c r="G885" s="102"/>
      <c r="I885" s="102"/>
      <c r="K885" s="573"/>
      <c r="M885" s="232"/>
      <c r="N885" s="11"/>
    </row>
    <row r="886" spans="7:14" ht="15">
      <c r="G886" s="102"/>
      <c r="I886" s="102"/>
      <c r="K886" s="573"/>
      <c r="M886" s="232"/>
      <c r="N886" s="11"/>
    </row>
    <row r="887" spans="7:14" ht="15">
      <c r="G887" s="102"/>
      <c r="I887" s="102"/>
      <c r="K887" s="573"/>
      <c r="M887" s="232"/>
      <c r="N887" s="11"/>
    </row>
    <row r="888" spans="7:14" ht="15">
      <c r="G888" s="102"/>
      <c r="I888" s="102"/>
      <c r="K888" s="573"/>
      <c r="M888" s="232"/>
      <c r="N888" s="11"/>
    </row>
    <row r="889" spans="7:14" ht="15">
      <c r="G889" s="102"/>
      <c r="I889" s="102"/>
      <c r="K889" s="573"/>
      <c r="M889" s="232"/>
      <c r="N889" s="11"/>
    </row>
    <row r="890" spans="7:14" ht="15">
      <c r="G890" s="102"/>
      <c r="I890" s="102"/>
      <c r="K890" s="573"/>
      <c r="M890" s="232"/>
      <c r="N890" s="11"/>
    </row>
    <row r="891" spans="7:14" ht="15">
      <c r="G891" s="102"/>
      <c r="I891" s="102"/>
      <c r="K891" s="573"/>
      <c r="M891" s="232"/>
      <c r="N891" s="11"/>
    </row>
    <row r="892" spans="7:14" ht="15">
      <c r="G892" s="102"/>
      <c r="I892" s="102"/>
      <c r="K892" s="573"/>
      <c r="M892" s="232"/>
      <c r="N892" s="11"/>
    </row>
    <row r="893" spans="7:14" ht="15">
      <c r="G893" s="102"/>
      <c r="I893" s="102"/>
      <c r="K893" s="573"/>
      <c r="M893" s="232"/>
      <c r="N893" s="11"/>
    </row>
    <row r="894" spans="7:14" ht="15">
      <c r="G894" s="102"/>
      <c r="I894" s="102"/>
      <c r="K894" s="573"/>
      <c r="M894" s="232"/>
      <c r="N894" s="11"/>
    </row>
    <row r="895" spans="7:14" ht="15">
      <c r="G895" s="102"/>
      <c r="I895" s="102"/>
      <c r="K895" s="573"/>
      <c r="M895" s="232"/>
      <c r="N895" s="11"/>
    </row>
    <row r="896" spans="7:14" ht="15">
      <c r="G896" s="102"/>
      <c r="I896" s="102"/>
      <c r="K896" s="573"/>
      <c r="M896" s="232"/>
      <c r="N896" s="11"/>
    </row>
    <row r="897" spans="7:14" ht="15">
      <c r="G897" s="102"/>
      <c r="I897" s="102"/>
      <c r="K897" s="573"/>
      <c r="M897" s="232"/>
      <c r="N897" s="11"/>
    </row>
    <row r="898" spans="7:14" ht="15">
      <c r="G898" s="102"/>
      <c r="I898" s="102"/>
      <c r="K898" s="573"/>
      <c r="M898" s="232"/>
      <c r="N898" s="11"/>
    </row>
    <row r="899" spans="7:14" ht="15">
      <c r="G899" s="102"/>
      <c r="I899" s="102"/>
      <c r="K899" s="573"/>
      <c r="M899" s="232"/>
      <c r="N899" s="11"/>
    </row>
    <row r="900" spans="7:14" ht="15">
      <c r="G900" s="102"/>
      <c r="I900" s="102"/>
      <c r="K900" s="573"/>
      <c r="M900" s="232"/>
      <c r="N900" s="11"/>
    </row>
    <row r="901" spans="7:14" ht="15">
      <c r="G901" s="102"/>
      <c r="I901" s="102"/>
      <c r="K901" s="573"/>
      <c r="M901" s="232"/>
      <c r="N901" s="11"/>
    </row>
    <row r="902" spans="7:14" ht="15">
      <c r="G902" s="102"/>
      <c r="I902" s="102"/>
      <c r="K902" s="573"/>
      <c r="M902" s="232"/>
      <c r="N902" s="11"/>
    </row>
    <row r="903" spans="7:14" ht="15">
      <c r="G903" s="102"/>
      <c r="I903" s="102"/>
      <c r="K903" s="573"/>
      <c r="M903" s="232"/>
      <c r="N903" s="11"/>
    </row>
    <row r="904" spans="7:14" ht="15">
      <c r="G904" s="102"/>
      <c r="I904" s="102"/>
      <c r="K904" s="573"/>
      <c r="M904" s="232"/>
      <c r="N904" s="11"/>
    </row>
    <row r="905" spans="7:14" ht="15">
      <c r="G905" s="102"/>
      <c r="I905" s="102"/>
      <c r="K905" s="573"/>
      <c r="M905" s="232"/>
      <c r="N905" s="11"/>
    </row>
    <row r="906" spans="7:14" ht="15">
      <c r="G906" s="102"/>
      <c r="I906" s="102"/>
      <c r="K906" s="573"/>
      <c r="M906" s="232"/>
      <c r="N906" s="11"/>
    </row>
    <row r="907" spans="7:14" ht="15">
      <c r="G907" s="102"/>
      <c r="I907" s="102"/>
      <c r="K907" s="573"/>
      <c r="M907" s="232"/>
      <c r="N907" s="11"/>
    </row>
    <row r="908" spans="7:14" ht="15">
      <c r="G908" s="102"/>
      <c r="I908" s="102"/>
      <c r="K908" s="573"/>
      <c r="M908" s="232"/>
      <c r="N908" s="11"/>
    </row>
    <row r="909" spans="7:14" ht="15">
      <c r="G909" s="102"/>
      <c r="I909" s="102"/>
      <c r="K909" s="573"/>
      <c r="M909" s="232"/>
      <c r="N909" s="11"/>
    </row>
    <row r="910" spans="7:14" ht="15">
      <c r="G910" s="102"/>
      <c r="I910" s="102"/>
      <c r="K910" s="573"/>
      <c r="M910" s="232"/>
      <c r="N910" s="11"/>
    </row>
    <row r="911" spans="7:14" ht="15">
      <c r="G911" s="102"/>
      <c r="I911" s="102"/>
      <c r="K911" s="573"/>
      <c r="M911" s="232"/>
      <c r="N911" s="11"/>
    </row>
    <row r="912" spans="7:14" ht="15">
      <c r="G912" s="102"/>
      <c r="I912" s="102"/>
      <c r="K912" s="573"/>
      <c r="M912" s="232"/>
      <c r="N912" s="11"/>
    </row>
    <row r="913" spans="7:14" ht="15">
      <c r="G913" s="102"/>
      <c r="I913" s="102"/>
      <c r="K913" s="573"/>
      <c r="M913" s="232"/>
      <c r="N913" s="11"/>
    </row>
    <row r="914" spans="7:14" ht="15">
      <c r="G914" s="102"/>
      <c r="I914" s="102"/>
      <c r="K914" s="573"/>
      <c r="M914" s="232"/>
      <c r="N914" s="11"/>
    </row>
    <row r="915" spans="7:14" ht="15">
      <c r="G915" s="102"/>
      <c r="I915" s="102"/>
      <c r="K915" s="573"/>
      <c r="M915" s="232"/>
      <c r="N915" s="11"/>
    </row>
    <row r="916" spans="7:14" ht="15">
      <c r="G916" s="102"/>
      <c r="I916" s="102"/>
      <c r="K916" s="573"/>
      <c r="M916" s="232"/>
      <c r="N916" s="11"/>
    </row>
    <row r="917" spans="7:14" ht="15">
      <c r="G917" s="102"/>
      <c r="I917" s="102"/>
      <c r="K917" s="573"/>
      <c r="M917" s="232"/>
      <c r="N917" s="11"/>
    </row>
    <row r="918" spans="7:14" ht="15">
      <c r="G918" s="102"/>
      <c r="I918" s="102"/>
      <c r="K918" s="573"/>
      <c r="M918" s="232"/>
      <c r="N918" s="11"/>
    </row>
    <row r="919" spans="7:14" ht="15">
      <c r="G919" s="102"/>
      <c r="I919" s="102"/>
      <c r="K919" s="573"/>
      <c r="M919" s="232"/>
      <c r="N919" s="11"/>
    </row>
    <row r="920" spans="7:14" ht="15">
      <c r="G920" s="102"/>
      <c r="I920" s="102"/>
      <c r="K920" s="573"/>
      <c r="M920" s="232"/>
      <c r="N920" s="11"/>
    </row>
    <row r="921" spans="7:14" ht="15">
      <c r="G921" s="102"/>
      <c r="I921" s="102"/>
      <c r="K921" s="573"/>
      <c r="M921" s="232"/>
      <c r="N921" s="11"/>
    </row>
    <row r="922" spans="7:14" ht="15">
      <c r="G922" s="102"/>
      <c r="I922" s="102"/>
      <c r="K922" s="573"/>
      <c r="M922" s="232"/>
      <c r="N922" s="11"/>
    </row>
    <row r="923" spans="7:14" ht="15">
      <c r="G923" s="102"/>
      <c r="I923" s="102"/>
      <c r="K923" s="573"/>
      <c r="M923" s="232"/>
      <c r="N923" s="11"/>
    </row>
    <row r="924" spans="7:14" ht="15">
      <c r="G924" s="102"/>
      <c r="I924" s="102"/>
      <c r="K924" s="573"/>
      <c r="M924" s="232"/>
      <c r="N924" s="11"/>
    </row>
    <row r="925" spans="7:14" ht="15">
      <c r="G925" s="102"/>
      <c r="I925" s="102"/>
      <c r="K925" s="573"/>
      <c r="M925" s="232"/>
      <c r="N925" s="11"/>
    </row>
    <row r="926" spans="7:14" ht="15">
      <c r="G926" s="102"/>
      <c r="I926" s="102"/>
      <c r="K926" s="573"/>
      <c r="M926" s="232"/>
      <c r="N926" s="11"/>
    </row>
    <row r="927" spans="7:14" ht="15">
      <c r="G927" s="102"/>
      <c r="I927" s="102"/>
      <c r="K927" s="573"/>
      <c r="M927" s="232"/>
      <c r="N927" s="11"/>
    </row>
    <row r="928" spans="7:14" ht="15">
      <c r="G928" s="102"/>
      <c r="I928" s="102"/>
      <c r="K928" s="573"/>
      <c r="M928" s="232"/>
      <c r="N928" s="11"/>
    </row>
    <row r="929" spans="7:14" ht="15">
      <c r="G929" s="102"/>
      <c r="I929" s="102"/>
      <c r="K929" s="573"/>
      <c r="M929" s="232"/>
      <c r="N929" s="11"/>
    </row>
    <row r="930" spans="7:14" ht="15">
      <c r="G930" s="102"/>
      <c r="I930" s="102"/>
      <c r="K930" s="573"/>
      <c r="M930" s="232"/>
      <c r="N930" s="11"/>
    </row>
    <row r="931" spans="7:14" ht="15">
      <c r="G931" s="102"/>
      <c r="I931" s="102"/>
      <c r="K931" s="573"/>
      <c r="M931" s="232"/>
      <c r="N931" s="11"/>
    </row>
    <row r="932" spans="7:14" ht="15">
      <c r="G932" s="102"/>
      <c r="I932" s="102"/>
      <c r="K932" s="573"/>
      <c r="M932" s="232"/>
      <c r="N932" s="11"/>
    </row>
    <row r="933" spans="7:14" ht="15">
      <c r="G933" s="102"/>
      <c r="I933" s="102"/>
      <c r="K933" s="573"/>
      <c r="M933" s="232"/>
      <c r="N933" s="11"/>
    </row>
    <row r="934" spans="7:14" ht="15">
      <c r="G934" s="102"/>
      <c r="I934" s="102"/>
      <c r="K934" s="573"/>
      <c r="M934" s="232"/>
      <c r="N934" s="11"/>
    </row>
    <row r="935" spans="7:14" ht="15">
      <c r="G935" s="102"/>
      <c r="I935" s="102"/>
      <c r="K935" s="573"/>
      <c r="M935" s="232"/>
      <c r="N935" s="11"/>
    </row>
    <row r="936" spans="7:14" ht="15">
      <c r="G936" s="102"/>
      <c r="I936" s="102"/>
      <c r="K936" s="573"/>
      <c r="M936" s="232"/>
      <c r="N936" s="11"/>
    </row>
    <row r="937" spans="7:14" ht="15">
      <c r="G937" s="102"/>
      <c r="I937" s="102"/>
      <c r="K937" s="573"/>
      <c r="M937" s="232"/>
      <c r="N937" s="11"/>
    </row>
    <row r="938" spans="7:14" ht="15">
      <c r="G938" s="102"/>
      <c r="I938" s="102"/>
      <c r="K938" s="573"/>
      <c r="M938" s="232"/>
      <c r="N938" s="11"/>
    </row>
    <row r="939" spans="7:14" ht="15">
      <c r="G939" s="102"/>
      <c r="I939" s="102"/>
      <c r="K939" s="573"/>
      <c r="M939" s="232"/>
      <c r="N939" s="11"/>
    </row>
    <row r="940" spans="7:14" ht="15">
      <c r="G940" s="102"/>
      <c r="I940" s="102"/>
      <c r="K940" s="573"/>
      <c r="M940" s="232"/>
      <c r="N940" s="11"/>
    </row>
    <row r="941" spans="7:14" ht="15">
      <c r="G941" s="102"/>
      <c r="I941" s="102"/>
      <c r="K941" s="573"/>
      <c r="M941" s="232"/>
      <c r="N941" s="11"/>
    </row>
    <row r="942" spans="7:14" ht="15">
      <c r="G942" s="102"/>
      <c r="I942" s="102"/>
      <c r="K942" s="573"/>
      <c r="M942" s="232"/>
      <c r="N942" s="11"/>
    </row>
    <row r="943" spans="7:14" ht="15">
      <c r="G943" s="102"/>
      <c r="I943" s="102"/>
      <c r="K943" s="573"/>
      <c r="M943" s="232"/>
      <c r="N943" s="11"/>
    </row>
    <row r="944" spans="7:14" ht="15">
      <c r="G944" s="102"/>
      <c r="I944" s="102"/>
      <c r="K944" s="573"/>
      <c r="M944" s="232"/>
      <c r="N944" s="11"/>
    </row>
    <row r="945" spans="7:14" ht="15">
      <c r="G945" s="102"/>
      <c r="I945" s="102"/>
      <c r="K945" s="573"/>
      <c r="M945" s="232"/>
      <c r="N945" s="11"/>
    </row>
    <row r="946" spans="7:14" ht="15">
      <c r="G946" s="102"/>
      <c r="I946" s="102"/>
      <c r="K946" s="573"/>
      <c r="M946" s="232"/>
      <c r="N946" s="11"/>
    </row>
    <row r="947" spans="7:14" ht="15">
      <c r="G947" s="102"/>
      <c r="I947" s="102"/>
      <c r="K947" s="573"/>
      <c r="M947" s="232"/>
      <c r="N947" s="11"/>
    </row>
    <row r="948" spans="7:14" ht="15">
      <c r="G948" s="102"/>
      <c r="I948" s="102"/>
      <c r="K948" s="573"/>
      <c r="M948" s="232"/>
      <c r="N948" s="11"/>
    </row>
    <row r="949" spans="7:14" ht="15">
      <c r="G949" s="102"/>
      <c r="I949" s="102"/>
      <c r="K949" s="573"/>
      <c r="M949" s="232"/>
      <c r="N949" s="11"/>
    </row>
    <row r="950" spans="7:14" ht="15">
      <c r="G950" s="102"/>
      <c r="I950" s="102"/>
      <c r="K950" s="573"/>
      <c r="M950" s="232"/>
      <c r="N950" s="11"/>
    </row>
    <row r="951" spans="7:14" ht="15">
      <c r="G951" s="102"/>
      <c r="I951" s="102"/>
      <c r="K951" s="573"/>
      <c r="M951" s="232"/>
      <c r="N951" s="11"/>
    </row>
    <row r="952" spans="7:14" ht="15">
      <c r="G952" s="102"/>
      <c r="I952" s="102"/>
      <c r="K952" s="573"/>
      <c r="M952" s="232"/>
      <c r="N952" s="11"/>
    </row>
    <row r="953" spans="7:14" ht="15">
      <c r="G953" s="102"/>
      <c r="I953" s="102"/>
      <c r="K953" s="573"/>
      <c r="M953" s="232"/>
      <c r="N953" s="11"/>
    </row>
    <row r="954" spans="7:14" ht="15">
      <c r="G954" s="102"/>
      <c r="I954" s="102"/>
      <c r="K954" s="573"/>
      <c r="M954" s="232"/>
      <c r="N954" s="11"/>
    </row>
    <row r="955" spans="7:14" ht="15">
      <c r="G955" s="102"/>
      <c r="I955" s="102"/>
      <c r="K955" s="573"/>
      <c r="M955" s="232"/>
      <c r="N955" s="11"/>
    </row>
    <row r="956" spans="7:14" ht="15">
      <c r="G956" s="102"/>
      <c r="I956" s="102"/>
      <c r="K956" s="573"/>
      <c r="M956" s="232"/>
      <c r="N956" s="11"/>
    </row>
    <row r="957" spans="7:14" ht="15">
      <c r="G957" s="102"/>
      <c r="I957" s="102"/>
      <c r="K957" s="573"/>
      <c r="M957" s="232"/>
      <c r="N957" s="11"/>
    </row>
    <row r="958" spans="7:14" ht="15">
      <c r="G958" s="102"/>
      <c r="I958" s="102"/>
      <c r="K958" s="573"/>
      <c r="M958" s="232"/>
      <c r="N958" s="11"/>
    </row>
    <row r="959" spans="7:14" ht="15">
      <c r="G959" s="102"/>
      <c r="I959" s="102"/>
      <c r="K959" s="573"/>
      <c r="M959" s="232"/>
      <c r="N959" s="11"/>
    </row>
    <row r="960" spans="7:14" ht="15">
      <c r="G960" s="102"/>
      <c r="I960" s="102"/>
      <c r="K960" s="573"/>
      <c r="M960" s="232"/>
      <c r="N960" s="11"/>
    </row>
    <row r="961" spans="7:14" ht="15">
      <c r="G961" s="102"/>
      <c r="I961" s="102"/>
      <c r="K961" s="573"/>
      <c r="M961" s="232"/>
      <c r="N961" s="11"/>
    </row>
    <row r="962" spans="7:14" ht="15">
      <c r="G962" s="102"/>
      <c r="I962" s="102"/>
      <c r="K962" s="573"/>
      <c r="M962" s="232"/>
      <c r="N962" s="11"/>
    </row>
    <row r="963" spans="7:14" ht="15">
      <c r="G963" s="102"/>
      <c r="I963" s="102"/>
      <c r="K963" s="573"/>
      <c r="M963" s="232"/>
      <c r="N963" s="11"/>
    </row>
    <row r="964" spans="7:14" ht="15">
      <c r="G964" s="102"/>
      <c r="I964" s="102"/>
      <c r="K964" s="573"/>
      <c r="M964" s="232"/>
      <c r="N964" s="11"/>
    </row>
    <row r="965" spans="7:14" ht="15">
      <c r="G965" s="102"/>
      <c r="I965" s="102"/>
      <c r="K965" s="573"/>
      <c r="M965" s="232"/>
      <c r="N965" s="11"/>
    </row>
    <row r="966" spans="7:14" ht="15">
      <c r="G966" s="102"/>
      <c r="I966" s="102"/>
      <c r="K966" s="573"/>
      <c r="M966" s="232"/>
      <c r="N966" s="11"/>
    </row>
    <row r="967" spans="7:14" ht="15">
      <c r="G967" s="102"/>
      <c r="I967" s="102"/>
      <c r="K967" s="573"/>
      <c r="M967" s="232"/>
      <c r="N967" s="11"/>
    </row>
    <row r="968" spans="7:14" ht="15">
      <c r="G968" s="102"/>
      <c r="I968" s="102"/>
      <c r="K968" s="573"/>
      <c r="M968" s="232"/>
      <c r="N968" s="11"/>
    </row>
    <row r="969" spans="7:14" ht="15">
      <c r="G969" s="102"/>
      <c r="I969" s="102"/>
      <c r="K969" s="573"/>
      <c r="M969" s="232"/>
      <c r="N969" s="11"/>
    </row>
    <row r="970" spans="7:14" ht="15">
      <c r="G970" s="102"/>
      <c r="I970" s="102"/>
      <c r="K970" s="573"/>
      <c r="M970" s="232"/>
      <c r="N970" s="11"/>
    </row>
    <row r="971" spans="7:14" ht="15">
      <c r="G971" s="102"/>
      <c r="I971" s="102"/>
      <c r="K971" s="573"/>
      <c r="M971" s="232"/>
      <c r="N971" s="11"/>
    </row>
    <row r="972" spans="7:14" ht="15">
      <c r="G972" s="102"/>
      <c r="I972" s="102"/>
      <c r="K972" s="573"/>
      <c r="M972" s="232"/>
      <c r="N972" s="11"/>
    </row>
    <row r="973" spans="7:14" ht="15">
      <c r="G973" s="102"/>
      <c r="I973" s="102"/>
      <c r="K973" s="573"/>
      <c r="M973" s="232"/>
      <c r="N973" s="11"/>
    </row>
    <row r="974" spans="7:14" ht="15">
      <c r="G974" s="102"/>
      <c r="I974" s="102"/>
      <c r="K974" s="573"/>
      <c r="M974" s="232"/>
      <c r="N974" s="11"/>
    </row>
    <row r="975" spans="7:14" ht="15">
      <c r="G975" s="102"/>
      <c r="I975" s="102"/>
      <c r="K975" s="573"/>
      <c r="M975" s="232"/>
      <c r="N975" s="11"/>
    </row>
    <row r="976" spans="7:14" ht="15">
      <c r="G976" s="102"/>
      <c r="I976" s="102"/>
      <c r="K976" s="573"/>
      <c r="M976" s="232"/>
      <c r="N976" s="11"/>
    </row>
    <row r="977" spans="7:14" ht="15">
      <c r="G977" s="102"/>
      <c r="I977" s="102"/>
      <c r="K977" s="573"/>
      <c r="M977" s="232"/>
      <c r="N977" s="11"/>
    </row>
    <row r="978" spans="7:14" ht="15">
      <c r="G978" s="102"/>
      <c r="I978" s="102"/>
      <c r="K978" s="573"/>
      <c r="M978" s="232"/>
      <c r="N978" s="11"/>
    </row>
    <row r="979" spans="7:14" ht="15">
      <c r="G979" s="102"/>
      <c r="I979" s="102"/>
      <c r="K979" s="573"/>
      <c r="M979" s="232"/>
      <c r="N979" s="11"/>
    </row>
    <row r="980" spans="7:14" ht="15">
      <c r="G980" s="102"/>
      <c r="I980" s="102"/>
      <c r="K980" s="573"/>
      <c r="M980" s="232"/>
      <c r="N980" s="11"/>
    </row>
    <row r="981" spans="7:14" ht="15">
      <c r="G981" s="102"/>
      <c r="I981" s="102"/>
      <c r="K981" s="573"/>
      <c r="M981" s="232"/>
      <c r="N981" s="11"/>
    </row>
    <row r="982" spans="7:14" ht="15">
      <c r="G982" s="102"/>
      <c r="I982" s="102"/>
      <c r="K982" s="573"/>
      <c r="M982" s="232"/>
      <c r="N982" s="11"/>
    </row>
    <row r="983" spans="7:14" ht="15">
      <c r="G983" s="102"/>
      <c r="I983" s="102"/>
      <c r="K983" s="573"/>
      <c r="M983" s="232"/>
      <c r="N983" s="11"/>
    </row>
    <row r="984" spans="7:14" ht="15">
      <c r="G984" s="102"/>
      <c r="I984" s="102"/>
      <c r="K984" s="573"/>
      <c r="M984" s="232"/>
      <c r="N984" s="11"/>
    </row>
    <row r="985" spans="7:14" ht="15">
      <c r="G985" s="102"/>
      <c r="I985" s="102"/>
      <c r="K985" s="573"/>
      <c r="M985" s="232"/>
      <c r="N985" s="11"/>
    </row>
    <row r="986" spans="7:14" ht="15">
      <c r="G986" s="102"/>
      <c r="I986" s="102"/>
      <c r="K986" s="573"/>
      <c r="M986" s="232"/>
      <c r="N986" s="11"/>
    </row>
    <row r="987" spans="7:14" ht="15">
      <c r="G987" s="102"/>
      <c r="I987" s="102"/>
      <c r="K987" s="573"/>
      <c r="M987" s="232"/>
      <c r="N987" s="11"/>
    </row>
    <row r="988" spans="7:14" ht="15">
      <c r="G988" s="102"/>
      <c r="I988" s="102"/>
      <c r="K988" s="573"/>
      <c r="M988" s="232"/>
      <c r="N988" s="11"/>
    </row>
    <row r="989" spans="7:14" ht="15">
      <c r="G989" s="102"/>
      <c r="I989" s="102"/>
      <c r="K989" s="573"/>
      <c r="M989" s="232"/>
      <c r="N989" s="11"/>
    </row>
    <row r="990" spans="7:14" ht="15">
      <c r="G990" s="102"/>
      <c r="I990" s="102"/>
      <c r="K990" s="573"/>
      <c r="M990" s="232"/>
      <c r="N990" s="11"/>
    </row>
    <row r="991" spans="7:14" ht="15">
      <c r="G991" s="102"/>
      <c r="I991" s="102"/>
      <c r="K991" s="573"/>
      <c r="M991" s="232"/>
      <c r="N991" s="11"/>
    </row>
    <row r="992" spans="7:14" ht="15">
      <c r="G992" s="102"/>
      <c r="I992" s="102"/>
      <c r="K992" s="573"/>
      <c r="M992" s="232"/>
      <c r="N992" s="11"/>
    </row>
    <row r="993" spans="7:14" ht="15">
      <c r="G993" s="102"/>
      <c r="I993" s="102"/>
      <c r="K993" s="573"/>
      <c r="M993" s="232"/>
      <c r="N993" s="11"/>
    </row>
    <row r="994" spans="7:14" ht="15">
      <c r="G994" s="102"/>
      <c r="I994" s="102"/>
      <c r="K994" s="573"/>
      <c r="M994" s="232"/>
      <c r="N994" s="11"/>
    </row>
    <row r="995" spans="7:14" ht="15">
      <c r="G995" s="102"/>
      <c r="I995" s="102"/>
      <c r="K995" s="573"/>
      <c r="M995" s="232"/>
      <c r="N995" s="11"/>
    </row>
    <row r="996" spans="7:14" ht="15">
      <c r="G996" s="102"/>
      <c r="I996" s="102"/>
      <c r="K996" s="573"/>
      <c r="M996" s="232"/>
      <c r="N996" s="11"/>
    </row>
    <row r="997" spans="7:14" ht="15">
      <c r="G997" s="102"/>
      <c r="I997" s="102"/>
      <c r="K997" s="573"/>
      <c r="M997" s="232"/>
      <c r="N997" s="11"/>
    </row>
    <row r="998" spans="7:14" ht="15">
      <c r="G998" s="102"/>
      <c r="I998" s="102"/>
      <c r="K998" s="573"/>
      <c r="M998" s="232"/>
      <c r="N998" s="11"/>
    </row>
    <row r="999" spans="7:14" ht="15">
      <c r="G999" s="102"/>
      <c r="I999" s="102"/>
      <c r="K999" s="573"/>
      <c r="M999" s="232"/>
      <c r="N999" s="11"/>
    </row>
    <row r="1000" spans="7:14" ht="15">
      <c r="G1000" s="102"/>
      <c r="I1000" s="102"/>
      <c r="K1000" s="573"/>
      <c r="M1000" s="232"/>
      <c r="N1000" s="11"/>
    </row>
    <row r="1001" spans="7:14" ht="15">
      <c r="G1001" s="102"/>
      <c r="I1001" s="102"/>
      <c r="K1001" s="573"/>
      <c r="M1001" s="232"/>
      <c r="N1001" s="11"/>
    </row>
    <row r="1002" spans="7:14" ht="15">
      <c r="G1002" s="102"/>
      <c r="I1002" s="102"/>
      <c r="K1002" s="573"/>
      <c r="M1002" s="232"/>
      <c r="N1002" s="11"/>
    </row>
    <row r="1003" spans="7:14" ht="15">
      <c r="G1003" s="102"/>
      <c r="I1003" s="102"/>
      <c r="K1003" s="573"/>
      <c r="M1003" s="232"/>
      <c r="N1003" s="11"/>
    </row>
    <row r="1004" spans="7:14" ht="15">
      <c r="G1004" s="102"/>
      <c r="I1004" s="102"/>
      <c r="K1004" s="573"/>
      <c r="M1004" s="232"/>
      <c r="N1004" s="11"/>
    </row>
    <row r="1005" spans="7:14" ht="15">
      <c r="G1005" s="102"/>
      <c r="I1005" s="102"/>
      <c r="K1005" s="573"/>
      <c r="M1005" s="232"/>
      <c r="N1005" s="11"/>
    </row>
    <row r="1006" spans="7:14" ht="15">
      <c r="G1006" s="102"/>
      <c r="I1006" s="102"/>
      <c r="K1006" s="573"/>
      <c r="M1006" s="232"/>
      <c r="N1006" s="11"/>
    </row>
    <row r="1007" spans="7:14" ht="15">
      <c r="G1007" s="102"/>
      <c r="I1007" s="102"/>
      <c r="K1007" s="573"/>
      <c r="M1007" s="232"/>
      <c r="N1007" s="11"/>
    </row>
    <row r="1008" spans="7:14" ht="15">
      <c r="G1008" s="102"/>
      <c r="I1008" s="102"/>
      <c r="K1008" s="573"/>
      <c r="M1008" s="232"/>
      <c r="N1008" s="11"/>
    </row>
    <row r="1009" spans="7:14" ht="15">
      <c r="G1009" s="102"/>
      <c r="I1009" s="102"/>
      <c r="K1009" s="573"/>
      <c r="M1009" s="232"/>
      <c r="N1009" s="11"/>
    </row>
    <row r="1010" spans="7:14" ht="15">
      <c r="G1010" s="102"/>
      <c r="I1010" s="102"/>
      <c r="K1010" s="573"/>
      <c r="M1010" s="232"/>
      <c r="N1010" s="11"/>
    </row>
    <row r="1011" spans="7:14" ht="15">
      <c r="G1011" s="102"/>
      <c r="I1011" s="102"/>
      <c r="K1011" s="573"/>
      <c r="M1011" s="232"/>
      <c r="N1011" s="11"/>
    </row>
    <row r="1012" spans="7:14" ht="15">
      <c r="G1012" s="102"/>
      <c r="I1012" s="102"/>
      <c r="K1012" s="573"/>
      <c r="M1012" s="232"/>
      <c r="N1012" s="11"/>
    </row>
    <row r="1013" spans="7:14" ht="15">
      <c r="G1013" s="102"/>
      <c r="I1013" s="102"/>
      <c r="K1013" s="573"/>
      <c r="M1013" s="232"/>
      <c r="N1013" s="11"/>
    </row>
    <row r="1014" spans="7:14" ht="15">
      <c r="G1014" s="102"/>
      <c r="I1014" s="102"/>
      <c r="K1014" s="573"/>
      <c r="M1014" s="232"/>
      <c r="N1014" s="11"/>
    </row>
    <row r="1015" spans="7:14" ht="15">
      <c r="G1015" s="102"/>
      <c r="I1015" s="102"/>
      <c r="K1015" s="573"/>
      <c r="M1015" s="232"/>
      <c r="N1015" s="11"/>
    </row>
    <row r="1016" spans="7:14" ht="15">
      <c r="G1016" s="102"/>
      <c r="I1016" s="102"/>
      <c r="K1016" s="573"/>
      <c r="M1016" s="232"/>
      <c r="N1016" s="11"/>
    </row>
    <row r="1017" spans="7:14" ht="15">
      <c r="G1017" s="102"/>
      <c r="I1017" s="102"/>
      <c r="K1017" s="573"/>
      <c r="M1017" s="232"/>
      <c r="N1017" s="11"/>
    </row>
  </sheetData>
  <sheetProtection/>
  <mergeCells count="15">
    <mergeCell ref="H8:H10"/>
    <mergeCell ref="I8:I10"/>
    <mergeCell ref="J8:J10"/>
    <mergeCell ref="K8:K10"/>
    <mergeCell ref="L8:L10"/>
    <mergeCell ref="M8:M10"/>
    <mergeCell ref="N8:N10"/>
    <mergeCell ref="B9:F9"/>
    <mergeCell ref="E2:J2"/>
    <mergeCell ref="E3:N3"/>
    <mergeCell ref="A5:L5"/>
    <mergeCell ref="A6:L6"/>
    <mergeCell ref="A8:A10"/>
    <mergeCell ref="B8:F8"/>
    <mergeCell ref="G8:G10"/>
  </mergeCells>
  <printOptions/>
  <pageMargins left="0.7874015748031497" right="0" top="0.1968503937007874" bottom="0" header="0.5118110236220472" footer="0.5118110236220472"/>
  <pageSetup horizontalDpi="600" verticalDpi="600" orientation="portrait" paperSize="9" scale="72" r:id="rId1"/>
  <rowBreaks count="2" manualBreakCount="2">
    <brk id="678" max="13" man="1"/>
    <brk id="73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37"/>
  <sheetViews>
    <sheetView view="pageBreakPreview" zoomScale="64" zoomScaleNormal="75" zoomScaleSheetLayoutView="64" zoomScalePageLayoutView="0" workbookViewId="0" topLeftCell="A1">
      <selection activeCell="K3" sqref="K3:N5"/>
    </sheetView>
  </sheetViews>
  <sheetFormatPr defaultColWidth="9.140625" defaultRowHeight="12.75"/>
  <cols>
    <col min="1" max="1" width="7.57421875" style="238" customWidth="1"/>
    <col min="2" max="2" width="49.8515625" style="0" customWidth="1"/>
    <col min="3" max="3" width="14.57421875" style="385" bestFit="1" customWidth="1"/>
    <col min="4" max="4" width="12.00390625" style="385" customWidth="1"/>
    <col min="5" max="5" width="11.57421875" style="385" customWidth="1"/>
    <col min="6" max="6" width="10.7109375" style="385" customWidth="1"/>
    <col min="7" max="7" width="15.00390625" style="385" hidden="1" customWidth="1"/>
    <col min="8" max="8" width="14.8515625" style="385" customWidth="1"/>
    <col min="9" max="9" width="12.00390625" style="385" customWidth="1"/>
    <col min="10" max="10" width="11.57421875" style="385" customWidth="1"/>
    <col min="11" max="11" width="14.8515625" style="385" bestFit="1" customWidth="1"/>
    <col min="12" max="12" width="15.140625" style="385" customWidth="1"/>
    <col min="13" max="13" width="13.7109375" style="385" customWidth="1"/>
    <col min="14" max="14" width="13.421875" style="385" bestFit="1" customWidth="1"/>
  </cols>
  <sheetData>
    <row r="1" spans="1:14" ht="12.75" customHeight="1">
      <c r="A1" s="254"/>
      <c r="B1" s="253"/>
      <c r="C1" s="383"/>
      <c r="D1" s="383"/>
      <c r="E1" s="384"/>
      <c r="F1" s="384"/>
      <c r="K1" s="672"/>
      <c r="L1" s="672"/>
      <c r="M1" s="673"/>
      <c r="N1" s="673"/>
    </row>
    <row r="2" spans="1:14" ht="12.75" customHeight="1">
      <c r="A2" s="254"/>
      <c r="B2" s="253"/>
      <c r="C2" s="383"/>
      <c r="D2" s="383"/>
      <c r="E2" s="384"/>
      <c r="F2" s="384"/>
      <c r="K2" s="672" t="s">
        <v>1103</v>
      </c>
      <c r="L2" s="672"/>
      <c r="M2" s="673"/>
      <c r="N2" s="673"/>
    </row>
    <row r="3" spans="1:14" ht="12.75">
      <c r="A3" s="254"/>
      <c r="B3" s="253"/>
      <c r="C3" s="386"/>
      <c r="D3" s="386"/>
      <c r="E3" s="386"/>
      <c r="F3" s="386"/>
      <c r="G3" s="386"/>
      <c r="H3" s="386"/>
      <c r="K3" s="674" t="s">
        <v>1104</v>
      </c>
      <c r="L3" s="674"/>
      <c r="M3" s="674"/>
      <c r="N3" s="674"/>
    </row>
    <row r="4" spans="1:14" ht="12.75">
      <c r="A4" s="254"/>
      <c r="B4" s="253"/>
      <c r="C4" s="386"/>
      <c r="D4" s="386"/>
      <c r="E4" s="386"/>
      <c r="F4" s="386"/>
      <c r="G4" s="386"/>
      <c r="H4" s="386"/>
      <c r="K4" s="674"/>
      <c r="L4" s="674"/>
      <c r="M4" s="674"/>
      <c r="N4" s="674"/>
    </row>
    <row r="5" spans="1:14" ht="7.5" customHeight="1">
      <c r="A5" s="254"/>
      <c r="B5" s="253"/>
      <c r="C5" s="386"/>
      <c r="D5" s="386"/>
      <c r="E5" s="386"/>
      <c r="F5" s="386"/>
      <c r="G5" s="386"/>
      <c r="H5" s="386"/>
      <c r="K5" s="674"/>
      <c r="L5" s="674"/>
      <c r="M5" s="674"/>
      <c r="N5" s="674"/>
    </row>
    <row r="6" spans="1:14" ht="26.25" customHeight="1">
      <c r="A6" s="677" t="s">
        <v>1044</v>
      </c>
      <c r="B6" s="677"/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7"/>
    </row>
    <row r="7" spans="1:14" ht="12.75">
      <c r="A7" s="252"/>
      <c r="B7" s="678" t="s">
        <v>898</v>
      </c>
      <c r="C7" s="678"/>
      <c r="D7" s="678"/>
      <c r="E7" s="678"/>
      <c r="F7" s="678"/>
      <c r="G7" s="678"/>
      <c r="H7" s="678"/>
      <c r="I7" s="678"/>
      <c r="J7" s="678"/>
      <c r="K7" s="678"/>
      <c r="L7" s="678"/>
      <c r="M7" s="678"/>
      <c r="N7" s="678"/>
    </row>
    <row r="8" spans="1:14" ht="13.5" thickBot="1">
      <c r="A8" s="251"/>
      <c r="B8" s="250"/>
      <c r="C8" s="387"/>
      <c r="D8" s="387"/>
      <c r="E8" s="387"/>
      <c r="F8" s="387"/>
      <c r="I8" s="387"/>
      <c r="J8" s="387"/>
      <c r="K8" s="387"/>
      <c r="L8" s="387"/>
      <c r="M8" s="387"/>
      <c r="N8" s="387" t="s">
        <v>897</v>
      </c>
    </row>
    <row r="9" spans="1:14" ht="12.75" customHeight="1">
      <c r="A9" s="689" t="s">
        <v>896</v>
      </c>
      <c r="B9" s="691" t="s">
        <v>895</v>
      </c>
      <c r="C9" s="675" t="s">
        <v>894</v>
      </c>
      <c r="D9" s="684" t="s">
        <v>890</v>
      </c>
      <c r="E9" s="685"/>
      <c r="F9" s="686"/>
      <c r="G9" s="679" t="s">
        <v>893</v>
      </c>
      <c r="H9" s="681" t="s">
        <v>892</v>
      </c>
      <c r="I9" s="682"/>
      <c r="J9" s="683"/>
      <c r="K9" s="675" t="s">
        <v>891</v>
      </c>
      <c r="L9" s="684" t="s">
        <v>890</v>
      </c>
      <c r="M9" s="685"/>
      <c r="N9" s="686"/>
    </row>
    <row r="10" spans="1:14" ht="26.25" customHeight="1" thickBot="1">
      <c r="A10" s="690"/>
      <c r="B10" s="692"/>
      <c r="C10" s="676"/>
      <c r="D10" s="388" t="s">
        <v>902</v>
      </c>
      <c r="E10" s="389" t="s">
        <v>889</v>
      </c>
      <c r="F10" s="389" t="s">
        <v>888</v>
      </c>
      <c r="G10" s="680"/>
      <c r="H10" s="388" t="s">
        <v>902</v>
      </c>
      <c r="I10" s="389" t="s">
        <v>889</v>
      </c>
      <c r="J10" s="389" t="s">
        <v>888</v>
      </c>
      <c r="K10" s="676"/>
      <c r="L10" s="389" t="s">
        <v>903</v>
      </c>
      <c r="M10" s="389" t="s">
        <v>889</v>
      </c>
      <c r="N10" s="389" t="s">
        <v>888</v>
      </c>
    </row>
    <row r="11" spans="1:14" ht="15.75">
      <c r="A11" s="249">
        <v>1</v>
      </c>
      <c r="B11" s="480" t="s">
        <v>887</v>
      </c>
      <c r="C11" s="377">
        <f>SUM(D11:F11)</f>
        <v>2569.165</v>
      </c>
      <c r="D11" s="391">
        <f aca="true" t="shared" si="0" ref="D11:N11">SUM(D12:D23)</f>
        <v>0</v>
      </c>
      <c r="E11" s="391">
        <f t="shared" si="0"/>
        <v>0</v>
      </c>
      <c r="F11" s="391">
        <f t="shared" si="0"/>
        <v>2569.165</v>
      </c>
      <c r="G11" s="391">
        <f t="shared" si="0"/>
        <v>0</v>
      </c>
      <c r="H11" s="391">
        <f t="shared" si="0"/>
        <v>0</v>
      </c>
      <c r="I11" s="391">
        <f t="shared" si="0"/>
        <v>0</v>
      </c>
      <c r="J11" s="391">
        <f t="shared" si="0"/>
        <v>16.918999999999983</v>
      </c>
      <c r="K11" s="391">
        <f t="shared" si="0"/>
        <v>2586.084</v>
      </c>
      <c r="L11" s="391">
        <f t="shared" si="0"/>
        <v>0</v>
      </c>
      <c r="M11" s="391">
        <f t="shared" si="0"/>
        <v>0</v>
      </c>
      <c r="N11" s="391">
        <f t="shared" si="0"/>
        <v>2586.084</v>
      </c>
    </row>
    <row r="12" spans="1:14" ht="30">
      <c r="A12" s="249" t="s">
        <v>1</v>
      </c>
      <c r="B12" s="481" t="s">
        <v>886</v>
      </c>
      <c r="C12" s="471">
        <f>SUM(D12:F12)</f>
        <v>666.133</v>
      </c>
      <c r="D12" s="471"/>
      <c r="E12" s="471"/>
      <c r="F12" s="471">
        <v>666.133</v>
      </c>
      <c r="G12" s="472"/>
      <c r="H12" s="473"/>
      <c r="I12" s="471"/>
      <c r="J12" s="471">
        <v>-366.13</v>
      </c>
      <c r="K12" s="471">
        <f>SUM(L12:N12)</f>
        <v>300.00300000000004</v>
      </c>
      <c r="L12" s="471">
        <f>D12+H12</f>
        <v>0</v>
      </c>
      <c r="M12" s="471">
        <f aca="true" t="shared" si="1" ref="M12:M20">E12+I12</f>
        <v>0</v>
      </c>
      <c r="N12" s="471">
        <f aca="true" t="shared" si="2" ref="N12:N20">J12+F12</f>
        <v>300.00300000000004</v>
      </c>
    </row>
    <row r="13" spans="1:14" ht="30">
      <c r="A13" s="249" t="s">
        <v>2</v>
      </c>
      <c r="B13" s="481" t="s">
        <v>885</v>
      </c>
      <c r="C13" s="471">
        <f aca="true" t="shared" si="3" ref="C13:C23">SUM(D13:F13)</f>
        <v>255</v>
      </c>
      <c r="D13" s="471"/>
      <c r="E13" s="471"/>
      <c r="F13" s="471">
        <v>255</v>
      </c>
      <c r="G13" s="472"/>
      <c r="H13" s="473"/>
      <c r="I13" s="471"/>
      <c r="J13" s="471">
        <v>-150.62</v>
      </c>
      <c r="K13" s="471">
        <f aca="true" t="shared" si="4" ref="K13:K20">SUM(L13:N13)</f>
        <v>104.38</v>
      </c>
      <c r="L13" s="471">
        <f aca="true" t="shared" si="5" ref="L13:L20">D13+H13</f>
        <v>0</v>
      </c>
      <c r="M13" s="471">
        <f t="shared" si="1"/>
        <v>0</v>
      </c>
      <c r="N13" s="471">
        <f t="shared" si="2"/>
        <v>104.38</v>
      </c>
    </row>
    <row r="14" spans="1:14" ht="30">
      <c r="A14" s="249" t="s">
        <v>3</v>
      </c>
      <c r="B14" s="482" t="s">
        <v>884</v>
      </c>
      <c r="C14" s="471">
        <f t="shared" si="3"/>
        <v>365</v>
      </c>
      <c r="D14" s="474"/>
      <c r="E14" s="475"/>
      <c r="F14" s="475">
        <v>365</v>
      </c>
      <c r="G14" s="472"/>
      <c r="H14" s="473"/>
      <c r="I14" s="475"/>
      <c r="J14" s="475"/>
      <c r="K14" s="471">
        <f t="shared" si="4"/>
        <v>365</v>
      </c>
      <c r="L14" s="471">
        <f t="shared" si="5"/>
        <v>0</v>
      </c>
      <c r="M14" s="471">
        <f t="shared" si="1"/>
        <v>0</v>
      </c>
      <c r="N14" s="471">
        <f t="shared" si="2"/>
        <v>365</v>
      </c>
    </row>
    <row r="15" spans="1:14" ht="30">
      <c r="A15" s="249" t="s">
        <v>4</v>
      </c>
      <c r="B15" s="482" t="s">
        <v>883</v>
      </c>
      <c r="C15" s="471">
        <f t="shared" si="3"/>
        <v>152.844</v>
      </c>
      <c r="D15" s="474"/>
      <c r="E15" s="475"/>
      <c r="F15" s="475">
        <v>152.844</v>
      </c>
      <c r="G15" s="472"/>
      <c r="H15" s="473"/>
      <c r="I15" s="475"/>
      <c r="J15" s="475"/>
      <c r="K15" s="471">
        <f t="shared" si="4"/>
        <v>152.844</v>
      </c>
      <c r="L15" s="471">
        <f t="shared" si="5"/>
        <v>0</v>
      </c>
      <c r="M15" s="471">
        <f t="shared" si="1"/>
        <v>0</v>
      </c>
      <c r="N15" s="471">
        <f t="shared" si="2"/>
        <v>152.844</v>
      </c>
    </row>
    <row r="16" spans="1:14" ht="30">
      <c r="A16" s="249" t="s">
        <v>5</v>
      </c>
      <c r="B16" s="482" t="s">
        <v>882</v>
      </c>
      <c r="C16" s="471">
        <f t="shared" si="3"/>
        <v>242.632</v>
      </c>
      <c r="D16" s="474"/>
      <c r="E16" s="475"/>
      <c r="F16" s="475">
        <v>242.632</v>
      </c>
      <c r="G16" s="472"/>
      <c r="H16" s="473"/>
      <c r="I16" s="475"/>
      <c r="J16" s="475">
        <v>-64.63</v>
      </c>
      <c r="K16" s="471">
        <f t="shared" si="4"/>
        <v>178.002</v>
      </c>
      <c r="L16" s="471">
        <f t="shared" si="5"/>
        <v>0</v>
      </c>
      <c r="M16" s="471">
        <f t="shared" si="1"/>
        <v>0</v>
      </c>
      <c r="N16" s="471">
        <f t="shared" si="2"/>
        <v>178.002</v>
      </c>
    </row>
    <row r="17" spans="1:14" ht="30">
      <c r="A17" s="249" t="s">
        <v>881</v>
      </c>
      <c r="B17" s="482" t="s">
        <v>880</v>
      </c>
      <c r="C17" s="471">
        <f t="shared" si="3"/>
        <v>96.221</v>
      </c>
      <c r="D17" s="474"/>
      <c r="E17" s="475"/>
      <c r="F17" s="475">
        <v>96.221</v>
      </c>
      <c r="G17" s="472"/>
      <c r="H17" s="473"/>
      <c r="I17" s="475"/>
      <c r="J17" s="475">
        <v>-3.701</v>
      </c>
      <c r="K17" s="471">
        <f t="shared" si="4"/>
        <v>92.52000000000001</v>
      </c>
      <c r="L17" s="471">
        <f t="shared" si="5"/>
        <v>0</v>
      </c>
      <c r="M17" s="471">
        <f t="shared" si="1"/>
        <v>0</v>
      </c>
      <c r="N17" s="471">
        <f t="shared" si="2"/>
        <v>92.52000000000001</v>
      </c>
    </row>
    <row r="18" spans="1:14" ht="45">
      <c r="A18" s="249" t="s">
        <v>879</v>
      </c>
      <c r="B18" s="482" t="s">
        <v>878</v>
      </c>
      <c r="C18" s="471">
        <f t="shared" si="3"/>
        <v>204.01</v>
      </c>
      <c r="D18" s="474"/>
      <c r="E18" s="475"/>
      <c r="F18" s="475">
        <v>204.01</v>
      </c>
      <c r="G18" s="472"/>
      <c r="H18" s="473"/>
      <c r="I18" s="475"/>
      <c r="J18" s="475"/>
      <c r="K18" s="471">
        <f t="shared" si="4"/>
        <v>204.01</v>
      </c>
      <c r="L18" s="471">
        <f t="shared" si="5"/>
        <v>0</v>
      </c>
      <c r="M18" s="471">
        <f t="shared" si="1"/>
        <v>0</v>
      </c>
      <c r="N18" s="471">
        <f t="shared" si="2"/>
        <v>204.01</v>
      </c>
    </row>
    <row r="19" spans="1:14" ht="30">
      <c r="A19" s="249" t="s">
        <v>877</v>
      </c>
      <c r="B19" s="482" t="s">
        <v>876</v>
      </c>
      <c r="C19" s="471">
        <f t="shared" si="3"/>
        <v>297.43</v>
      </c>
      <c r="D19" s="474"/>
      <c r="E19" s="475"/>
      <c r="F19" s="475">
        <v>297.43</v>
      </c>
      <c r="G19" s="472"/>
      <c r="H19" s="473"/>
      <c r="I19" s="475"/>
      <c r="J19" s="475">
        <v>-5</v>
      </c>
      <c r="K19" s="471">
        <f t="shared" si="4"/>
        <v>292.43</v>
      </c>
      <c r="L19" s="471">
        <f t="shared" si="5"/>
        <v>0</v>
      </c>
      <c r="M19" s="471">
        <f t="shared" si="1"/>
        <v>0</v>
      </c>
      <c r="N19" s="471">
        <f t="shared" si="2"/>
        <v>292.43</v>
      </c>
    </row>
    <row r="20" spans="1:14" ht="30">
      <c r="A20" s="249" t="s">
        <v>875</v>
      </c>
      <c r="B20" s="482" t="s">
        <v>874</v>
      </c>
      <c r="C20" s="471">
        <f t="shared" si="3"/>
        <v>189.895</v>
      </c>
      <c r="D20" s="474"/>
      <c r="E20" s="475"/>
      <c r="F20" s="475">
        <v>189.895</v>
      </c>
      <c r="G20" s="472"/>
      <c r="H20" s="473"/>
      <c r="I20" s="475"/>
      <c r="J20" s="475"/>
      <c r="K20" s="471">
        <f t="shared" si="4"/>
        <v>189.895</v>
      </c>
      <c r="L20" s="471">
        <f t="shared" si="5"/>
        <v>0</v>
      </c>
      <c r="M20" s="471">
        <f t="shared" si="1"/>
        <v>0</v>
      </c>
      <c r="N20" s="471">
        <f t="shared" si="2"/>
        <v>189.895</v>
      </c>
    </row>
    <row r="21" spans="1:14" ht="45">
      <c r="A21" s="248" t="s">
        <v>873</v>
      </c>
      <c r="B21" s="482" t="s">
        <v>872</v>
      </c>
      <c r="C21" s="471">
        <f t="shared" si="3"/>
        <v>0</v>
      </c>
      <c r="D21" s="474"/>
      <c r="E21" s="475"/>
      <c r="F21" s="475">
        <v>0</v>
      </c>
      <c r="G21" s="472"/>
      <c r="H21" s="473"/>
      <c r="I21" s="475"/>
      <c r="J21" s="475"/>
      <c r="K21" s="471">
        <f>SUM(L21:N21)</f>
        <v>0</v>
      </c>
      <c r="L21" s="471">
        <f aca="true" t="shared" si="6" ref="L21:M23">D21+H21</f>
        <v>0</v>
      </c>
      <c r="M21" s="471">
        <f t="shared" si="6"/>
        <v>0</v>
      </c>
      <c r="N21" s="471">
        <f>J21+F21</f>
        <v>0</v>
      </c>
    </row>
    <row r="22" spans="1:14" ht="45">
      <c r="A22" s="248" t="s">
        <v>1061</v>
      </c>
      <c r="B22" s="482" t="s">
        <v>951</v>
      </c>
      <c r="C22" s="471">
        <f>SUM(D22:F22)</f>
        <v>100</v>
      </c>
      <c r="D22" s="474"/>
      <c r="E22" s="475"/>
      <c r="F22" s="475">
        <v>100</v>
      </c>
      <c r="G22" s="472"/>
      <c r="H22" s="473"/>
      <c r="I22" s="475"/>
      <c r="J22" s="475">
        <v>-100</v>
      </c>
      <c r="K22" s="471">
        <f>SUM(L22:N22)</f>
        <v>0</v>
      </c>
      <c r="L22" s="471">
        <f>D22+H22</f>
        <v>0</v>
      </c>
      <c r="M22" s="471">
        <f>E22+I22</f>
        <v>0</v>
      </c>
      <c r="N22" s="471">
        <f>J22+F22</f>
        <v>0</v>
      </c>
    </row>
    <row r="23" spans="1:14" ht="30">
      <c r="A23" s="248" t="s">
        <v>1089</v>
      </c>
      <c r="B23" s="482" t="s">
        <v>1090</v>
      </c>
      <c r="C23" s="471">
        <f t="shared" si="3"/>
        <v>0</v>
      </c>
      <c r="D23" s="474"/>
      <c r="E23" s="475"/>
      <c r="F23" s="475"/>
      <c r="G23" s="472"/>
      <c r="H23" s="473"/>
      <c r="I23" s="475"/>
      <c r="J23" s="475">
        <v>707</v>
      </c>
      <c r="K23" s="471">
        <f>SUM(L23:N23)</f>
        <v>707</v>
      </c>
      <c r="L23" s="471">
        <f t="shared" si="6"/>
        <v>0</v>
      </c>
      <c r="M23" s="471">
        <f t="shared" si="6"/>
        <v>0</v>
      </c>
      <c r="N23" s="471">
        <f>J23+F23</f>
        <v>707</v>
      </c>
    </row>
    <row r="24" spans="1:14" s="246" customFormat="1" ht="15.75">
      <c r="A24" s="247"/>
      <c r="B24" s="483" t="s">
        <v>871</v>
      </c>
      <c r="C24" s="378">
        <f aca="true" t="shared" si="7" ref="C24:N24">C25+C31+C33+C35</f>
        <v>194981.2</v>
      </c>
      <c r="D24" s="378">
        <f t="shared" si="7"/>
        <v>133487.6</v>
      </c>
      <c r="E24" s="378">
        <f t="shared" si="7"/>
        <v>55897.6</v>
      </c>
      <c r="F24" s="378">
        <f>F25+F31+F33+F35</f>
        <v>5596</v>
      </c>
      <c r="G24" s="378">
        <f t="shared" si="7"/>
        <v>44884</v>
      </c>
      <c r="H24" s="378">
        <f t="shared" si="7"/>
        <v>0</v>
      </c>
      <c r="I24" s="378">
        <f t="shared" si="7"/>
        <v>0.9</v>
      </c>
      <c r="J24" s="378">
        <f t="shared" si="7"/>
        <v>43.5</v>
      </c>
      <c r="K24" s="378">
        <f t="shared" si="7"/>
        <v>195025.6</v>
      </c>
      <c r="L24" s="378">
        <f t="shared" si="7"/>
        <v>133487.6</v>
      </c>
      <c r="M24" s="378">
        <f t="shared" si="7"/>
        <v>55898.5</v>
      </c>
      <c r="N24" s="378">
        <f t="shared" si="7"/>
        <v>5639.5</v>
      </c>
    </row>
    <row r="25" spans="1:14" ht="15.75">
      <c r="A25" s="245">
        <v>2</v>
      </c>
      <c r="B25" s="484" t="s">
        <v>870</v>
      </c>
      <c r="C25" s="379">
        <f aca="true" t="shared" si="8" ref="C25:J25">C26</f>
        <v>39972.2</v>
      </c>
      <c r="D25" s="379">
        <f>D26</f>
        <v>3587.6</v>
      </c>
      <c r="E25" s="379">
        <f t="shared" si="8"/>
        <v>33258.6</v>
      </c>
      <c r="F25" s="379">
        <f t="shared" si="8"/>
        <v>3126</v>
      </c>
      <c r="G25" s="379">
        <f t="shared" si="8"/>
        <v>24884</v>
      </c>
      <c r="H25" s="379">
        <f t="shared" si="8"/>
        <v>0</v>
      </c>
      <c r="I25" s="379">
        <f t="shared" si="8"/>
        <v>0.9</v>
      </c>
      <c r="J25" s="379">
        <f t="shared" si="8"/>
        <v>43.5</v>
      </c>
      <c r="K25" s="379">
        <f>K26</f>
        <v>40016.6</v>
      </c>
      <c r="L25" s="379">
        <f>L26</f>
        <v>3587.6</v>
      </c>
      <c r="M25" s="379">
        <f>M26</f>
        <v>33259.5</v>
      </c>
      <c r="N25" s="379">
        <f>N26</f>
        <v>3169.5</v>
      </c>
    </row>
    <row r="26" spans="1:14" ht="28.5">
      <c r="A26" s="245"/>
      <c r="B26" s="484" t="s">
        <v>869</v>
      </c>
      <c r="C26" s="379">
        <f aca="true" t="shared" si="9" ref="C26:N26">SUM(C27:C29)</f>
        <v>39972.2</v>
      </c>
      <c r="D26" s="379">
        <f t="shared" si="9"/>
        <v>3587.6</v>
      </c>
      <c r="E26" s="379">
        <f t="shared" si="9"/>
        <v>33258.6</v>
      </c>
      <c r="F26" s="379">
        <f t="shared" si="9"/>
        <v>3126</v>
      </c>
      <c r="G26" s="379">
        <f t="shared" si="9"/>
        <v>24884</v>
      </c>
      <c r="H26" s="379">
        <f t="shared" si="9"/>
        <v>0</v>
      </c>
      <c r="I26" s="379">
        <f t="shared" si="9"/>
        <v>0.9</v>
      </c>
      <c r="J26" s="379">
        <f t="shared" si="9"/>
        <v>43.5</v>
      </c>
      <c r="K26" s="379">
        <f t="shared" si="9"/>
        <v>40016.6</v>
      </c>
      <c r="L26" s="379">
        <f t="shared" si="9"/>
        <v>3587.6</v>
      </c>
      <c r="M26" s="379">
        <f t="shared" si="9"/>
        <v>33259.5</v>
      </c>
      <c r="N26" s="379">
        <f t="shared" si="9"/>
        <v>3169.5</v>
      </c>
    </row>
    <row r="27" spans="1:14" ht="15.75">
      <c r="A27" s="245" t="s">
        <v>868</v>
      </c>
      <c r="B27" s="485" t="s">
        <v>867</v>
      </c>
      <c r="C27" s="476">
        <f>SUM(D27:F27)</f>
        <v>3821</v>
      </c>
      <c r="D27" s="476">
        <v>201</v>
      </c>
      <c r="E27" s="476">
        <v>3120</v>
      </c>
      <c r="F27" s="476">
        <v>500</v>
      </c>
      <c r="G27" s="472">
        <v>3484</v>
      </c>
      <c r="H27" s="472"/>
      <c r="I27" s="476"/>
      <c r="J27" s="476"/>
      <c r="K27" s="476">
        <f>SUM(L27:N27)</f>
        <v>3821</v>
      </c>
      <c r="L27" s="471">
        <f aca="true" t="shared" si="10" ref="L27:M29">D27+H27</f>
        <v>201</v>
      </c>
      <c r="M27" s="476">
        <f t="shared" si="10"/>
        <v>3120</v>
      </c>
      <c r="N27" s="476">
        <v>500</v>
      </c>
    </row>
    <row r="28" spans="1:14" ht="15.75">
      <c r="A28" s="243" t="s">
        <v>866</v>
      </c>
      <c r="B28" s="485" t="s">
        <v>901</v>
      </c>
      <c r="C28" s="476">
        <f>SUM(D28:F28)</f>
        <v>21651.2</v>
      </c>
      <c r="D28" s="476">
        <v>3386.6</v>
      </c>
      <c r="E28" s="476">
        <v>16138.6</v>
      </c>
      <c r="F28" s="476">
        <v>2126</v>
      </c>
      <c r="G28" s="472"/>
      <c r="H28" s="472"/>
      <c r="I28" s="476">
        <v>0.9</v>
      </c>
      <c r="J28" s="476">
        <v>43.5</v>
      </c>
      <c r="K28" s="476">
        <f>SUM(L28:N28)</f>
        <v>21695.6</v>
      </c>
      <c r="L28" s="471">
        <f t="shared" si="10"/>
        <v>3386.6</v>
      </c>
      <c r="M28" s="476">
        <f t="shared" si="10"/>
        <v>16139.5</v>
      </c>
      <c r="N28" s="476">
        <f>F28+J28</f>
        <v>2169.5</v>
      </c>
    </row>
    <row r="29" spans="1:14" ht="30">
      <c r="A29" s="243" t="s">
        <v>865</v>
      </c>
      <c r="B29" s="486" t="s">
        <v>864</v>
      </c>
      <c r="C29" s="476">
        <f>SUM(D29:F29)</f>
        <v>14500</v>
      </c>
      <c r="D29" s="476"/>
      <c r="E29" s="476">
        <v>14000</v>
      </c>
      <c r="F29" s="476">
        <f>445+55</f>
        <v>500</v>
      </c>
      <c r="G29" s="472">
        <v>21400</v>
      </c>
      <c r="H29" s="472"/>
      <c r="I29" s="476"/>
      <c r="J29" s="476"/>
      <c r="K29" s="476">
        <f>SUM(L29:N29)</f>
        <v>14500</v>
      </c>
      <c r="L29" s="477">
        <f t="shared" si="10"/>
        <v>0</v>
      </c>
      <c r="M29" s="476">
        <f t="shared" si="10"/>
        <v>14000</v>
      </c>
      <c r="N29" s="476">
        <f>445+55</f>
        <v>500</v>
      </c>
    </row>
    <row r="30" spans="1:14" ht="31.5" customHeight="1" hidden="1">
      <c r="A30" s="244" t="s">
        <v>863</v>
      </c>
      <c r="B30" s="487" t="s">
        <v>862</v>
      </c>
      <c r="C30" s="380">
        <f>SUM(E30:F30)</f>
        <v>0</v>
      </c>
      <c r="D30" s="380"/>
      <c r="E30" s="380"/>
      <c r="F30" s="380"/>
      <c r="G30" s="392"/>
      <c r="H30" s="392"/>
      <c r="I30" s="380"/>
      <c r="J30" s="380"/>
      <c r="K30" s="380">
        <f>SUM(M30:N30)</f>
        <v>0</v>
      </c>
      <c r="L30" s="380"/>
      <c r="M30" s="380"/>
      <c r="N30" s="380"/>
    </row>
    <row r="31" spans="1:14" ht="28.5">
      <c r="A31" s="243">
        <v>3</v>
      </c>
      <c r="B31" s="484" t="s">
        <v>861</v>
      </c>
      <c r="C31" s="379">
        <f aca="true" t="shared" si="11" ref="C31:N31">SUM(C32:C32)</f>
        <v>96599</v>
      </c>
      <c r="D31" s="379">
        <f t="shared" si="11"/>
        <v>72000</v>
      </c>
      <c r="E31" s="379">
        <f t="shared" si="11"/>
        <v>22139</v>
      </c>
      <c r="F31" s="379">
        <f t="shared" si="11"/>
        <v>2460</v>
      </c>
      <c r="G31" s="379">
        <f t="shared" si="11"/>
        <v>20000</v>
      </c>
      <c r="H31" s="379">
        <f t="shared" si="11"/>
        <v>0</v>
      </c>
      <c r="I31" s="379">
        <f t="shared" si="11"/>
        <v>0</v>
      </c>
      <c r="J31" s="379">
        <f t="shared" si="11"/>
        <v>0</v>
      </c>
      <c r="K31" s="379">
        <f>SUM(K32:K32)</f>
        <v>96599</v>
      </c>
      <c r="L31" s="379">
        <f>SUM(L32:L32)</f>
        <v>72000</v>
      </c>
      <c r="M31" s="379">
        <f t="shared" si="11"/>
        <v>22139</v>
      </c>
      <c r="N31" s="379">
        <f t="shared" si="11"/>
        <v>2460</v>
      </c>
    </row>
    <row r="32" spans="1:14" ht="30">
      <c r="A32" s="478" t="s">
        <v>7</v>
      </c>
      <c r="B32" s="485" t="s">
        <v>860</v>
      </c>
      <c r="C32" s="476">
        <f>SUM(D32:F32)</f>
        <v>96599</v>
      </c>
      <c r="D32" s="476">
        <v>72000</v>
      </c>
      <c r="E32" s="476">
        <v>22139</v>
      </c>
      <c r="F32" s="476">
        <f>2460</f>
        <v>2460</v>
      </c>
      <c r="G32" s="479">
        <v>20000</v>
      </c>
      <c r="H32" s="479"/>
      <c r="I32" s="476"/>
      <c r="J32" s="476"/>
      <c r="K32" s="476">
        <f>SUM(L32:N32)</f>
        <v>96599</v>
      </c>
      <c r="L32" s="477">
        <f>D32+H32</f>
        <v>72000</v>
      </c>
      <c r="M32" s="476">
        <f>E32+I32</f>
        <v>22139</v>
      </c>
      <c r="N32" s="476">
        <f>F32+J32</f>
        <v>2460</v>
      </c>
    </row>
    <row r="33" spans="1:14" ht="59.25" customHeight="1">
      <c r="A33" s="243">
        <v>4</v>
      </c>
      <c r="B33" s="488" t="s">
        <v>954</v>
      </c>
      <c r="C33" s="379">
        <f>SUM(D33:F33)</f>
        <v>58410</v>
      </c>
      <c r="D33" s="379">
        <f>SUM(D34)</f>
        <v>57900</v>
      </c>
      <c r="E33" s="379">
        <f aca="true" t="shared" si="12" ref="E33:N33">SUM(E34)</f>
        <v>500</v>
      </c>
      <c r="F33" s="379">
        <f t="shared" si="12"/>
        <v>10</v>
      </c>
      <c r="G33" s="379">
        <f t="shared" si="12"/>
        <v>0</v>
      </c>
      <c r="H33" s="379">
        <f t="shared" si="12"/>
        <v>0</v>
      </c>
      <c r="I33" s="379">
        <f t="shared" si="12"/>
        <v>0</v>
      </c>
      <c r="J33" s="379">
        <f t="shared" si="12"/>
        <v>0</v>
      </c>
      <c r="K33" s="379">
        <f>SUM(K34)</f>
        <v>58410</v>
      </c>
      <c r="L33" s="379">
        <f t="shared" si="12"/>
        <v>57900</v>
      </c>
      <c r="M33" s="379">
        <f t="shared" si="12"/>
        <v>500</v>
      </c>
      <c r="N33" s="379">
        <f t="shared" si="12"/>
        <v>10</v>
      </c>
    </row>
    <row r="34" spans="1:14" ht="33" customHeight="1" thickBot="1">
      <c r="A34" s="397" t="s">
        <v>952</v>
      </c>
      <c r="B34" s="489" t="s">
        <v>953</v>
      </c>
      <c r="C34" s="380">
        <f>SUM(D34:F34)</f>
        <v>58410</v>
      </c>
      <c r="D34" s="380">
        <v>57900</v>
      </c>
      <c r="E34" s="380">
        <v>500</v>
      </c>
      <c r="F34" s="380">
        <v>10</v>
      </c>
      <c r="G34" s="392"/>
      <c r="H34" s="392"/>
      <c r="I34" s="380"/>
      <c r="J34" s="380"/>
      <c r="K34" s="380">
        <f>SUM(L34:N34)</f>
        <v>58410</v>
      </c>
      <c r="L34" s="398">
        <f>D34+H34</f>
        <v>57900</v>
      </c>
      <c r="M34" s="380">
        <f>E34+I34</f>
        <v>500</v>
      </c>
      <c r="N34" s="380">
        <f>F34+J34</f>
        <v>10</v>
      </c>
    </row>
    <row r="35" spans="1:14" ht="22.5" customHeight="1" hidden="1" thickBot="1">
      <c r="A35" s="242"/>
      <c r="B35" s="241"/>
      <c r="C35" s="381">
        <f>SUM(E35:F35)</f>
        <v>0</v>
      </c>
      <c r="D35" s="381"/>
      <c r="E35" s="381"/>
      <c r="F35" s="394"/>
      <c r="G35" s="393"/>
      <c r="H35" s="393"/>
      <c r="I35" s="381"/>
      <c r="J35" s="394"/>
      <c r="K35" s="381">
        <f>SUM(M35:N35)</f>
        <v>0</v>
      </c>
      <c r="L35" s="381"/>
      <c r="M35" s="381"/>
      <c r="N35" s="394"/>
    </row>
    <row r="36" spans="1:14" ht="16.5" thickBot="1">
      <c r="A36" s="687" t="s">
        <v>859</v>
      </c>
      <c r="B36" s="688"/>
      <c r="C36" s="382">
        <f>SUM(D36:F36)</f>
        <v>197550.36500000002</v>
      </c>
      <c r="D36" s="382">
        <f aca="true" t="shared" si="13" ref="D36:J36">D24+D11</f>
        <v>133487.6</v>
      </c>
      <c r="E36" s="382">
        <f t="shared" si="13"/>
        <v>55897.6</v>
      </c>
      <c r="F36" s="382">
        <f t="shared" si="13"/>
        <v>8165.165</v>
      </c>
      <c r="G36" s="395">
        <f t="shared" si="13"/>
        <v>44884</v>
      </c>
      <c r="H36" s="382">
        <f t="shared" si="13"/>
        <v>0</v>
      </c>
      <c r="I36" s="382">
        <f t="shared" si="13"/>
        <v>0.9</v>
      </c>
      <c r="J36" s="396">
        <f t="shared" si="13"/>
        <v>60.41899999999998</v>
      </c>
      <c r="K36" s="382">
        <f>SUM(L36:N36)</f>
        <v>197611.684</v>
      </c>
      <c r="L36" s="382">
        <f>L24+L11</f>
        <v>133487.6</v>
      </c>
      <c r="M36" s="382">
        <f>M24+M11</f>
        <v>55898.5</v>
      </c>
      <c r="N36" s="396">
        <f>N24+N11</f>
        <v>8225.583999999999</v>
      </c>
    </row>
    <row r="37" spans="1:14" ht="12.75">
      <c r="A37" s="240"/>
      <c r="B37" s="239"/>
      <c r="C37" s="390"/>
      <c r="D37" s="390"/>
      <c r="E37" s="390"/>
      <c r="F37" s="390"/>
      <c r="I37" s="390"/>
      <c r="J37" s="390"/>
      <c r="K37" s="390"/>
      <c r="L37" s="390"/>
      <c r="M37" s="390"/>
      <c r="N37" s="390"/>
    </row>
  </sheetData>
  <sheetProtection/>
  <mergeCells count="14">
    <mergeCell ref="A36:B36"/>
    <mergeCell ref="A9:A10"/>
    <mergeCell ref="B9:B10"/>
    <mergeCell ref="C9:C10"/>
    <mergeCell ref="K1:N1"/>
    <mergeCell ref="K3:N5"/>
    <mergeCell ref="K9:K10"/>
    <mergeCell ref="A6:N6"/>
    <mergeCell ref="B7:N7"/>
    <mergeCell ref="G9:G10"/>
    <mergeCell ref="H9:J9"/>
    <mergeCell ref="L9:N9"/>
    <mergeCell ref="D9:F9"/>
    <mergeCell ref="K2:N2"/>
  </mergeCells>
  <printOptions/>
  <pageMargins left="0.984251968503937" right="0.5905511811023623" top="0.7874015748031497" bottom="0.1968503937007874" header="0.5118110236220472" footer="0.5118110236220472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46"/>
  <sheetViews>
    <sheetView view="pageBreakPreview" zoomScale="55" zoomScaleNormal="75" zoomScaleSheetLayoutView="55" zoomScalePageLayoutView="0" workbookViewId="0" topLeftCell="A4">
      <selection activeCell="B2" sqref="B2"/>
    </sheetView>
  </sheetViews>
  <sheetFormatPr defaultColWidth="9.140625" defaultRowHeight="12.75"/>
  <cols>
    <col min="1" max="1" width="27.8515625" style="401" customWidth="1"/>
    <col min="2" max="2" width="57.140625" style="401" customWidth="1"/>
    <col min="3" max="3" width="81.140625" style="401" customWidth="1"/>
    <col min="4" max="4" width="0.2890625" style="401" hidden="1" customWidth="1"/>
    <col min="5" max="6" width="8.8515625" style="401" hidden="1" customWidth="1"/>
    <col min="7" max="7" width="16.140625" style="401" hidden="1" customWidth="1"/>
    <col min="8" max="8" width="8.8515625" style="401" hidden="1" customWidth="1"/>
    <col min="9" max="9" width="16.8515625" style="401" hidden="1" customWidth="1"/>
    <col min="10" max="10" width="21.140625" style="401" hidden="1" customWidth="1"/>
    <col min="11" max="11" width="18.57421875" style="401" hidden="1" customWidth="1"/>
    <col min="12" max="12" width="17.7109375" style="401" hidden="1" customWidth="1"/>
    <col min="13" max="13" width="19.8515625" style="401" hidden="1" customWidth="1"/>
    <col min="14" max="14" width="21.7109375" style="401" hidden="1" customWidth="1"/>
    <col min="15" max="15" width="17.7109375" style="401" hidden="1" customWidth="1"/>
    <col min="16" max="16" width="16.28125" style="401" customWidth="1"/>
    <col min="17" max="17" width="14.8515625" style="401" customWidth="1"/>
    <col min="18" max="18" width="15.28125" style="401" customWidth="1"/>
    <col min="19" max="19" width="14.421875" style="401" bestFit="1" customWidth="1"/>
    <col min="20" max="16384" width="9.140625" style="401" customWidth="1"/>
  </cols>
  <sheetData>
    <row r="1" spans="1:18" ht="21" customHeight="1">
      <c r="A1" s="399"/>
      <c r="B1" s="399"/>
      <c r="C1" s="400"/>
      <c r="D1" s="706" t="s">
        <v>1105</v>
      </c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  <c r="R1" s="706"/>
    </row>
    <row r="2" spans="1:19" ht="47.25" customHeight="1">
      <c r="A2" s="399"/>
      <c r="B2" s="399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707" t="s">
        <v>1106</v>
      </c>
      <c r="Q2" s="707"/>
      <c r="R2" s="707"/>
      <c r="S2" s="707"/>
    </row>
    <row r="3" spans="1:18" ht="42" customHeight="1">
      <c r="A3" s="708" t="s">
        <v>1087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</row>
    <row r="4" spans="1:18" ht="18" customHeight="1">
      <c r="A4" s="399"/>
      <c r="B4" s="399"/>
      <c r="C4" s="399"/>
      <c r="D4" s="403"/>
      <c r="E4" s="403"/>
      <c r="F4" s="403"/>
      <c r="G4" s="403"/>
      <c r="H4" s="403"/>
      <c r="I4" s="399"/>
      <c r="J4" s="399"/>
      <c r="K4" s="399"/>
      <c r="L4" s="399"/>
      <c r="M4" s="399"/>
      <c r="N4" s="399"/>
      <c r="O4" s="399"/>
      <c r="P4" s="399"/>
      <c r="Q4" s="709" t="s">
        <v>955</v>
      </c>
      <c r="R4" s="709"/>
    </row>
    <row r="5" spans="1:19" ht="15" customHeight="1">
      <c r="A5" s="710" t="s">
        <v>956</v>
      </c>
      <c r="B5" s="710" t="s">
        <v>957</v>
      </c>
      <c r="C5" s="710" t="s">
        <v>958</v>
      </c>
      <c r="D5" s="715" t="s">
        <v>940</v>
      </c>
      <c r="E5" s="716"/>
      <c r="F5" s="717"/>
      <c r="G5" s="718" t="s">
        <v>959</v>
      </c>
      <c r="H5" s="719"/>
      <c r="I5" s="720"/>
      <c r="J5" s="693" t="s">
        <v>960</v>
      </c>
      <c r="K5" s="694"/>
      <c r="L5" s="695"/>
      <c r="M5" s="693" t="s">
        <v>961</v>
      </c>
      <c r="N5" s="694"/>
      <c r="O5" s="695"/>
      <c r="P5" s="696" t="s">
        <v>962</v>
      </c>
      <c r="Q5" s="697"/>
      <c r="R5" s="697"/>
      <c r="S5" s="698"/>
    </row>
    <row r="6" spans="1:19" ht="13.5" customHeight="1">
      <c r="A6" s="711"/>
      <c r="B6" s="713"/>
      <c r="C6" s="711"/>
      <c r="D6" s="699" t="s">
        <v>963</v>
      </c>
      <c r="E6" s="699" t="s">
        <v>964</v>
      </c>
      <c r="F6" s="699" t="s">
        <v>965</v>
      </c>
      <c r="G6" s="701" t="s">
        <v>913</v>
      </c>
      <c r="H6" s="718" t="s">
        <v>966</v>
      </c>
      <c r="I6" s="720"/>
      <c r="J6" s="703" t="s">
        <v>913</v>
      </c>
      <c r="K6" s="693" t="s">
        <v>966</v>
      </c>
      <c r="L6" s="695"/>
      <c r="M6" s="703" t="s">
        <v>913</v>
      </c>
      <c r="N6" s="693" t="s">
        <v>966</v>
      </c>
      <c r="O6" s="695"/>
      <c r="P6" s="404" t="s">
        <v>913</v>
      </c>
      <c r="Q6" s="405" t="s">
        <v>966</v>
      </c>
      <c r="R6" s="405"/>
      <c r="S6" s="406"/>
    </row>
    <row r="7" spans="1:19" ht="45" customHeight="1">
      <c r="A7" s="712"/>
      <c r="B7" s="714"/>
      <c r="C7" s="712"/>
      <c r="D7" s="700"/>
      <c r="E7" s="700"/>
      <c r="F7" s="700"/>
      <c r="G7" s="702"/>
      <c r="H7" s="407" t="s">
        <v>967</v>
      </c>
      <c r="I7" s="408" t="s">
        <v>968</v>
      </c>
      <c r="J7" s="704"/>
      <c r="K7" s="409" t="s">
        <v>969</v>
      </c>
      <c r="L7" s="409" t="s">
        <v>970</v>
      </c>
      <c r="M7" s="704"/>
      <c r="N7" s="409" t="s">
        <v>969</v>
      </c>
      <c r="O7" s="409" t="s">
        <v>970</v>
      </c>
      <c r="P7" s="404"/>
      <c r="Q7" s="404" t="s">
        <v>969</v>
      </c>
      <c r="R7" s="404" t="s">
        <v>970</v>
      </c>
      <c r="S7" s="404" t="s">
        <v>971</v>
      </c>
    </row>
    <row r="8" spans="1:19" ht="78.75" customHeight="1">
      <c r="A8" s="703" t="s">
        <v>972</v>
      </c>
      <c r="B8" s="410" t="s">
        <v>973</v>
      </c>
      <c r="C8" s="411" t="s">
        <v>974</v>
      </c>
      <c r="D8" s="412"/>
      <c r="E8" s="412"/>
      <c r="F8" s="412"/>
      <c r="G8" s="413"/>
      <c r="H8" s="412"/>
      <c r="I8" s="413"/>
      <c r="J8" s="414"/>
      <c r="K8" s="414"/>
      <c r="L8" s="414"/>
      <c r="M8" s="414"/>
      <c r="N8" s="414"/>
      <c r="O8" s="414"/>
      <c r="P8" s="490">
        <f>SUM(Q8:S8)</f>
        <v>11370.300000000001</v>
      </c>
      <c r="Q8" s="490">
        <v>3152.9</v>
      </c>
      <c r="R8" s="490">
        <f>9499.7-1282.3</f>
        <v>8217.400000000001</v>
      </c>
      <c r="S8" s="491"/>
    </row>
    <row r="9" spans="1:19" s="418" customFormat="1" ht="99.75" customHeight="1">
      <c r="A9" s="705"/>
      <c r="B9" s="415" t="s">
        <v>975</v>
      </c>
      <c r="C9" s="415" t="s">
        <v>976</v>
      </c>
      <c r="D9" s="412"/>
      <c r="E9" s="412"/>
      <c r="F9" s="412"/>
      <c r="G9" s="416">
        <v>5320</v>
      </c>
      <c r="H9" s="417"/>
      <c r="I9" s="417">
        <v>5320</v>
      </c>
      <c r="J9" s="414">
        <f>K9+L9</f>
        <v>76879.2</v>
      </c>
      <c r="K9" s="414"/>
      <c r="L9" s="414">
        <v>76879.2</v>
      </c>
      <c r="M9" s="414" t="e">
        <f aca="true" t="shared" si="0" ref="M9:M23">N9+O9</f>
        <v>#REF!</v>
      </c>
      <c r="N9" s="414" t="e">
        <f>SUM(#REF!)</f>
        <v>#REF!</v>
      </c>
      <c r="O9" s="414">
        <v>0</v>
      </c>
      <c r="P9" s="490">
        <f aca="true" t="shared" si="1" ref="P9:P23">SUM(Q9:S9)</f>
        <v>9425.5</v>
      </c>
      <c r="Q9" s="490">
        <v>6006.5</v>
      </c>
      <c r="R9" s="490">
        <v>3419</v>
      </c>
      <c r="S9" s="491"/>
    </row>
    <row r="10" spans="1:19" s="418" customFormat="1" ht="91.5" customHeight="1">
      <c r="A10" s="704"/>
      <c r="B10" s="415" t="s">
        <v>977</v>
      </c>
      <c r="C10" s="415" t="s">
        <v>978</v>
      </c>
      <c r="D10" s="412"/>
      <c r="E10" s="412"/>
      <c r="F10" s="412"/>
      <c r="G10" s="416"/>
      <c r="H10" s="417"/>
      <c r="I10" s="417"/>
      <c r="J10" s="414"/>
      <c r="K10" s="414"/>
      <c r="L10" s="414"/>
      <c r="M10" s="414"/>
      <c r="N10" s="414"/>
      <c r="O10" s="414"/>
      <c r="P10" s="490">
        <f t="shared" si="1"/>
        <v>753.9000000000001</v>
      </c>
      <c r="Q10" s="490"/>
      <c r="R10" s="490">
        <f>1403.9-650</f>
        <v>753.9000000000001</v>
      </c>
      <c r="S10" s="491"/>
    </row>
    <row r="11" spans="1:19" s="423" customFormat="1" ht="27" customHeight="1">
      <c r="A11" s="721" t="s">
        <v>979</v>
      </c>
      <c r="B11" s="722"/>
      <c r="C11" s="419"/>
      <c r="D11" s="420"/>
      <c r="E11" s="420"/>
      <c r="F11" s="420"/>
      <c r="G11" s="421" t="e">
        <f>SUM(#REF!)</f>
        <v>#REF!</v>
      </c>
      <c r="H11" s="420"/>
      <c r="I11" s="421" t="e">
        <f>SUM(#REF!)</f>
        <v>#REF!</v>
      </c>
      <c r="J11" s="422" t="e">
        <f>SUM(#REF!)</f>
        <v>#REF!</v>
      </c>
      <c r="K11" s="422"/>
      <c r="L11" s="422" t="e">
        <f>SUM(#REF!)</f>
        <v>#REF!</v>
      </c>
      <c r="M11" s="422" t="e">
        <f t="shared" si="0"/>
        <v>#REF!</v>
      </c>
      <c r="N11" s="422" t="e">
        <f>SUM(#REF!)</f>
        <v>#REF!</v>
      </c>
      <c r="O11" s="422" t="e">
        <f>SUM(#REF!)</f>
        <v>#REF!</v>
      </c>
      <c r="P11" s="492">
        <f>SUM(Q11:S11)</f>
        <v>12390.300000000001</v>
      </c>
      <c r="Q11" s="492"/>
      <c r="R11" s="492">
        <f>SUM(R8:R10)</f>
        <v>12390.300000000001</v>
      </c>
      <c r="S11" s="493"/>
    </row>
    <row r="12" spans="1:19" ht="47.25" customHeight="1" hidden="1">
      <c r="A12" s="424"/>
      <c r="B12" s="424" t="s">
        <v>980</v>
      </c>
      <c r="C12" s="425" t="s">
        <v>981</v>
      </c>
      <c r="D12" s="412" t="s">
        <v>603</v>
      </c>
      <c r="E12" s="412" t="s">
        <v>353</v>
      </c>
      <c r="F12" s="426" t="s">
        <v>240</v>
      </c>
      <c r="G12" s="413">
        <v>5370.3</v>
      </c>
      <c r="H12" s="426"/>
      <c r="I12" s="413">
        <v>5370.3</v>
      </c>
      <c r="J12" s="414"/>
      <c r="K12" s="414"/>
      <c r="L12" s="414"/>
      <c r="M12" s="414">
        <f t="shared" si="0"/>
        <v>0</v>
      </c>
      <c r="N12" s="414"/>
      <c r="O12" s="414"/>
      <c r="P12" s="490">
        <f t="shared" si="1"/>
        <v>0</v>
      </c>
      <c r="Q12" s="490"/>
      <c r="R12" s="490">
        <f>O12+L12</f>
        <v>0</v>
      </c>
      <c r="S12" s="491"/>
    </row>
    <row r="13" spans="1:19" s="428" customFormat="1" ht="38.25" customHeight="1">
      <c r="A13" s="703" t="s">
        <v>982</v>
      </c>
      <c r="B13" s="427" t="s">
        <v>394</v>
      </c>
      <c r="C13" s="415" t="s">
        <v>983</v>
      </c>
      <c r="D13" s="412" t="s">
        <v>610</v>
      </c>
      <c r="E13" s="412" t="s">
        <v>381</v>
      </c>
      <c r="F13" s="426" t="s">
        <v>293</v>
      </c>
      <c r="G13" s="413">
        <v>299.1</v>
      </c>
      <c r="H13" s="413">
        <v>299.1</v>
      </c>
      <c r="I13" s="413"/>
      <c r="J13" s="414">
        <v>299.1</v>
      </c>
      <c r="K13" s="414">
        <v>299.1</v>
      </c>
      <c r="L13" s="414"/>
      <c r="M13" s="414">
        <f t="shared" si="0"/>
        <v>0</v>
      </c>
      <c r="N13" s="414"/>
      <c r="O13" s="414"/>
      <c r="P13" s="490">
        <f t="shared" si="1"/>
        <v>299.75</v>
      </c>
      <c r="Q13" s="490"/>
      <c r="R13" s="490">
        <f>327-27.25</f>
        <v>299.75</v>
      </c>
      <c r="S13" s="491"/>
    </row>
    <row r="14" spans="1:19" s="418" customFormat="1" ht="49.5" customHeight="1">
      <c r="A14" s="726"/>
      <c r="B14" s="427" t="s">
        <v>387</v>
      </c>
      <c r="C14" s="415" t="s">
        <v>984</v>
      </c>
      <c r="D14" s="412" t="s">
        <v>610</v>
      </c>
      <c r="E14" s="412" t="s">
        <v>366</v>
      </c>
      <c r="F14" s="426" t="s">
        <v>293</v>
      </c>
      <c r="G14" s="413">
        <v>3755.8</v>
      </c>
      <c r="H14" s="413">
        <v>3755.8</v>
      </c>
      <c r="I14" s="413"/>
      <c r="J14" s="414">
        <v>4011.1</v>
      </c>
      <c r="K14" s="414">
        <v>4011.1</v>
      </c>
      <c r="L14" s="414"/>
      <c r="M14" s="414">
        <f t="shared" si="0"/>
        <v>246.9</v>
      </c>
      <c r="N14" s="414">
        <v>246.9</v>
      </c>
      <c r="O14" s="414"/>
      <c r="P14" s="490">
        <f t="shared" si="1"/>
        <v>6929.1</v>
      </c>
      <c r="Q14" s="490"/>
      <c r="R14" s="490">
        <f>8129.1-1200</f>
        <v>6929.1</v>
      </c>
      <c r="S14" s="491"/>
    </row>
    <row r="15" spans="1:19" s="418" customFormat="1" ht="42.75" customHeight="1">
      <c r="A15" s="726"/>
      <c r="B15" s="415" t="s">
        <v>396</v>
      </c>
      <c r="C15" s="415" t="s">
        <v>985</v>
      </c>
      <c r="D15" s="412"/>
      <c r="E15" s="412"/>
      <c r="F15" s="412"/>
      <c r="G15" s="416">
        <v>1456</v>
      </c>
      <c r="H15" s="417"/>
      <c r="I15" s="417">
        <v>1456</v>
      </c>
      <c r="J15" s="414">
        <f aca="true" t="shared" si="2" ref="J15:J23">K15+L15</f>
        <v>1525.9</v>
      </c>
      <c r="K15" s="414"/>
      <c r="L15" s="414">
        <v>1525.9</v>
      </c>
      <c r="M15" s="414">
        <f t="shared" si="0"/>
        <v>-97.9</v>
      </c>
      <c r="N15" s="414"/>
      <c r="O15" s="414">
        <v>-97.9</v>
      </c>
      <c r="P15" s="490">
        <f t="shared" si="1"/>
        <v>822.25</v>
      </c>
      <c r="Q15" s="490"/>
      <c r="R15" s="490">
        <f>897-74.75</f>
        <v>822.25</v>
      </c>
      <c r="S15" s="491"/>
    </row>
    <row r="16" spans="1:19" s="418" customFormat="1" ht="45.75" customHeight="1">
      <c r="A16" s="726"/>
      <c r="B16" s="415" t="s">
        <v>400</v>
      </c>
      <c r="C16" s="415" t="s">
        <v>986</v>
      </c>
      <c r="D16" s="412"/>
      <c r="E16" s="412"/>
      <c r="F16" s="412"/>
      <c r="G16" s="416">
        <v>37603</v>
      </c>
      <c r="H16" s="417"/>
      <c r="I16" s="417">
        <v>37603</v>
      </c>
      <c r="J16" s="414">
        <f t="shared" si="2"/>
        <v>39407.9</v>
      </c>
      <c r="K16" s="414"/>
      <c r="L16" s="414">
        <v>39407.9</v>
      </c>
      <c r="M16" s="414">
        <f t="shared" si="0"/>
        <v>131437.3</v>
      </c>
      <c r="N16" s="414"/>
      <c r="O16" s="414">
        <v>131437.3</v>
      </c>
      <c r="P16" s="490">
        <f t="shared" si="1"/>
        <v>2376</v>
      </c>
      <c r="Q16" s="490"/>
      <c r="R16" s="490">
        <f>2592-216</f>
        <v>2376</v>
      </c>
      <c r="S16" s="491"/>
    </row>
    <row r="17" spans="1:19" s="418" customFormat="1" ht="35.25" customHeight="1">
      <c r="A17" s="726"/>
      <c r="B17" s="415" t="s">
        <v>987</v>
      </c>
      <c r="C17" s="415" t="s">
        <v>988</v>
      </c>
      <c r="D17" s="412"/>
      <c r="E17" s="412"/>
      <c r="F17" s="412"/>
      <c r="G17" s="416">
        <v>4032</v>
      </c>
      <c r="H17" s="417"/>
      <c r="I17" s="417">
        <v>4032</v>
      </c>
      <c r="J17" s="414">
        <f t="shared" si="2"/>
        <v>4225.5</v>
      </c>
      <c r="K17" s="414"/>
      <c r="L17" s="414">
        <v>4225.5</v>
      </c>
      <c r="M17" s="414">
        <f t="shared" si="0"/>
        <v>1914.5</v>
      </c>
      <c r="N17" s="414">
        <f>SUM(N15:N16)</f>
        <v>0</v>
      </c>
      <c r="O17" s="414">
        <v>1914.5</v>
      </c>
      <c r="P17" s="490">
        <f t="shared" si="1"/>
        <v>1494.683</v>
      </c>
      <c r="Q17" s="490"/>
      <c r="R17" s="490">
        <f>1510-98.5</f>
        <v>1411.5</v>
      </c>
      <c r="S17" s="494">
        <v>83.183</v>
      </c>
    </row>
    <row r="18" spans="1:19" s="418" customFormat="1" ht="46.5" customHeight="1">
      <c r="A18" s="727"/>
      <c r="B18" s="415" t="s">
        <v>371</v>
      </c>
      <c r="C18" s="415" t="s">
        <v>989</v>
      </c>
      <c r="D18" s="412"/>
      <c r="E18" s="412"/>
      <c r="F18" s="412"/>
      <c r="G18" s="416">
        <v>18498</v>
      </c>
      <c r="H18" s="417"/>
      <c r="I18" s="417">
        <v>18498</v>
      </c>
      <c r="J18" s="414">
        <f t="shared" si="2"/>
        <v>19385.9</v>
      </c>
      <c r="K18" s="414"/>
      <c r="L18" s="414">
        <v>19385.9</v>
      </c>
      <c r="M18" s="414">
        <f t="shared" si="0"/>
        <v>9727.1</v>
      </c>
      <c r="N18" s="414">
        <f>SUM(N17:N17)</f>
        <v>0</v>
      </c>
      <c r="O18" s="414">
        <v>9727.1</v>
      </c>
      <c r="P18" s="490">
        <f t="shared" si="1"/>
        <v>3520</v>
      </c>
      <c r="Q18" s="490"/>
      <c r="R18" s="490">
        <f>3840-320</f>
        <v>3520</v>
      </c>
      <c r="S18" s="491"/>
    </row>
    <row r="19" spans="1:19" s="418" customFormat="1" ht="55.5" customHeight="1">
      <c r="A19" s="703" t="s">
        <v>982</v>
      </c>
      <c r="B19" s="415" t="s">
        <v>990</v>
      </c>
      <c r="C19" s="415" t="s">
        <v>991</v>
      </c>
      <c r="D19" s="412"/>
      <c r="E19" s="412"/>
      <c r="F19" s="412"/>
      <c r="G19" s="416">
        <v>23644</v>
      </c>
      <c r="H19" s="417"/>
      <c r="I19" s="417">
        <v>23644</v>
      </c>
      <c r="J19" s="414">
        <f t="shared" si="2"/>
        <v>24778.9</v>
      </c>
      <c r="K19" s="414"/>
      <c r="L19" s="414">
        <v>24778.9</v>
      </c>
      <c r="M19" s="414">
        <f t="shared" si="0"/>
        <v>-488.9</v>
      </c>
      <c r="N19" s="414">
        <f>SUM(N18:N18)</f>
        <v>0</v>
      </c>
      <c r="O19" s="414">
        <v>-488.9</v>
      </c>
      <c r="P19" s="490">
        <f>SUM(Q19:S19)</f>
        <v>230</v>
      </c>
      <c r="Q19" s="490">
        <v>134.9</v>
      </c>
      <c r="R19" s="490">
        <f>230-134.9</f>
        <v>95.1</v>
      </c>
      <c r="S19" s="495"/>
    </row>
    <row r="20" spans="1:19" s="418" customFormat="1" ht="55.5" customHeight="1">
      <c r="A20" s="726"/>
      <c r="B20" s="415" t="s">
        <v>992</v>
      </c>
      <c r="C20" s="415" t="s">
        <v>993</v>
      </c>
      <c r="D20" s="412"/>
      <c r="E20" s="412"/>
      <c r="F20" s="412"/>
      <c r="G20" s="416"/>
      <c r="H20" s="417"/>
      <c r="I20" s="417"/>
      <c r="J20" s="414"/>
      <c r="K20" s="414"/>
      <c r="L20" s="414"/>
      <c r="M20" s="414"/>
      <c r="N20" s="414"/>
      <c r="O20" s="414"/>
      <c r="P20" s="490">
        <f>SUM(Q20:S20)</f>
        <v>128.9</v>
      </c>
      <c r="Q20" s="490">
        <f>115+13.9</f>
        <v>128.9</v>
      </c>
      <c r="R20" s="490"/>
      <c r="S20" s="495"/>
    </row>
    <row r="21" spans="1:19" s="418" customFormat="1" ht="28.5" customHeight="1">
      <c r="A21" s="726"/>
      <c r="B21" s="415" t="s">
        <v>369</v>
      </c>
      <c r="C21" s="415" t="s">
        <v>994</v>
      </c>
      <c r="D21" s="412"/>
      <c r="E21" s="412"/>
      <c r="F21" s="412"/>
      <c r="G21" s="416">
        <v>50805</v>
      </c>
      <c r="H21" s="417">
        <v>16829.6</v>
      </c>
      <c r="I21" s="417">
        <v>33975.4</v>
      </c>
      <c r="J21" s="414">
        <f>K21+L21</f>
        <v>53243.6</v>
      </c>
      <c r="K21" s="414">
        <v>16788.6</v>
      </c>
      <c r="L21" s="414">
        <v>36455</v>
      </c>
      <c r="M21" s="414">
        <f>N21+O21</f>
        <v>22386.4</v>
      </c>
      <c r="N21" s="414">
        <v>14325.4</v>
      </c>
      <c r="O21" s="414">
        <v>8061</v>
      </c>
      <c r="P21" s="490">
        <f>SUM(Q21:S21)</f>
        <v>7021</v>
      </c>
      <c r="Q21" s="490"/>
      <c r="R21" s="490">
        <v>7021</v>
      </c>
      <c r="S21" s="491"/>
    </row>
    <row r="22" spans="1:19" s="418" customFormat="1" ht="238.5" customHeight="1">
      <c r="A22" s="726"/>
      <c r="B22" s="415" t="s">
        <v>995</v>
      </c>
      <c r="C22" s="415" t="s">
        <v>996</v>
      </c>
      <c r="D22" s="412"/>
      <c r="E22" s="412"/>
      <c r="F22" s="412"/>
      <c r="G22" s="416"/>
      <c r="H22" s="417"/>
      <c r="I22" s="417"/>
      <c r="J22" s="414"/>
      <c r="K22" s="414"/>
      <c r="L22" s="414"/>
      <c r="M22" s="414"/>
      <c r="N22" s="414"/>
      <c r="O22" s="414"/>
      <c r="P22" s="490">
        <f>SUM(Q22:S22)</f>
        <v>16700</v>
      </c>
      <c r="Q22" s="490">
        <f>15774.1+925.9</f>
        <v>16700</v>
      </c>
      <c r="R22" s="490"/>
      <c r="S22" s="495"/>
    </row>
    <row r="23" spans="1:19" s="418" customFormat="1" ht="196.5" customHeight="1">
      <c r="A23" s="727"/>
      <c r="B23" s="415" t="s">
        <v>997</v>
      </c>
      <c r="C23" s="415" t="s">
        <v>998</v>
      </c>
      <c r="D23" s="412"/>
      <c r="E23" s="412"/>
      <c r="F23" s="412"/>
      <c r="G23" s="416">
        <v>50805</v>
      </c>
      <c r="H23" s="417">
        <v>16829.6</v>
      </c>
      <c r="I23" s="417">
        <v>33975.4</v>
      </c>
      <c r="J23" s="414">
        <f t="shared" si="2"/>
        <v>53243.6</v>
      </c>
      <c r="K23" s="414">
        <v>16788.6</v>
      </c>
      <c r="L23" s="414">
        <v>36455</v>
      </c>
      <c r="M23" s="414">
        <f t="shared" si="0"/>
        <v>22386.4</v>
      </c>
      <c r="N23" s="414">
        <v>14325.4</v>
      </c>
      <c r="O23" s="414">
        <v>8061</v>
      </c>
      <c r="P23" s="490">
        <f t="shared" si="1"/>
        <v>2232</v>
      </c>
      <c r="Q23" s="490">
        <f>558+523.3+34.7+1116</f>
        <v>2232</v>
      </c>
      <c r="R23" s="490"/>
      <c r="S23" s="491">
        <f>34.7-34.7</f>
        <v>0</v>
      </c>
    </row>
    <row r="24" spans="1:19" ht="15.75" customHeight="1">
      <c r="A24" s="728" t="s">
        <v>999</v>
      </c>
      <c r="B24" s="729"/>
      <c r="C24" s="429"/>
      <c r="D24" s="420"/>
      <c r="E24" s="420"/>
      <c r="F24" s="420"/>
      <c r="G24" s="430">
        <f aca="true" t="shared" si="3" ref="G24:O24">SUM(G15:G23)</f>
        <v>186843</v>
      </c>
      <c r="H24" s="430">
        <f t="shared" si="3"/>
        <v>33659.2</v>
      </c>
      <c r="I24" s="430">
        <f t="shared" si="3"/>
        <v>153183.8</v>
      </c>
      <c r="J24" s="422">
        <f t="shared" si="3"/>
        <v>195811.30000000002</v>
      </c>
      <c r="K24" s="422">
        <f t="shared" si="3"/>
        <v>33577.2</v>
      </c>
      <c r="L24" s="422">
        <f t="shared" si="3"/>
        <v>162234.1</v>
      </c>
      <c r="M24" s="422">
        <f t="shared" si="3"/>
        <v>187264.9</v>
      </c>
      <c r="N24" s="422">
        <f t="shared" si="3"/>
        <v>28650.8</v>
      </c>
      <c r="O24" s="422">
        <f t="shared" si="3"/>
        <v>158614.1</v>
      </c>
      <c r="P24" s="492">
        <f>SUM(P13:P23)</f>
        <v>41753.683</v>
      </c>
      <c r="Q24" s="492">
        <f>SUM(Q13:Q23)</f>
        <v>19195.8</v>
      </c>
      <c r="R24" s="492">
        <f>SUM(R13:R23)</f>
        <v>22474.7</v>
      </c>
      <c r="S24" s="492">
        <f>SUM(S13:S23)</f>
        <v>83.183</v>
      </c>
    </row>
    <row r="25" spans="1:19" ht="47.25">
      <c r="A25" s="703" t="s">
        <v>1000</v>
      </c>
      <c r="B25" s="410" t="s">
        <v>1001</v>
      </c>
      <c r="C25" s="411" t="s">
        <v>1002</v>
      </c>
      <c r="D25" s="412"/>
      <c r="E25" s="412"/>
      <c r="F25" s="412"/>
      <c r="G25" s="413"/>
      <c r="H25" s="412"/>
      <c r="I25" s="413"/>
      <c r="J25" s="414"/>
      <c r="K25" s="414"/>
      <c r="L25" s="414"/>
      <c r="M25" s="414"/>
      <c r="N25" s="414"/>
      <c r="O25" s="414"/>
      <c r="P25" s="490">
        <f>SUM(Q25:S25)</f>
        <v>1058.993</v>
      </c>
      <c r="Q25" s="490">
        <v>472.469</v>
      </c>
      <c r="R25" s="490">
        <v>383.881</v>
      </c>
      <c r="S25" s="578">
        <f>202.643</f>
        <v>202.643</v>
      </c>
    </row>
    <row r="26" spans="1:19" ht="47.25">
      <c r="A26" s="705"/>
      <c r="B26" s="410" t="s">
        <v>1060</v>
      </c>
      <c r="C26" s="411" t="s">
        <v>1059</v>
      </c>
      <c r="D26" s="412"/>
      <c r="E26" s="412"/>
      <c r="F26" s="412"/>
      <c r="G26" s="413"/>
      <c r="H26" s="412"/>
      <c r="I26" s="413"/>
      <c r="J26" s="414"/>
      <c r="K26" s="414"/>
      <c r="L26" s="414"/>
      <c r="M26" s="414"/>
      <c r="N26" s="414"/>
      <c r="O26" s="414"/>
      <c r="P26" s="490">
        <f>SUM(Q26:S26)</f>
        <v>24.3</v>
      </c>
      <c r="Q26" s="490"/>
      <c r="R26" s="490">
        <v>14.58</v>
      </c>
      <c r="S26" s="578">
        <v>9.72</v>
      </c>
    </row>
    <row r="27" spans="1:19" ht="130.5" customHeight="1">
      <c r="A27" s="705"/>
      <c r="B27" s="415" t="s">
        <v>1003</v>
      </c>
      <c r="C27" s="415" t="s">
        <v>1004</v>
      </c>
      <c r="D27" s="412"/>
      <c r="E27" s="412"/>
      <c r="F27" s="412"/>
      <c r="G27" s="416">
        <v>5320</v>
      </c>
      <c r="H27" s="417"/>
      <c r="I27" s="417">
        <v>5320</v>
      </c>
      <c r="J27" s="414">
        <f>K27+L27</f>
        <v>76879.2</v>
      </c>
      <c r="K27" s="414"/>
      <c r="L27" s="414">
        <v>76879.2</v>
      </c>
      <c r="M27" s="414" t="e">
        <f>N27+O27</f>
        <v>#REF!</v>
      </c>
      <c r="N27" s="414" t="e">
        <f>SUM(#REF!)</f>
        <v>#REF!</v>
      </c>
      <c r="O27" s="414">
        <v>0</v>
      </c>
      <c r="P27" s="490">
        <f>SUM(Q27:S27)</f>
        <v>3601.9620000000004</v>
      </c>
      <c r="Q27" s="490">
        <v>2717.588</v>
      </c>
      <c r="R27" s="490">
        <v>884.374</v>
      </c>
      <c r="S27" s="491"/>
    </row>
    <row r="28" spans="1:19" ht="15.75">
      <c r="A28" s="721" t="s">
        <v>1005</v>
      </c>
      <c r="B28" s="722"/>
      <c r="C28" s="429"/>
      <c r="D28" s="420"/>
      <c r="E28" s="420"/>
      <c r="F28" s="420"/>
      <c r="G28" s="431" t="e">
        <f>#REF!+G24</f>
        <v>#REF!</v>
      </c>
      <c r="H28" s="431" t="e">
        <f>H24+#REF!</f>
        <v>#REF!</v>
      </c>
      <c r="I28" s="421" t="e">
        <f>I24+#REF!</f>
        <v>#REF!</v>
      </c>
      <c r="J28" s="422" t="e">
        <f>J24+#REF!</f>
        <v>#REF!</v>
      </c>
      <c r="K28" s="422" t="e">
        <f>K24+#REF!</f>
        <v>#REF!</v>
      </c>
      <c r="L28" s="422" t="e">
        <f>L24+#REF!</f>
        <v>#REF!</v>
      </c>
      <c r="M28" s="422" t="e">
        <f>M24+#REF!</f>
        <v>#REF!</v>
      </c>
      <c r="N28" s="422" t="e">
        <f>N24+#REF!</f>
        <v>#REF!</v>
      </c>
      <c r="O28" s="422" t="e">
        <f>O24+#REF!</f>
        <v>#REF!</v>
      </c>
      <c r="P28" s="492">
        <f>SUM(P25:P27)</f>
        <v>4685.255</v>
      </c>
      <c r="Q28" s="492">
        <f>SUM(Q25:Q27)</f>
        <v>3190.0570000000002</v>
      </c>
      <c r="R28" s="492">
        <f>SUM(R25:R27)</f>
        <v>1282.835</v>
      </c>
      <c r="S28" s="492">
        <f>SUM(S25:S27)</f>
        <v>212.363</v>
      </c>
    </row>
    <row r="29" spans="1:19" s="435" customFormat="1" ht="15.75">
      <c r="A29" s="432"/>
      <c r="B29" s="433" t="s">
        <v>566</v>
      </c>
      <c r="C29" s="433"/>
      <c r="D29" s="408"/>
      <c r="E29" s="408"/>
      <c r="F29" s="408"/>
      <c r="G29" s="408"/>
      <c r="H29" s="408"/>
      <c r="I29" s="408"/>
      <c r="J29" s="434"/>
      <c r="K29" s="434"/>
      <c r="L29" s="434"/>
      <c r="M29" s="434"/>
      <c r="N29" s="434"/>
      <c r="O29" s="434"/>
      <c r="P29" s="496">
        <f>P11+P28+P24</f>
        <v>58829.238</v>
      </c>
      <c r="Q29" s="496">
        <f>Q11+Q28+Q24</f>
        <v>22385.857</v>
      </c>
      <c r="R29" s="496">
        <f>R11+R28+R24</f>
        <v>36147.83500000001</v>
      </c>
      <c r="S29" s="496">
        <f>S11+S28+S24</f>
        <v>295.546</v>
      </c>
    </row>
    <row r="30" spans="1:18" ht="12.75">
      <c r="A30" s="436"/>
      <c r="B30" s="436"/>
      <c r="C30" s="436"/>
      <c r="J30" s="437"/>
      <c r="K30" s="437"/>
      <c r="L30" s="437"/>
      <c r="M30" s="437"/>
      <c r="N30" s="437"/>
      <c r="O30" s="437"/>
      <c r="P30" s="437"/>
      <c r="Q30" s="437"/>
      <c r="R30" s="437"/>
    </row>
    <row r="31" spans="1:18" ht="12.75">
      <c r="A31" s="436"/>
      <c r="B31" s="436"/>
      <c r="C31" s="436"/>
      <c r="J31" s="437"/>
      <c r="K31" s="437"/>
      <c r="L31" s="437"/>
      <c r="M31" s="437"/>
      <c r="N31" s="437"/>
      <c r="O31" s="437"/>
      <c r="P31" s="437"/>
      <c r="Q31" s="437"/>
      <c r="R31" s="437"/>
    </row>
    <row r="32" spans="1:18" ht="12.75">
      <c r="A32" s="436"/>
      <c r="B32" s="436"/>
      <c r="C32" s="436"/>
      <c r="J32" s="437"/>
      <c r="K32" s="437"/>
      <c r="L32" s="437"/>
      <c r="M32" s="437"/>
      <c r="N32" s="437"/>
      <c r="O32" s="437"/>
      <c r="P32" s="437"/>
      <c r="Q32" s="437"/>
      <c r="R32" s="437"/>
    </row>
    <row r="33" spans="3:18" ht="12.75">
      <c r="C33" s="436"/>
      <c r="J33" s="437"/>
      <c r="K33" s="437"/>
      <c r="L33" s="437"/>
      <c r="M33" s="437"/>
      <c r="N33" s="437"/>
      <c r="O33" s="437"/>
      <c r="P33" s="437"/>
      <c r="Q33" s="437"/>
      <c r="R33" s="437"/>
    </row>
    <row r="34" spans="3:18" ht="12.75">
      <c r="C34" s="436"/>
      <c r="J34" s="437"/>
      <c r="K34" s="437"/>
      <c r="L34" s="437"/>
      <c r="M34" s="437"/>
      <c r="N34" s="437"/>
      <c r="O34" s="437"/>
      <c r="P34" s="437"/>
      <c r="Q34" s="437"/>
      <c r="R34" s="437"/>
    </row>
    <row r="35" spans="3:18" ht="12.75">
      <c r="C35" s="436"/>
      <c r="J35" s="437"/>
      <c r="K35" s="437"/>
      <c r="L35" s="437"/>
      <c r="M35" s="437"/>
      <c r="N35" s="437"/>
      <c r="O35" s="437"/>
      <c r="P35" s="437"/>
      <c r="Q35" s="437"/>
      <c r="R35" s="437"/>
    </row>
    <row r="36" spans="10:18" ht="12.75">
      <c r="J36" s="437"/>
      <c r="K36" s="437"/>
      <c r="L36" s="437"/>
      <c r="M36" s="437"/>
      <c r="N36" s="437"/>
      <c r="O36" s="437"/>
      <c r="P36" s="437"/>
      <c r="Q36" s="437"/>
      <c r="R36" s="437"/>
    </row>
    <row r="37" spans="10:18" ht="12.75">
      <c r="J37" s="437"/>
      <c r="K37" s="437"/>
      <c r="L37" s="437"/>
      <c r="M37" s="437"/>
      <c r="N37" s="437"/>
      <c r="O37" s="437"/>
      <c r="P37" s="437"/>
      <c r="Q37" s="437"/>
      <c r="R37" s="437"/>
    </row>
    <row r="38" spans="10:18" ht="12.75">
      <c r="J38" s="437"/>
      <c r="K38" s="437"/>
      <c r="L38" s="437"/>
      <c r="M38" s="437"/>
      <c r="N38" s="437"/>
      <c r="O38" s="437"/>
      <c r="P38" s="437"/>
      <c r="Q38" s="437"/>
      <c r="R38" s="437"/>
    </row>
    <row r="39" spans="10:18" ht="12.75">
      <c r="J39" s="437"/>
      <c r="K39" s="437"/>
      <c r="L39" s="437"/>
      <c r="M39" s="437"/>
      <c r="N39" s="437"/>
      <c r="O39" s="437"/>
      <c r="P39" s="437"/>
      <c r="Q39" s="437"/>
      <c r="R39" s="437"/>
    </row>
    <row r="40" spans="10:18" ht="12.75">
      <c r="J40" s="437"/>
      <c r="K40" s="437"/>
      <c r="L40" s="437"/>
      <c r="M40" s="437"/>
      <c r="N40" s="437"/>
      <c r="O40" s="437"/>
      <c r="P40" s="437"/>
      <c r="Q40" s="437"/>
      <c r="R40" s="437"/>
    </row>
    <row r="41" spans="10:18" ht="12.75">
      <c r="J41" s="437"/>
      <c r="K41" s="437"/>
      <c r="L41" s="437"/>
      <c r="M41" s="437"/>
      <c r="N41" s="437"/>
      <c r="O41" s="437"/>
      <c r="P41" s="437"/>
      <c r="Q41" s="437"/>
      <c r="R41" s="437"/>
    </row>
    <row r="42" spans="10:18" ht="12.75">
      <c r="J42" s="437"/>
      <c r="K42" s="437"/>
      <c r="L42" s="437"/>
      <c r="M42" s="437"/>
      <c r="N42" s="437"/>
      <c r="O42" s="437"/>
      <c r="P42" s="437"/>
      <c r="Q42" s="437"/>
      <c r="R42" s="437"/>
    </row>
    <row r="43" spans="10:18" ht="12.75">
      <c r="J43" s="437"/>
      <c r="K43" s="437"/>
      <c r="L43" s="437"/>
      <c r="M43" s="437"/>
      <c r="N43" s="437"/>
      <c r="O43" s="437"/>
      <c r="P43" s="437"/>
      <c r="Q43" s="437"/>
      <c r="R43" s="437"/>
    </row>
    <row r="44" spans="2:18" ht="15">
      <c r="B44" s="723"/>
      <c r="C44" s="724"/>
      <c r="D44" s="724"/>
      <c r="E44" s="724"/>
      <c r="F44" s="725"/>
      <c r="G44" s="725"/>
      <c r="J44" s="437"/>
      <c r="K44" s="437"/>
      <c r="L44" s="437"/>
      <c r="M44" s="437"/>
      <c r="N44" s="437"/>
      <c r="O44" s="437"/>
      <c r="P44" s="437"/>
      <c r="Q44" s="437"/>
      <c r="R44" s="437"/>
    </row>
    <row r="45" spans="10:18" ht="12.75"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0:18" ht="12.75">
      <c r="J46" s="437"/>
      <c r="K46" s="437"/>
      <c r="L46" s="437"/>
      <c r="M46" s="437"/>
      <c r="N46" s="437"/>
      <c r="O46" s="437"/>
      <c r="P46" s="437"/>
      <c r="Q46" s="437"/>
      <c r="R46" s="437"/>
    </row>
  </sheetData>
  <sheetProtection/>
  <mergeCells count="29">
    <mergeCell ref="A28:B28"/>
    <mergeCell ref="B44:G44"/>
    <mergeCell ref="N6:O6"/>
    <mergeCell ref="A8:A10"/>
    <mergeCell ref="A11:B11"/>
    <mergeCell ref="A13:A18"/>
    <mergeCell ref="A19:A23"/>
    <mergeCell ref="A24:B24"/>
    <mergeCell ref="H6:I6"/>
    <mergeCell ref="J6:J7"/>
    <mergeCell ref="A25:A27"/>
    <mergeCell ref="D1:R1"/>
    <mergeCell ref="P2:S2"/>
    <mergeCell ref="A3:R3"/>
    <mergeCell ref="Q4:R4"/>
    <mergeCell ref="A5:A7"/>
    <mergeCell ref="B5:B7"/>
    <mergeCell ref="C5:C7"/>
    <mergeCell ref="D5:F5"/>
    <mergeCell ref="G5:I5"/>
    <mergeCell ref="J5:L5"/>
    <mergeCell ref="M5:O5"/>
    <mergeCell ref="P5:S5"/>
    <mergeCell ref="D6:D7"/>
    <mergeCell ref="E6:E7"/>
    <mergeCell ref="F6:F7"/>
    <mergeCell ref="G6:G7"/>
    <mergeCell ref="K6:L6"/>
    <mergeCell ref="M6:M7"/>
  </mergeCells>
  <printOptions/>
  <pageMargins left="0.03937007874015748" right="0" top="0.5905511811023623" bottom="0" header="0.31496062992125984" footer="0.31496062992125984"/>
  <pageSetup firstPageNumber="32" useFirstPageNumber="1" fitToHeight="2" horizontalDpi="300" verticalDpi="300" orientation="landscape" paperSize="9" scale="64" r:id="rId1"/>
  <rowBreaks count="1" manualBreakCount="1">
    <brk id="18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Q31"/>
  <sheetViews>
    <sheetView view="pageBreakPreview" zoomScale="75" zoomScaleNormal="75" zoomScaleSheetLayoutView="75" zoomScalePageLayoutView="0" workbookViewId="0" topLeftCell="D16">
      <selection activeCell="I5" sqref="I5"/>
    </sheetView>
  </sheetViews>
  <sheetFormatPr defaultColWidth="8.00390625" defaultRowHeight="12.75"/>
  <cols>
    <col min="1" max="1" width="7.8515625" style="321" hidden="1" customWidth="1"/>
    <col min="2" max="2" width="0.2890625" style="321" hidden="1" customWidth="1"/>
    <col min="3" max="3" width="6.00390625" style="322" customWidth="1"/>
    <col min="4" max="4" width="42.140625" style="323" customWidth="1"/>
    <col min="5" max="5" width="17.28125" style="324" bestFit="1" customWidth="1"/>
    <col min="6" max="6" width="13.421875" style="325" customWidth="1"/>
    <col min="7" max="8" width="16.140625" style="325" bestFit="1" customWidth="1"/>
    <col min="9" max="9" width="14.421875" style="325" customWidth="1"/>
    <col min="10" max="10" width="14.8515625" style="325" customWidth="1"/>
    <col min="11" max="11" width="12.28125" style="325" customWidth="1"/>
    <col min="12" max="12" width="15.28125" style="325" customWidth="1"/>
    <col min="13" max="13" width="15.7109375" style="325" customWidth="1"/>
    <col min="14" max="14" width="13.7109375" style="321" customWidth="1"/>
    <col min="15" max="15" width="15.00390625" style="264" customWidth="1"/>
    <col min="16" max="16" width="15.140625" style="264" customWidth="1"/>
    <col min="17" max="43" width="8.00390625" style="264" customWidth="1"/>
    <col min="44" max="16384" width="8.00390625" style="321" customWidth="1"/>
  </cols>
  <sheetData>
    <row r="1" spans="3:15" s="264" customFormat="1" ht="12.75">
      <c r="C1" s="265"/>
      <c r="D1" s="266"/>
      <c r="E1" s="267"/>
      <c r="F1" s="266"/>
      <c r="G1" s="266"/>
      <c r="H1" s="266"/>
      <c r="I1" s="266"/>
      <c r="J1" s="268"/>
      <c r="K1" s="268"/>
      <c r="L1" s="736"/>
      <c r="M1" s="737"/>
      <c r="N1" s="737"/>
      <c r="O1" s="269"/>
    </row>
    <row r="2" spans="3:15" s="264" customFormat="1" ht="12.75" customHeight="1">
      <c r="C2" s="265"/>
      <c r="D2" s="266"/>
      <c r="E2" s="267"/>
      <c r="F2" s="266"/>
      <c r="G2" s="266"/>
      <c r="H2" s="266"/>
      <c r="I2" s="266"/>
      <c r="J2" s="268"/>
      <c r="K2" s="268"/>
      <c r="L2" s="738" t="s">
        <v>1107</v>
      </c>
      <c r="M2" s="739"/>
      <c r="N2" s="739"/>
      <c r="O2" s="269"/>
    </row>
    <row r="3" spans="3:15" s="264" customFormat="1" ht="12.75" customHeight="1">
      <c r="C3" s="265"/>
      <c r="D3" s="266"/>
      <c r="E3" s="267"/>
      <c r="F3" s="266"/>
      <c r="G3" s="266"/>
      <c r="H3" s="266"/>
      <c r="I3" s="266"/>
      <c r="J3" s="268"/>
      <c r="K3" s="268"/>
      <c r="L3" s="740" t="s">
        <v>1108</v>
      </c>
      <c r="M3" s="740"/>
      <c r="N3" s="740"/>
      <c r="O3" s="740"/>
    </row>
    <row r="4" spans="3:15" s="264" customFormat="1" ht="12.75">
      <c r="C4" s="265"/>
      <c r="D4" s="266"/>
      <c r="E4" s="267"/>
      <c r="F4" s="266"/>
      <c r="G4" s="266"/>
      <c r="H4" s="266"/>
      <c r="I4" s="266"/>
      <c r="J4" s="268"/>
      <c r="K4" s="268"/>
      <c r="L4" s="740"/>
      <c r="M4" s="740"/>
      <c r="N4" s="740"/>
      <c r="O4" s="740"/>
    </row>
    <row r="5" spans="3:15" s="264" customFormat="1" ht="12.75">
      <c r="C5" s="265"/>
      <c r="D5" s="266"/>
      <c r="E5" s="267"/>
      <c r="F5" s="266"/>
      <c r="G5" s="266"/>
      <c r="H5" s="266"/>
      <c r="I5" s="266"/>
      <c r="J5" s="268"/>
      <c r="K5" s="268"/>
      <c r="L5" s="740"/>
      <c r="M5" s="740"/>
      <c r="N5" s="740"/>
      <c r="O5" s="740"/>
    </row>
    <row r="6" spans="3:14" s="264" customFormat="1" ht="12.75">
      <c r="C6" s="265"/>
      <c r="D6" s="266"/>
      <c r="E6" s="267"/>
      <c r="F6" s="266"/>
      <c r="G6" s="266"/>
      <c r="H6" s="266"/>
      <c r="I6" s="266"/>
      <c r="J6" s="268"/>
      <c r="K6" s="268"/>
      <c r="L6" s="270"/>
      <c r="M6" s="270"/>
      <c r="N6" s="271"/>
    </row>
    <row r="7" spans="2:14" s="264" customFormat="1" ht="30.75" customHeight="1">
      <c r="B7" s="271"/>
      <c r="C7" s="449"/>
      <c r="D7" s="741" t="s">
        <v>909</v>
      </c>
      <c r="E7" s="742"/>
      <c r="F7" s="742"/>
      <c r="G7" s="742"/>
      <c r="H7" s="742"/>
      <c r="I7" s="742"/>
      <c r="J7" s="742"/>
      <c r="K7" s="742"/>
      <c r="L7" s="742"/>
      <c r="M7" s="742"/>
      <c r="N7" s="742"/>
    </row>
    <row r="8" spans="2:14" s="264" customFormat="1" ht="16.5" customHeight="1">
      <c r="B8" s="271"/>
      <c r="C8" s="449"/>
      <c r="D8" s="449"/>
      <c r="E8" s="450"/>
      <c r="F8" s="743" t="s">
        <v>910</v>
      </c>
      <c r="G8" s="744"/>
      <c r="H8" s="744"/>
      <c r="I8" s="744"/>
      <c r="J8" s="451"/>
      <c r="K8" s="449"/>
      <c r="L8" s="272"/>
      <c r="M8" s="272"/>
      <c r="N8" s="272"/>
    </row>
    <row r="9" spans="3:15" s="264" customFormat="1" ht="12.75" customHeight="1" thickBot="1">
      <c r="C9" s="273"/>
      <c r="D9" s="273"/>
      <c r="E9" s="274"/>
      <c r="F9" s="273"/>
      <c r="G9" s="273"/>
      <c r="H9" s="273"/>
      <c r="I9" s="273"/>
      <c r="J9" s="273"/>
      <c r="K9" s="273"/>
      <c r="L9" s="273"/>
      <c r="M9" s="273"/>
      <c r="N9" s="271"/>
      <c r="O9" s="275" t="s">
        <v>911</v>
      </c>
    </row>
    <row r="10" spans="3:15" s="276" customFormat="1" ht="15" customHeight="1">
      <c r="C10" s="277"/>
      <c r="D10" s="730" t="s">
        <v>912</v>
      </c>
      <c r="E10" s="732" t="s">
        <v>913</v>
      </c>
      <c r="F10" s="734" t="s">
        <v>914</v>
      </c>
      <c r="G10" s="735"/>
      <c r="H10" s="735"/>
      <c r="I10" s="735"/>
      <c r="J10" s="735"/>
      <c r="K10" s="735"/>
      <c r="L10" s="735"/>
      <c r="M10" s="735"/>
      <c r="N10" s="735"/>
      <c r="O10" s="735"/>
    </row>
    <row r="11" spans="3:15" s="276" customFormat="1" ht="34.5" customHeight="1">
      <c r="C11" s="278"/>
      <c r="D11" s="731"/>
      <c r="E11" s="733"/>
      <c r="F11" s="279" t="s">
        <v>915</v>
      </c>
      <c r="G11" s="280" t="s">
        <v>916</v>
      </c>
      <c r="H11" s="281" t="s">
        <v>917</v>
      </c>
      <c r="I11" s="281" t="s">
        <v>918</v>
      </c>
      <c r="J11" s="281" t="s">
        <v>919</v>
      </c>
      <c r="K11" s="281" t="s">
        <v>920</v>
      </c>
      <c r="L11" s="281" t="s">
        <v>921</v>
      </c>
      <c r="M11" s="281" t="s">
        <v>922</v>
      </c>
      <c r="N11" s="282" t="s">
        <v>923</v>
      </c>
      <c r="O11" s="281" t="s">
        <v>924</v>
      </c>
    </row>
    <row r="12" spans="3:15" s="276" customFormat="1" ht="13.5" thickBot="1">
      <c r="C12" s="283" t="s">
        <v>0</v>
      </c>
      <c r="D12" s="284" t="s">
        <v>925</v>
      </c>
      <c r="E12" s="462">
        <v>1</v>
      </c>
      <c r="F12" s="285">
        <v>2</v>
      </c>
      <c r="G12" s="286">
        <f aca="true" t="shared" si="0" ref="G12:N12">F12+1</f>
        <v>3</v>
      </c>
      <c r="H12" s="285">
        <f t="shared" si="0"/>
        <v>4</v>
      </c>
      <c r="I12" s="285">
        <f t="shared" si="0"/>
        <v>5</v>
      </c>
      <c r="J12" s="285">
        <f t="shared" si="0"/>
        <v>6</v>
      </c>
      <c r="K12" s="285">
        <f t="shared" si="0"/>
        <v>7</v>
      </c>
      <c r="L12" s="285">
        <f t="shared" si="0"/>
        <v>8</v>
      </c>
      <c r="M12" s="285">
        <f t="shared" si="0"/>
        <v>9</v>
      </c>
      <c r="N12" s="285">
        <f t="shared" si="0"/>
        <v>10</v>
      </c>
      <c r="O12" s="287">
        <v>11</v>
      </c>
    </row>
    <row r="13" spans="1:43" s="294" customFormat="1" ht="48" customHeight="1" thickBot="1">
      <c r="A13" s="288"/>
      <c r="B13" s="289"/>
      <c r="C13" s="290" t="s">
        <v>926</v>
      </c>
      <c r="D13" s="291" t="s">
        <v>927</v>
      </c>
      <c r="E13" s="463">
        <f>SUM(E14:E20)</f>
        <v>13271.20405</v>
      </c>
      <c r="F13" s="333">
        <f aca="true" t="shared" si="1" ref="F13:N13">SUM(F14:F20)</f>
        <v>1393.7</v>
      </c>
      <c r="G13" s="333">
        <f t="shared" si="1"/>
        <v>1704.4</v>
      </c>
      <c r="H13" s="333">
        <f t="shared" si="1"/>
        <v>787.1</v>
      </c>
      <c r="I13" s="333">
        <f t="shared" si="1"/>
        <v>854.5</v>
      </c>
      <c r="J13" s="333">
        <f t="shared" si="1"/>
        <v>447.2</v>
      </c>
      <c r="K13" s="333">
        <f t="shared" si="1"/>
        <v>541.8</v>
      </c>
      <c r="L13" s="333">
        <f t="shared" si="1"/>
        <v>683.4000000000001</v>
      </c>
      <c r="M13" s="333">
        <f t="shared" si="1"/>
        <v>955.4000000000001</v>
      </c>
      <c r="N13" s="333">
        <f t="shared" si="1"/>
        <v>1537.1</v>
      </c>
      <c r="O13" s="333">
        <f>SUM(O14:O20)</f>
        <v>4366.60405</v>
      </c>
      <c r="P13" s="292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</row>
    <row r="14" spans="3:16" s="276" customFormat="1" ht="27.75" customHeight="1">
      <c r="C14" s="295" t="s">
        <v>1</v>
      </c>
      <c r="D14" s="296" t="s">
        <v>928</v>
      </c>
      <c r="E14" s="464">
        <f aca="true" t="shared" si="2" ref="E14:E20">SUM(F14:O14)</f>
        <v>4469.5</v>
      </c>
      <c r="F14" s="335">
        <v>378.6</v>
      </c>
      <c r="G14" s="335">
        <v>513.6</v>
      </c>
      <c r="H14" s="335">
        <v>220.6</v>
      </c>
      <c r="I14" s="335">
        <v>312.6</v>
      </c>
      <c r="J14" s="335">
        <v>155.5</v>
      </c>
      <c r="K14" s="336">
        <v>216.8</v>
      </c>
      <c r="L14" s="336">
        <v>160.1</v>
      </c>
      <c r="M14" s="336">
        <v>236.4</v>
      </c>
      <c r="N14" s="337">
        <v>508.1</v>
      </c>
      <c r="O14" s="338">
        <f>1567.2+200</f>
        <v>1767.2</v>
      </c>
      <c r="P14" s="297"/>
    </row>
    <row r="15" spans="3:15" s="276" customFormat="1" ht="25.5">
      <c r="C15" s="298" t="s">
        <v>2</v>
      </c>
      <c r="D15" s="299" t="s">
        <v>929</v>
      </c>
      <c r="E15" s="464">
        <f t="shared" si="2"/>
        <v>0</v>
      </c>
      <c r="F15" s="339"/>
      <c r="G15" s="339"/>
      <c r="H15" s="339"/>
      <c r="I15" s="339"/>
      <c r="J15" s="339"/>
      <c r="K15" s="340"/>
      <c r="L15" s="340"/>
      <c r="M15" s="340"/>
      <c r="N15" s="341"/>
      <c r="O15" s="342"/>
    </row>
    <row r="16" spans="3:15" s="276" customFormat="1" ht="78.75" customHeight="1">
      <c r="C16" s="300" t="s">
        <v>3</v>
      </c>
      <c r="D16" s="301" t="s">
        <v>930</v>
      </c>
      <c r="E16" s="464">
        <f t="shared" si="2"/>
        <v>5613.8</v>
      </c>
      <c r="F16" s="343">
        <v>497.8</v>
      </c>
      <c r="G16" s="343">
        <v>675.3</v>
      </c>
      <c r="H16" s="343">
        <v>290.1</v>
      </c>
      <c r="I16" s="343">
        <v>411</v>
      </c>
      <c r="J16" s="343">
        <v>204.4</v>
      </c>
      <c r="K16" s="343">
        <v>285</v>
      </c>
      <c r="L16" s="343">
        <v>210.6</v>
      </c>
      <c r="M16" s="343">
        <v>310.8</v>
      </c>
      <c r="N16" s="344">
        <v>668</v>
      </c>
      <c r="O16" s="345">
        <v>2060.8</v>
      </c>
    </row>
    <row r="17" spans="3:15" s="276" customFormat="1" ht="25.5">
      <c r="C17" s="302" t="s">
        <v>4</v>
      </c>
      <c r="D17" s="303" t="s">
        <v>931</v>
      </c>
      <c r="E17" s="464">
        <f t="shared" si="2"/>
        <v>2088.2000000000003</v>
      </c>
      <c r="F17" s="346">
        <f>363.64-0.04+100</f>
        <v>463.59999999999997</v>
      </c>
      <c r="G17" s="346">
        <f>181.82-0.02+200</f>
        <v>381.79999999999995</v>
      </c>
      <c r="H17" s="346">
        <f>136.37+0.03+100</f>
        <v>236.4</v>
      </c>
      <c r="I17" s="346">
        <f>90.91-0.01</f>
        <v>90.89999999999999</v>
      </c>
      <c r="J17" s="346">
        <f>47.28+0.02</f>
        <v>47.300000000000004</v>
      </c>
      <c r="K17" s="346"/>
      <c r="L17" s="346">
        <f>272.73-0.03</f>
        <v>272.70000000000005</v>
      </c>
      <c r="M17" s="346">
        <f>318.19+0.01+50</f>
        <v>368.2</v>
      </c>
      <c r="N17" s="346">
        <f>227.28+0.02</f>
        <v>227.3</v>
      </c>
      <c r="O17" s="345"/>
    </row>
    <row r="18" spans="3:15" s="276" customFormat="1" ht="41.25" customHeight="1">
      <c r="C18" s="459" t="s">
        <v>5</v>
      </c>
      <c r="D18" s="460" t="s">
        <v>932</v>
      </c>
      <c r="E18" s="465">
        <f>SUM(F18:O18)</f>
        <v>561.0999999999999</v>
      </c>
      <c r="F18" s="343">
        <f>51.9+1.8</f>
        <v>53.699999999999996</v>
      </c>
      <c r="G18" s="343">
        <f>129+4.7</f>
        <v>133.7</v>
      </c>
      <c r="H18" s="343">
        <f aca="true" t="shared" si="3" ref="H18:M18">38.6+1.4</f>
        <v>40</v>
      </c>
      <c r="I18" s="343">
        <f t="shared" si="3"/>
        <v>40</v>
      </c>
      <c r="J18" s="343">
        <f t="shared" si="3"/>
        <v>40</v>
      </c>
      <c r="K18" s="343">
        <f t="shared" si="3"/>
        <v>40</v>
      </c>
      <c r="L18" s="343">
        <f t="shared" si="3"/>
        <v>40</v>
      </c>
      <c r="M18" s="343">
        <f t="shared" si="3"/>
        <v>40</v>
      </c>
      <c r="N18" s="344">
        <f>129+4.7</f>
        <v>133.7</v>
      </c>
      <c r="O18" s="345"/>
    </row>
    <row r="19" spans="3:15" s="276" customFormat="1" ht="41.25" customHeight="1">
      <c r="C19" s="459" t="s">
        <v>881</v>
      </c>
      <c r="D19" s="460" t="s">
        <v>1054</v>
      </c>
      <c r="E19" s="465">
        <f t="shared" si="2"/>
        <v>306</v>
      </c>
      <c r="F19" s="343"/>
      <c r="G19" s="343"/>
      <c r="H19" s="343"/>
      <c r="I19" s="343"/>
      <c r="J19" s="343"/>
      <c r="K19" s="343"/>
      <c r="L19" s="343"/>
      <c r="M19" s="343"/>
      <c r="N19" s="344"/>
      <c r="O19" s="345">
        <v>306</v>
      </c>
    </row>
    <row r="20" spans="3:15" s="276" customFormat="1" ht="41.25" customHeight="1" thickBot="1">
      <c r="C20" s="304" t="s">
        <v>1056</v>
      </c>
      <c r="D20" s="457" t="s">
        <v>1057</v>
      </c>
      <c r="E20" s="465">
        <f t="shared" si="2"/>
        <v>232.60405</v>
      </c>
      <c r="F20" s="347"/>
      <c r="G20" s="347"/>
      <c r="H20" s="347"/>
      <c r="I20" s="347"/>
      <c r="J20" s="347"/>
      <c r="K20" s="347"/>
      <c r="L20" s="347"/>
      <c r="M20" s="347"/>
      <c r="N20" s="348"/>
      <c r="O20" s="458">
        <f>94.5+138.10405</f>
        <v>232.60405</v>
      </c>
    </row>
    <row r="21" spans="1:43" s="309" customFormat="1" ht="43.5" thickBot="1">
      <c r="A21" s="305"/>
      <c r="B21" s="306"/>
      <c r="C21" s="307" t="s">
        <v>933</v>
      </c>
      <c r="D21" s="308" t="s">
        <v>934</v>
      </c>
      <c r="E21" s="466">
        <f>SUM(E22:E23)</f>
        <v>24960.9165</v>
      </c>
      <c r="F21" s="349">
        <f>SUM(F22:F23)</f>
        <v>2920.6434600000002</v>
      </c>
      <c r="G21" s="349">
        <f aca="true" t="shared" si="4" ref="G21:O21">SUM(G22:G23)</f>
        <v>3079.1982</v>
      </c>
      <c r="H21" s="349">
        <f t="shared" si="4"/>
        <v>2258.51933</v>
      </c>
      <c r="I21" s="349">
        <f t="shared" si="4"/>
        <v>3013.6686200000004</v>
      </c>
      <c r="J21" s="349">
        <f t="shared" si="4"/>
        <v>2004.20354</v>
      </c>
      <c r="K21" s="349">
        <f t="shared" si="4"/>
        <v>2141.7162200000002</v>
      </c>
      <c r="L21" s="349">
        <f t="shared" si="4"/>
        <v>2346.87258</v>
      </c>
      <c r="M21" s="349">
        <f t="shared" si="4"/>
        <v>3051.54623</v>
      </c>
      <c r="N21" s="349">
        <f t="shared" si="4"/>
        <v>3845.60265</v>
      </c>
      <c r="O21" s="349">
        <f t="shared" si="4"/>
        <v>298.94567</v>
      </c>
      <c r="P21" s="292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</row>
    <row r="22" spans="3:17" s="276" customFormat="1" ht="57.75" customHeight="1">
      <c r="C22" s="310" t="s">
        <v>7</v>
      </c>
      <c r="D22" s="311" t="s">
        <v>935</v>
      </c>
      <c r="E22" s="464">
        <f>SUM(F22:O22)</f>
        <v>20862.172</v>
      </c>
      <c r="F22" s="350">
        <f>2622.1+36.36</f>
        <v>2658.46</v>
      </c>
      <c r="G22" s="350">
        <f>2137.3+18.18+150</f>
        <v>2305.48</v>
      </c>
      <c r="H22" s="350">
        <f>2061.6+13.63</f>
        <v>2075.23</v>
      </c>
      <c r="I22" s="350">
        <f>2503.9+9.09+200</f>
        <v>2712.9900000000002</v>
      </c>
      <c r="J22" s="351">
        <f>1492.2+4.72+300</f>
        <v>1796.92</v>
      </c>
      <c r="K22" s="352">
        <f>1629+200</f>
        <v>1829</v>
      </c>
      <c r="L22" s="352">
        <f>1798.5+245.59+27.45</f>
        <v>2071.54</v>
      </c>
      <c r="M22" s="352">
        <f>2152.2+31.812</f>
        <v>2184.0119999999997</v>
      </c>
      <c r="N22" s="352">
        <f>3205.82+22.72</f>
        <v>3228.54</v>
      </c>
      <c r="O22" s="342"/>
      <c r="P22" s="312"/>
      <c r="Q22" s="312"/>
    </row>
    <row r="23" spans="3:17" s="276" customFormat="1" ht="60">
      <c r="C23" s="326" t="s">
        <v>1046</v>
      </c>
      <c r="D23" s="99" t="s">
        <v>307</v>
      </c>
      <c r="E23" s="464">
        <f>SUM(E24:E29)</f>
        <v>4098.744500000001</v>
      </c>
      <c r="F23" s="334">
        <f>SUM(F24:F29)</f>
        <v>262.18345999999997</v>
      </c>
      <c r="G23" s="334">
        <f>SUM(G24:G29)</f>
        <v>773.7182</v>
      </c>
      <c r="H23" s="334">
        <f>SUM(H24:H29)</f>
        <v>183.28933</v>
      </c>
      <c r="I23" s="334">
        <f>SUM(I24:I29)</f>
        <v>300.67861999999997</v>
      </c>
      <c r="J23" s="334">
        <f aca="true" t="shared" si="5" ref="J23:O23">SUM(J24:J29)</f>
        <v>207.28354000000002</v>
      </c>
      <c r="K23" s="334">
        <f>SUM(K24:K29)</f>
        <v>312.71622</v>
      </c>
      <c r="L23" s="334">
        <f t="shared" si="5"/>
        <v>275.33258</v>
      </c>
      <c r="M23" s="334">
        <f t="shared" si="5"/>
        <v>867.5342300000001</v>
      </c>
      <c r="N23" s="334">
        <f t="shared" si="5"/>
        <v>617.06265</v>
      </c>
      <c r="O23" s="334">
        <f t="shared" si="5"/>
        <v>298.94567</v>
      </c>
      <c r="P23" s="312"/>
      <c r="Q23" s="312"/>
    </row>
    <row r="24" spans="3:17" s="276" customFormat="1" ht="12.75">
      <c r="C24" s="326" t="s">
        <v>1047</v>
      </c>
      <c r="D24" s="327" t="s">
        <v>938</v>
      </c>
      <c r="E24" s="467">
        <f aca="true" t="shared" si="6" ref="E24:E30">SUM(F24:O24)</f>
        <v>115.59999999999998</v>
      </c>
      <c r="F24" s="353">
        <v>13.6</v>
      </c>
      <c r="G24" s="353">
        <v>13.6</v>
      </c>
      <c r="H24" s="353">
        <v>13.6</v>
      </c>
      <c r="I24" s="353">
        <v>6.8</v>
      </c>
      <c r="J24" s="354">
        <v>13.6</v>
      </c>
      <c r="K24" s="355">
        <v>13.6</v>
      </c>
      <c r="L24" s="355">
        <v>13.6</v>
      </c>
      <c r="M24" s="355">
        <v>13.6</v>
      </c>
      <c r="N24" s="355">
        <v>6.8</v>
      </c>
      <c r="O24" s="342">
        <v>6.8</v>
      </c>
      <c r="P24" s="312"/>
      <c r="Q24" s="312"/>
    </row>
    <row r="25" spans="3:17" s="276" customFormat="1" ht="12.75">
      <c r="C25" s="326" t="s">
        <v>1048</v>
      </c>
      <c r="D25" s="327" t="s">
        <v>72</v>
      </c>
      <c r="E25" s="497">
        <f t="shared" si="6"/>
        <v>976.3785</v>
      </c>
      <c r="F25" s="353">
        <v>39.98346</v>
      </c>
      <c r="G25" s="353">
        <f>48.3312+500</f>
        <v>548.3312</v>
      </c>
      <c r="H25" s="353">
        <v>24.67333</v>
      </c>
      <c r="I25" s="353">
        <v>27.93062</v>
      </c>
      <c r="J25" s="354">
        <v>10.07554</v>
      </c>
      <c r="K25" s="355">
        <v>15.14222</v>
      </c>
      <c r="L25" s="355">
        <v>22.17258</v>
      </c>
      <c r="M25" s="355">
        <v>170.10623</v>
      </c>
      <c r="N25" s="355">
        <f>41.87665</f>
        <v>41.87665</v>
      </c>
      <c r="O25" s="342">
        <v>76.08667</v>
      </c>
      <c r="P25" s="312"/>
      <c r="Q25" s="312"/>
    </row>
    <row r="26" spans="3:17" s="452" customFormat="1" ht="12.75">
      <c r="C26" s="453" t="s">
        <v>1049</v>
      </c>
      <c r="D26" s="303" t="s">
        <v>306</v>
      </c>
      <c r="E26" s="467">
        <f t="shared" si="6"/>
        <v>1060</v>
      </c>
      <c r="F26" s="454"/>
      <c r="G26" s="454">
        <v>60</v>
      </c>
      <c r="H26" s="454">
        <v>40</v>
      </c>
      <c r="I26" s="454"/>
      <c r="J26" s="454">
        <f>30</f>
        <v>30</v>
      </c>
      <c r="K26" s="454">
        <f>30+40</f>
        <v>70</v>
      </c>
      <c r="L26" s="454">
        <v>100</v>
      </c>
      <c r="M26" s="454">
        <f>100+120+200+40</f>
        <v>460</v>
      </c>
      <c r="N26" s="454">
        <f>250+50</f>
        <v>300</v>
      </c>
      <c r="O26" s="455"/>
      <c r="P26" s="456"/>
      <c r="Q26" s="456"/>
    </row>
    <row r="27" spans="3:17" s="276" customFormat="1" ht="12.75">
      <c r="C27" s="326" t="s">
        <v>1050</v>
      </c>
      <c r="D27" s="327" t="s">
        <v>82</v>
      </c>
      <c r="E27" s="467">
        <f t="shared" si="6"/>
        <v>79.44</v>
      </c>
      <c r="F27" s="353"/>
      <c r="G27" s="353"/>
      <c r="H27" s="353">
        <f>550-550</f>
        <v>0</v>
      </c>
      <c r="I27" s="353"/>
      <c r="J27" s="354"/>
      <c r="K27" s="355"/>
      <c r="L27" s="355">
        <v>50</v>
      </c>
      <c r="M27" s="355">
        <f>18.44+11</f>
        <v>29.44</v>
      </c>
      <c r="N27" s="355"/>
      <c r="O27" s="342"/>
      <c r="P27" s="312"/>
      <c r="Q27" s="312"/>
    </row>
    <row r="28" spans="3:17" s="276" customFormat="1" ht="25.5">
      <c r="C28" s="326" t="s">
        <v>1051</v>
      </c>
      <c r="D28" s="327" t="s">
        <v>939</v>
      </c>
      <c r="E28" s="467">
        <f t="shared" si="6"/>
        <v>1273.326</v>
      </c>
      <c r="F28" s="353">
        <f>40.2-40.2+91.6+47</f>
        <v>138.6</v>
      </c>
      <c r="G28" s="353">
        <f>43.5-43.5+99.1+52.687</f>
        <v>151.78699999999998</v>
      </c>
      <c r="H28" s="353">
        <f>29.2-29.2+66.7+38.316</f>
        <v>105.016</v>
      </c>
      <c r="I28" s="353">
        <f>43-43+98.1+37.848</f>
        <v>135.94799999999998</v>
      </c>
      <c r="J28" s="354">
        <f>22.8-22.8+51.9+37.708</f>
        <v>89.608</v>
      </c>
      <c r="K28" s="355">
        <f>25.5-25.5+58.2+25.774</f>
        <v>83.974</v>
      </c>
      <c r="L28" s="355">
        <f>26.8-26.8+61.1+28.46</f>
        <v>89.56</v>
      </c>
      <c r="M28" s="355">
        <f>27.5-27.5+62.7+31.688</f>
        <v>94.388</v>
      </c>
      <c r="N28" s="355">
        <f>50.7-50.7+115.6+52.786</f>
        <v>168.386</v>
      </c>
      <c r="O28" s="342">
        <f>64.3-64.3+146.6+69.459</f>
        <v>216.059</v>
      </c>
      <c r="P28" s="312"/>
      <c r="Q28" s="312"/>
    </row>
    <row r="29" spans="1:43" s="316" customFormat="1" ht="27" customHeight="1" thickBot="1">
      <c r="A29" s="313"/>
      <c r="B29" s="314"/>
      <c r="C29" s="315" t="s">
        <v>1052</v>
      </c>
      <c r="D29" s="99" t="s">
        <v>1058</v>
      </c>
      <c r="E29" s="468">
        <f t="shared" si="6"/>
        <v>594</v>
      </c>
      <c r="F29" s="356">
        <v>70</v>
      </c>
      <c r="G29" s="356"/>
      <c r="H29" s="356"/>
      <c r="I29" s="356">
        <f>100+30</f>
        <v>130</v>
      </c>
      <c r="J29" s="356">
        <f>32+32</f>
        <v>64</v>
      </c>
      <c r="K29" s="356">
        <f>100+30</f>
        <v>130</v>
      </c>
      <c r="L29" s="356"/>
      <c r="M29" s="356">
        <f>100</f>
        <v>100</v>
      </c>
      <c r="N29" s="357">
        <f>30+70</f>
        <v>100</v>
      </c>
      <c r="O29" s="358"/>
      <c r="P29" s="292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</row>
    <row r="30" spans="1:43" s="316" customFormat="1" ht="21.75" customHeight="1" hidden="1" thickBot="1">
      <c r="A30" s="313"/>
      <c r="B30" s="314"/>
      <c r="C30" s="317" t="s">
        <v>937</v>
      </c>
      <c r="D30" s="318"/>
      <c r="E30" s="469">
        <f t="shared" si="6"/>
        <v>0</v>
      </c>
      <c r="F30" s="359"/>
      <c r="G30" s="359"/>
      <c r="H30" s="359"/>
      <c r="I30" s="359"/>
      <c r="J30" s="359"/>
      <c r="K30" s="359"/>
      <c r="L30" s="359"/>
      <c r="M30" s="359"/>
      <c r="N30" s="360"/>
      <c r="O30" s="358"/>
      <c r="P30" s="292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</row>
    <row r="31" spans="1:43" s="316" customFormat="1" ht="29.25" thickBot="1">
      <c r="A31" s="313"/>
      <c r="B31" s="314"/>
      <c r="C31" s="290" t="s">
        <v>1053</v>
      </c>
      <c r="D31" s="319" t="s">
        <v>936</v>
      </c>
      <c r="E31" s="461">
        <f aca="true" t="shared" si="7" ref="E31:O31">E13+E21</f>
        <v>38232.12055</v>
      </c>
      <c r="F31" s="361">
        <f t="shared" si="7"/>
        <v>4314.34346</v>
      </c>
      <c r="G31" s="361">
        <f t="shared" si="7"/>
        <v>4783.5982</v>
      </c>
      <c r="H31" s="361">
        <f t="shared" si="7"/>
        <v>3045.61933</v>
      </c>
      <c r="I31" s="361">
        <f t="shared" si="7"/>
        <v>3868.1686200000004</v>
      </c>
      <c r="J31" s="361">
        <f t="shared" si="7"/>
        <v>2451.40354</v>
      </c>
      <c r="K31" s="361">
        <f t="shared" si="7"/>
        <v>2683.5162200000004</v>
      </c>
      <c r="L31" s="361">
        <f t="shared" si="7"/>
        <v>3030.2725800000003</v>
      </c>
      <c r="M31" s="361">
        <f t="shared" si="7"/>
        <v>4006.94623</v>
      </c>
      <c r="N31" s="361">
        <f t="shared" si="7"/>
        <v>5382.702649999999</v>
      </c>
      <c r="O31" s="361">
        <f t="shared" si="7"/>
        <v>4665.54972</v>
      </c>
      <c r="P31" s="320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</row>
  </sheetData>
  <sheetProtection/>
  <mergeCells count="8">
    <mergeCell ref="D10:D11"/>
    <mergeCell ref="E10:E11"/>
    <mergeCell ref="F10:O10"/>
    <mergeCell ref="L1:N1"/>
    <mergeCell ref="L2:N2"/>
    <mergeCell ref="L3:O5"/>
    <mergeCell ref="D7:N7"/>
    <mergeCell ref="F8:I8"/>
  </mergeCells>
  <printOptions/>
  <pageMargins left="0.3937007874015748" right="0.15748031496062992" top="0.8267716535433072" bottom="0.1968503937007874" header="0.3937007874015748" footer="0.1968503937007874"/>
  <pageSetup firstPageNumber="150" useFirstPageNumber="1" fitToHeight="8" horizontalDpi="600" verticalDpi="600" orientation="landscape" paperSize="9" scale="57" r:id="rId1"/>
  <colBreaks count="1" manualBreakCount="1">
    <brk id="19" min="1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name</cp:lastModifiedBy>
  <cp:lastPrinted>2011-12-28T03:11:25Z</cp:lastPrinted>
  <dcterms:created xsi:type="dcterms:W3CDTF">1996-10-08T23:32:33Z</dcterms:created>
  <dcterms:modified xsi:type="dcterms:W3CDTF">2011-12-28T12:03:04Z</dcterms:modified>
  <cp:category/>
  <cp:version/>
  <cp:contentType/>
  <cp:contentStatus/>
</cp:coreProperties>
</file>