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9720" windowHeight="7320" activeTab="3"/>
  </bookViews>
  <sheets>
    <sheet name="прилож 1" sheetId="21" r:id="rId1"/>
    <sheet name="Прил 2" sheetId="25" r:id="rId2"/>
    <sheet name="прил 8 (разд, подразд)" sheetId="12" r:id="rId3"/>
    <sheet name="10 прил(гл.расп,расх)" sheetId="13" r:id="rId4"/>
    <sheet name="Прилож.14 (кап стр)" sheetId="15" r:id="rId5"/>
    <sheet name="пРИЛ 15 ПУБЛИЧН." sheetId="26" r:id="rId6"/>
    <sheet name="Приложение 17 (2011)" sheetId="29" r:id="rId7"/>
    <sheet name="прилож &quot;20" sheetId="27" r:id="rId8"/>
    <sheet name="Лист1" sheetId="19" r:id="rId9"/>
  </sheets>
  <externalReferences>
    <externalReference r:id="rId10"/>
    <externalReference r:id="rId11"/>
  </externalReferences>
  <definedNames>
    <definedName name="В11" localSheetId="3">'10 прил(гл.расп,расх)'!$A$15</definedName>
    <definedName name="В11" localSheetId="4">#REF!</definedName>
    <definedName name="В11" localSheetId="6">#REF!</definedName>
    <definedName name="В11">#REF!</definedName>
    <definedName name="_xlnm.Print_Titles" localSheetId="3">'10 прил(гл.расп,расх)'!$11:$11</definedName>
    <definedName name="_xlnm.Print_Titles" localSheetId="1">'Прил 2'!$8:$8</definedName>
    <definedName name="_xlnm.Print_Area" localSheetId="3">'10 прил(гл.расп,расх)'!$A$2:$U$784</definedName>
    <definedName name="_xlnm.Print_Area" localSheetId="5">'пРИЛ 15 ПУБЛИЧН.'!$A$1:$S$28</definedName>
    <definedName name="_xlnm.Print_Area" localSheetId="1">'Прил 2'!$A$2:$F$225</definedName>
    <definedName name="_xlnm.Print_Area" localSheetId="2">'прил 8 (разд, подразд)'!$B$1:$I$81</definedName>
    <definedName name="_xlnm.Print_Area" localSheetId="7">'прилож "20'!$A$1:$C$14</definedName>
    <definedName name="_xlnm.Print_Area" localSheetId="6">'Приложение 17 (2011)'!$A$2:$AQ$31</definedName>
    <definedName name="_xlnm.Print_Area">#REF!</definedName>
  </definedNames>
  <calcPr calcId="124519"/>
</workbook>
</file>

<file path=xl/calcChain.xml><?xml version="1.0" encoding="utf-8"?>
<calcChain xmlns="http://schemas.openxmlformats.org/spreadsheetml/2006/main">
  <c r="H80" i="12"/>
  <c r="O198" i="13"/>
  <c r="K256"/>
  <c r="K251"/>
  <c r="K311"/>
  <c r="K281"/>
  <c r="E32" i="29"/>
  <c r="E13"/>
  <c r="F13"/>
  <c r="G13"/>
  <c r="H13"/>
  <c r="I13"/>
  <c r="J13"/>
  <c r="K13"/>
  <c r="L13"/>
  <c r="M13"/>
  <c r="N13"/>
  <c r="O13"/>
  <c r="E20"/>
  <c r="M26"/>
  <c r="N26"/>
  <c r="E18"/>
  <c r="E30"/>
  <c r="E29"/>
  <c r="O28"/>
  <c r="N28"/>
  <c r="M28"/>
  <c r="L28"/>
  <c r="K28"/>
  <c r="J28"/>
  <c r="I28"/>
  <c r="H28"/>
  <c r="G28"/>
  <c r="F28"/>
  <c r="E28"/>
  <c r="H27"/>
  <c r="E27"/>
  <c r="E26"/>
  <c r="N25"/>
  <c r="N23" s="1"/>
  <c r="G25"/>
  <c r="E25"/>
  <c r="E24"/>
  <c r="O23"/>
  <c r="O21" s="1"/>
  <c r="M23"/>
  <c r="L23"/>
  <c r="K23"/>
  <c r="J23"/>
  <c r="I23"/>
  <c r="H23"/>
  <c r="G23"/>
  <c r="F23"/>
  <c r="N22"/>
  <c r="M22"/>
  <c r="L22"/>
  <c r="K22"/>
  <c r="K21" s="1"/>
  <c r="J22"/>
  <c r="I22"/>
  <c r="I21" s="1"/>
  <c r="H22"/>
  <c r="G22"/>
  <c r="G21" s="1"/>
  <c r="F22"/>
  <c r="E22" s="1"/>
  <c r="L21"/>
  <c r="H21"/>
  <c r="E19"/>
  <c r="N17"/>
  <c r="M17"/>
  <c r="L17"/>
  <c r="L31" s="1"/>
  <c r="J17"/>
  <c r="I17"/>
  <c r="H17"/>
  <c r="G17"/>
  <c r="F17"/>
  <c r="E17"/>
  <c r="E16"/>
  <c r="E15"/>
  <c r="E14"/>
  <c r="O31"/>
  <c r="K31"/>
  <c r="I31"/>
  <c r="G31"/>
  <c r="G12"/>
  <c r="H12" s="1"/>
  <c r="I12" s="1"/>
  <c r="J12" s="1"/>
  <c r="K12" s="1"/>
  <c r="L12" s="1"/>
  <c r="M12" s="1"/>
  <c r="N12" s="1"/>
  <c r="J27" i="15"/>
  <c r="K509" i="13"/>
  <c r="J502"/>
  <c r="K510"/>
  <c r="L511"/>
  <c r="L510" s="1"/>
  <c r="J510"/>
  <c r="K498"/>
  <c r="K525"/>
  <c r="K548"/>
  <c r="F16" i="25"/>
  <c r="K116" i="13"/>
  <c r="K219"/>
  <c r="N27" i="15"/>
  <c r="G19" i="21"/>
  <c r="E224" i="25"/>
  <c r="L223"/>
  <c r="G223"/>
  <c r="E223"/>
  <c r="E222"/>
  <c r="H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F202"/>
  <c r="E202" s="1"/>
  <c r="E201"/>
  <c r="E200"/>
  <c r="E199"/>
  <c r="E198"/>
  <c r="E197"/>
  <c r="E196"/>
  <c r="E195"/>
  <c r="E194"/>
  <c r="E193"/>
  <c r="E192"/>
  <c r="E191"/>
  <c r="E183" s="1"/>
  <c r="E190"/>
  <c r="E189"/>
  <c r="E188"/>
  <c r="E187"/>
  <c r="E186"/>
  <c r="E185"/>
  <c r="E184"/>
  <c r="F183"/>
  <c r="D183"/>
  <c r="E182"/>
  <c r="F181"/>
  <c r="D181"/>
  <c r="E180"/>
  <c r="E179"/>
  <c r="E178"/>
  <c r="E177"/>
  <c r="E176"/>
  <c r="E175"/>
  <c r="E174"/>
  <c r="E173"/>
  <c r="F172"/>
  <c r="E172"/>
  <c r="D172"/>
  <c r="F171"/>
  <c r="E171" s="1"/>
  <c r="D170"/>
  <c r="E169"/>
  <c r="E168"/>
  <c r="E167"/>
  <c r="E166"/>
  <c r="E165"/>
  <c r="E164"/>
  <c r="F163"/>
  <c r="E163"/>
  <c r="E162"/>
  <c r="E161"/>
  <c r="E160"/>
  <c r="E159"/>
  <c r="E158"/>
  <c r="E157"/>
  <c r="F156"/>
  <c r="E156"/>
  <c r="D156"/>
  <c r="E155"/>
  <c r="E154"/>
  <c r="E153"/>
  <c r="F152"/>
  <c r="E152"/>
  <c r="D152"/>
  <c r="E151"/>
  <c r="F150"/>
  <c r="E150"/>
  <c r="D150"/>
  <c r="F149"/>
  <c r="E149" s="1"/>
  <c r="D149"/>
  <c r="E148"/>
  <c r="F147"/>
  <c r="E147" s="1"/>
  <c r="E146" s="1"/>
  <c r="F146"/>
  <c r="F145" s="1"/>
  <c r="D146"/>
  <c r="D145" s="1"/>
  <c r="D144" s="1"/>
  <c r="D143" s="1"/>
  <c r="E142"/>
  <c r="E141"/>
  <c r="E140"/>
  <c r="E139"/>
  <c r="F138"/>
  <c r="D138"/>
  <c r="D137" s="1"/>
  <c r="D133" s="1"/>
  <c r="E132"/>
  <c r="E131"/>
  <c r="E130"/>
  <c r="E129"/>
  <c r="E128"/>
  <c r="F127"/>
  <c r="E127" s="1"/>
  <c r="D127"/>
  <c r="F126"/>
  <c r="E126" s="1"/>
  <c r="D126"/>
  <c r="E125"/>
  <c r="E124"/>
  <c r="E123"/>
  <c r="E122"/>
  <c r="E120" s="1"/>
  <c r="E121"/>
  <c r="F120"/>
  <c r="D120"/>
  <c r="E119"/>
  <c r="E118"/>
  <c r="E117"/>
  <c r="E116"/>
  <c r="E115"/>
  <c r="F114"/>
  <c r="F113" s="1"/>
  <c r="D114"/>
  <c r="D113"/>
  <c r="E112"/>
  <c r="F111"/>
  <c r="F108" s="1"/>
  <c r="E111"/>
  <c r="D111"/>
  <c r="D108" s="1"/>
  <c r="E108"/>
  <c r="E107"/>
  <c r="E106"/>
  <c r="F105"/>
  <c r="E105" s="1"/>
  <c r="E104" s="1"/>
  <c r="D105"/>
  <c r="D104" s="1"/>
  <c r="E103"/>
  <c r="E102"/>
  <c r="E101"/>
  <c r="E100"/>
  <c r="E99"/>
  <c r="E98"/>
  <c r="E97"/>
  <c r="E96"/>
  <c r="E95"/>
  <c r="F94"/>
  <c r="E94"/>
  <c r="E93" s="1"/>
  <c r="E90" s="1"/>
  <c r="D94"/>
  <c r="F93"/>
  <c r="D93"/>
  <c r="D90" s="1"/>
  <c r="E92"/>
  <c r="E91"/>
  <c r="E89"/>
  <c r="E88" s="1"/>
  <c r="E83" s="1"/>
  <c r="D89"/>
  <c r="F88"/>
  <c r="F83" s="1"/>
  <c r="D88"/>
  <c r="D83" s="1"/>
  <c r="E82"/>
  <c r="E81"/>
  <c r="E80"/>
  <c r="F79"/>
  <c r="E79"/>
  <c r="D79"/>
  <c r="E78"/>
  <c r="E77"/>
  <c r="E76"/>
  <c r="E75"/>
  <c r="E74"/>
  <c r="E73"/>
  <c r="E72"/>
  <c r="E71"/>
  <c r="E70"/>
  <c r="E69"/>
  <c r="F68"/>
  <c r="E68"/>
  <c r="D68"/>
  <c r="E66"/>
  <c r="F65"/>
  <c r="F64" s="1"/>
  <c r="F61" s="1"/>
  <c r="E65"/>
  <c r="D65"/>
  <c r="D64" s="1"/>
  <c r="D61" s="1"/>
  <c r="E64"/>
  <c r="E63"/>
  <c r="E62"/>
  <c r="E59"/>
  <c r="E58"/>
  <c r="E57"/>
  <c r="E56"/>
  <c r="E55"/>
  <c r="E54"/>
  <c r="E53"/>
  <c r="E52"/>
  <c r="E51"/>
  <c r="E50"/>
  <c r="F49"/>
  <c r="E49" s="1"/>
  <c r="D49"/>
  <c r="E48"/>
  <c r="D47"/>
  <c r="E46"/>
  <c r="F45"/>
  <c r="E45" s="1"/>
  <c r="E44" s="1"/>
  <c r="D45"/>
  <c r="D44" s="1"/>
  <c r="E42"/>
  <c r="E41"/>
  <c r="E40"/>
  <c r="E39"/>
  <c r="F38"/>
  <c r="F37" s="1"/>
  <c r="E38"/>
  <c r="E37" s="1"/>
  <c r="D38"/>
  <c r="D37" s="1"/>
  <c r="E36"/>
  <c r="E35"/>
  <c r="E34"/>
  <c r="E33"/>
  <c r="E32"/>
  <c r="E31"/>
  <c r="F30"/>
  <c r="E30" s="1"/>
  <c r="E29" s="1"/>
  <c r="E27" s="1"/>
  <c r="F29"/>
  <c r="F27" s="1"/>
  <c r="D29"/>
  <c r="D27"/>
  <c r="F26"/>
  <c r="E26"/>
  <c r="D26"/>
  <c r="F25"/>
  <c r="E25" s="1"/>
  <c r="D25"/>
  <c r="F24"/>
  <c r="E24" s="1"/>
  <c r="E22" s="1"/>
  <c r="D24"/>
  <c r="E23"/>
  <c r="F22"/>
  <c r="F21" s="1"/>
  <c r="D22"/>
  <c r="D21"/>
  <c r="E20"/>
  <c r="E19"/>
  <c r="E18"/>
  <c r="E17"/>
  <c r="E16"/>
  <c r="F15"/>
  <c r="E15"/>
  <c r="D15"/>
  <c r="E14"/>
  <c r="F13"/>
  <c r="F12" s="1"/>
  <c r="D13"/>
  <c r="D12" s="1"/>
  <c r="K211" i="13"/>
  <c r="C10" i="27"/>
  <c r="B10"/>
  <c r="E23" i="29" l="1"/>
  <c r="M21"/>
  <c r="M31" s="1"/>
  <c r="E21"/>
  <c r="E31" s="1"/>
  <c r="J21"/>
  <c r="F21"/>
  <c r="N21"/>
  <c r="N31" s="1"/>
  <c r="F31"/>
  <c r="J31"/>
  <c r="H31"/>
  <c r="E114" i="25"/>
  <c r="E113" s="1"/>
  <c r="E138"/>
  <c r="E137" s="1"/>
  <c r="E133" s="1"/>
  <c r="E13"/>
  <c r="E12" s="1"/>
  <c r="F47"/>
  <c r="F170"/>
  <c r="F144" s="1"/>
  <c r="F143" s="1"/>
  <c r="E181"/>
  <c r="D43"/>
  <c r="E61"/>
  <c r="E60" s="1"/>
  <c r="D11"/>
  <c r="E21"/>
  <c r="E47"/>
  <c r="E43" s="1"/>
  <c r="D60"/>
  <c r="E145"/>
  <c r="E170"/>
  <c r="F44"/>
  <c r="F43" s="1"/>
  <c r="F11" s="1"/>
  <c r="F104"/>
  <c r="F90" s="1"/>
  <c r="F137"/>
  <c r="F133" s="1"/>
  <c r="E33" i="12"/>
  <c r="F33"/>
  <c r="G33"/>
  <c r="I33" s="1"/>
  <c r="K26" i="13"/>
  <c r="K277"/>
  <c r="L251"/>
  <c r="M250"/>
  <c r="K250"/>
  <c r="J250"/>
  <c r="I250"/>
  <c r="H250"/>
  <c r="L243"/>
  <c r="J244"/>
  <c r="J242" s="1"/>
  <c r="L240"/>
  <c r="L238" s="1"/>
  <c r="L237" s="1"/>
  <c r="L239"/>
  <c r="K238"/>
  <c r="K237" s="1"/>
  <c r="J238"/>
  <c r="J237" s="1"/>
  <c r="K50"/>
  <c r="K29"/>
  <c r="K52"/>
  <c r="K35"/>
  <c r="K371"/>
  <c r="K346"/>
  <c r="K339"/>
  <c r="K367"/>
  <c r="K366"/>
  <c r="L366" s="1"/>
  <c r="J365"/>
  <c r="K675"/>
  <c r="K706"/>
  <c r="K682"/>
  <c r="L688"/>
  <c r="K687"/>
  <c r="L687"/>
  <c r="J687"/>
  <c r="K692"/>
  <c r="K667"/>
  <c r="L661"/>
  <c r="K660"/>
  <c r="L660"/>
  <c r="K659"/>
  <c r="L659"/>
  <c r="M659"/>
  <c r="N659"/>
  <c r="K658"/>
  <c r="L658"/>
  <c r="M658"/>
  <c r="N658"/>
  <c r="J660"/>
  <c r="J659" s="1"/>
  <c r="J658" s="1"/>
  <c r="K461"/>
  <c r="K540"/>
  <c r="J564"/>
  <c r="K564"/>
  <c r="L498"/>
  <c r="L497" s="1"/>
  <c r="K438"/>
  <c r="J608"/>
  <c r="L609"/>
  <c r="L608" s="1"/>
  <c r="K608"/>
  <c r="L621"/>
  <c r="K620"/>
  <c r="K619" s="1"/>
  <c r="L620"/>
  <c r="L619" s="1"/>
  <c r="J620"/>
  <c r="J619" s="1"/>
  <c r="L475"/>
  <c r="K474"/>
  <c r="K473" s="1"/>
  <c r="K727" s="1"/>
  <c r="H28" i="12" s="1"/>
  <c r="L474" i="13"/>
  <c r="L473" s="1"/>
  <c r="L727" s="1"/>
  <c r="I28" i="12" s="1"/>
  <c r="J474" i="13"/>
  <c r="J473" s="1"/>
  <c r="J727" s="1"/>
  <c r="G28" i="12" s="1"/>
  <c r="L479" i="13"/>
  <c r="K478"/>
  <c r="K477" s="1"/>
  <c r="L478"/>
  <c r="L477" s="1"/>
  <c r="J478"/>
  <c r="J477" s="1"/>
  <c r="L567"/>
  <c r="J566"/>
  <c r="L566"/>
  <c r="K566"/>
  <c r="K563"/>
  <c r="K577"/>
  <c r="K651"/>
  <c r="K427"/>
  <c r="L639"/>
  <c r="L638" s="1"/>
  <c r="L637"/>
  <c r="K638"/>
  <c r="J638"/>
  <c r="K636"/>
  <c r="L636"/>
  <c r="J636"/>
  <c r="L613"/>
  <c r="L612" s="1"/>
  <c r="J612"/>
  <c r="K612"/>
  <c r="K610"/>
  <c r="K141"/>
  <c r="K127"/>
  <c r="K191"/>
  <c r="L189"/>
  <c r="L188"/>
  <c r="K182"/>
  <c r="L182" s="1"/>
  <c r="L181" s="1"/>
  <c r="J181"/>
  <c r="K173"/>
  <c r="K164"/>
  <c r="M130"/>
  <c r="N130"/>
  <c r="J130"/>
  <c r="L132"/>
  <c r="K131"/>
  <c r="K130" s="1"/>
  <c r="K120"/>
  <c r="P28" i="26"/>
  <c r="P27"/>
  <c r="R19"/>
  <c r="R8"/>
  <c r="S25"/>
  <c r="Q23"/>
  <c r="S23"/>
  <c r="Q22"/>
  <c r="P22" s="1"/>
  <c r="S27"/>
  <c r="S28" s="1"/>
  <c r="R27"/>
  <c r="Q27"/>
  <c r="P26"/>
  <c r="N26"/>
  <c r="M26" s="1"/>
  <c r="J26"/>
  <c r="P25"/>
  <c r="S24"/>
  <c r="R24"/>
  <c r="Q24"/>
  <c r="O24"/>
  <c r="O27" s="1"/>
  <c r="L24"/>
  <c r="L27" s="1"/>
  <c r="K24"/>
  <c r="K27" s="1"/>
  <c r="I24"/>
  <c r="I27" s="1"/>
  <c r="H24"/>
  <c r="H27" s="1"/>
  <c r="G24"/>
  <c r="G27" s="1"/>
  <c r="P23"/>
  <c r="M23"/>
  <c r="J23"/>
  <c r="P21"/>
  <c r="M21"/>
  <c r="J21"/>
  <c r="P20"/>
  <c r="P19"/>
  <c r="J19"/>
  <c r="P18"/>
  <c r="J18"/>
  <c r="P17"/>
  <c r="N17"/>
  <c r="M17"/>
  <c r="J17"/>
  <c r="P16"/>
  <c r="M16"/>
  <c r="J16"/>
  <c r="P15"/>
  <c r="M15"/>
  <c r="J15"/>
  <c r="J24" s="1"/>
  <c r="J27" s="1"/>
  <c r="P14"/>
  <c r="M14"/>
  <c r="P13"/>
  <c r="M13"/>
  <c r="R12"/>
  <c r="P12" s="1"/>
  <c r="M12"/>
  <c r="R11"/>
  <c r="R28" s="1"/>
  <c r="O11"/>
  <c r="N11"/>
  <c r="M11" s="1"/>
  <c r="L11"/>
  <c r="J11"/>
  <c r="I11"/>
  <c r="G11"/>
  <c r="P10"/>
  <c r="P9"/>
  <c r="N9"/>
  <c r="M9" s="1"/>
  <c r="J9"/>
  <c r="P8"/>
  <c r="K365" i="13" l="1"/>
  <c r="J729"/>
  <c r="K729"/>
  <c r="L729"/>
  <c r="F60" i="25"/>
  <c r="F10" s="1"/>
  <c r="E11"/>
  <c r="E10" s="1"/>
  <c r="D10"/>
  <c r="E144"/>
  <c r="E143" s="1"/>
  <c r="N251" i="13"/>
  <c r="N250" s="1"/>
  <c r="L250"/>
  <c r="K607"/>
  <c r="K181"/>
  <c r="K115"/>
  <c r="K114" s="1"/>
  <c r="L131"/>
  <c r="L130" s="1"/>
  <c r="P11" i="26"/>
  <c r="P24"/>
  <c r="Q28"/>
  <c r="N18"/>
  <c r="D221" i="25" l="1"/>
  <c r="D220"/>
  <c r="D225" s="1"/>
  <c r="F221"/>
  <c r="E221" s="1"/>
  <c r="F220"/>
  <c r="F225" s="1"/>
  <c r="E220"/>
  <c r="N19" i="26"/>
  <c r="M19" s="1"/>
  <c r="M18"/>
  <c r="M24" s="1"/>
  <c r="M27" s="1"/>
  <c r="N24"/>
  <c r="N27" s="1"/>
  <c r="E225" i="25" l="1"/>
  <c r="M224"/>
  <c r="M26" i="15"/>
  <c r="M27"/>
  <c r="M28"/>
  <c r="L26"/>
  <c r="C13"/>
  <c r="C14"/>
  <c r="C15"/>
  <c r="C16"/>
  <c r="C17"/>
  <c r="C18"/>
  <c r="C19"/>
  <c r="C20"/>
  <c r="C21"/>
  <c r="C22"/>
  <c r="C12"/>
  <c r="C27"/>
  <c r="C26"/>
  <c r="N33"/>
  <c r="M33"/>
  <c r="L33"/>
  <c r="C33"/>
  <c r="E32"/>
  <c r="F32"/>
  <c r="G32"/>
  <c r="H32"/>
  <c r="I32"/>
  <c r="J32"/>
  <c r="L32"/>
  <c r="M32"/>
  <c r="N32"/>
  <c r="D32"/>
  <c r="C32" s="1"/>
  <c r="F11"/>
  <c r="L22"/>
  <c r="M22"/>
  <c r="K22" s="1"/>
  <c r="N22"/>
  <c r="N21"/>
  <c r="M21"/>
  <c r="L21"/>
  <c r="M25" l="1"/>
  <c r="K33"/>
  <c r="K32" s="1"/>
  <c r="K21"/>
  <c r="L31" l="1"/>
  <c r="L27"/>
  <c r="L28"/>
  <c r="L13"/>
  <c r="L14"/>
  <c r="L15"/>
  <c r="L16"/>
  <c r="L17"/>
  <c r="L18"/>
  <c r="L19"/>
  <c r="L20"/>
  <c r="L12"/>
  <c r="D25"/>
  <c r="D24" s="1"/>
  <c r="L30"/>
  <c r="D11"/>
  <c r="D30"/>
  <c r="H30" i="12"/>
  <c r="I30"/>
  <c r="G30"/>
  <c r="J23"/>
  <c r="J345" i="13"/>
  <c r="H28"/>
  <c r="I28"/>
  <c r="J280"/>
  <c r="K280"/>
  <c r="D23" i="15" l="1"/>
  <c r="D35" s="1"/>
  <c r="G11" l="1"/>
  <c r="H11"/>
  <c r="G30"/>
  <c r="H30"/>
  <c r="L500" i="13"/>
  <c r="K499"/>
  <c r="L499"/>
  <c r="J499"/>
  <c r="L563"/>
  <c r="K562"/>
  <c r="L562"/>
  <c r="J562"/>
  <c r="M564"/>
  <c r="J25"/>
  <c r="K25"/>
  <c r="L26"/>
  <c r="L25" s="1"/>
  <c r="G16" i="21"/>
  <c r="G15" s="1"/>
  <c r="G14" s="1"/>
  <c r="F31"/>
  <c r="E31"/>
  <c r="D31"/>
  <c r="C31"/>
  <c r="D29"/>
  <c r="C29"/>
  <c r="G28"/>
  <c r="G27" s="1"/>
  <c r="F28"/>
  <c r="E28"/>
  <c r="D28"/>
  <c r="C28"/>
  <c r="F27"/>
  <c r="E27"/>
  <c r="D27"/>
  <c r="C27"/>
  <c r="G25"/>
  <c r="F25"/>
  <c r="F24" s="1"/>
  <c r="F23" s="1"/>
  <c r="E25"/>
  <c r="D25"/>
  <c r="C25"/>
  <c r="G24"/>
  <c r="E24"/>
  <c r="D24"/>
  <c r="D23" s="1"/>
  <c r="C24"/>
  <c r="E23"/>
  <c r="C23"/>
  <c r="G21"/>
  <c r="F22"/>
  <c r="E22"/>
  <c r="E21" s="1"/>
  <c r="D22"/>
  <c r="D21" s="1"/>
  <c r="D18" s="1"/>
  <c r="C22"/>
  <c r="C21" s="1"/>
  <c r="F21"/>
  <c r="F20"/>
  <c r="F19" s="1"/>
  <c r="F18" s="1"/>
  <c r="E19"/>
  <c r="E18" s="1"/>
  <c r="D19"/>
  <c r="C19"/>
  <c r="C18" s="1"/>
  <c r="E15"/>
  <c r="D15"/>
  <c r="F14"/>
  <c r="E14"/>
  <c r="D14"/>
  <c r="C14"/>
  <c r="E13"/>
  <c r="E12" s="1"/>
  <c r="E11" s="1"/>
  <c r="E10" s="1"/>
  <c r="E9" s="1"/>
  <c r="D13"/>
  <c r="D12" s="1"/>
  <c r="C13"/>
  <c r="G12"/>
  <c r="F12"/>
  <c r="F11" s="1"/>
  <c r="F10" s="1"/>
  <c r="F9" s="1"/>
  <c r="C12"/>
  <c r="C11" s="1"/>
  <c r="C10" s="1"/>
  <c r="C9" s="1"/>
  <c r="L311" i="13"/>
  <c r="L310" s="1"/>
  <c r="K310"/>
  <c r="J310"/>
  <c r="G11" i="21" l="1"/>
  <c r="D11"/>
  <c r="D10" s="1"/>
  <c r="D9" s="1"/>
  <c r="G23"/>
  <c r="K561" i="13"/>
  <c r="J561"/>
  <c r="G18" i="21"/>
  <c r="G10" s="1"/>
  <c r="G9" s="1"/>
  <c r="L253" i="13" l="1"/>
  <c r="K252"/>
  <c r="K249" s="1"/>
  <c r="L252"/>
  <c r="L249" s="1"/>
  <c r="J252"/>
  <c r="J249" s="1"/>
  <c r="L646"/>
  <c r="K645"/>
  <c r="L645"/>
  <c r="J645"/>
  <c r="L522"/>
  <c r="L521" s="1"/>
  <c r="K521"/>
  <c r="J521"/>
  <c r="L546"/>
  <c r="L545" s="1"/>
  <c r="K545"/>
  <c r="J545"/>
  <c r="L542"/>
  <c r="L541" s="1"/>
  <c r="K541"/>
  <c r="J541"/>
  <c r="J150"/>
  <c r="K150"/>
  <c r="J492" l="1"/>
  <c r="K492"/>
  <c r="K345"/>
  <c r="M31" i="15"/>
  <c r="K27"/>
  <c r="K26"/>
  <c r="E25"/>
  <c r="E24" s="1"/>
  <c r="G25"/>
  <c r="G24" s="1"/>
  <c r="G23" s="1"/>
  <c r="H25"/>
  <c r="H24" s="1"/>
  <c r="H23" s="1"/>
  <c r="I25"/>
  <c r="I24" s="1"/>
  <c r="J25"/>
  <c r="J24" s="1"/>
  <c r="M24"/>
  <c r="F31"/>
  <c r="L152" i="13"/>
  <c r="F28" i="15"/>
  <c r="H79" i="12"/>
  <c r="I79" s="1"/>
  <c r="H67"/>
  <c r="H68"/>
  <c r="H69"/>
  <c r="H70"/>
  <c r="I34"/>
  <c r="L495" i="13"/>
  <c r="L706"/>
  <c r="L705" s="1"/>
  <c r="L704" s="1"/>
  <c r="L703" s="1"/>
  <c r="L642"/>
  <c r="G640"/>
  <c r="H640"/>
  <c r="I640"/>
  <c r="K641"/>
  <c r="K640" s="1"/>
  <c r="J641"/>
  <c r="J640" s="1"/>
  <c r="L154"/>
  <c r="L692"/>
  <c r="J581"/>
  <c r="J576"/>
  <c r="J575" s="1"/>
  <c r="J572"/>
  <c r="J570"/>
  <c r="J569" s="1"/>
  <c r="J559"/>
  <c r="J558" s="1"/>
  <c r="J557" s="1"/>
  <c r="J556" s="1"/>
  <c r="J540"/>
  <c r="L540" s="1"/>
  <c r="N540" s="1"/>
  <c r="N539" s="1"/>
  <c r="N538" s="1"/>
  <c r="J530"/>
  <c r="J529" s="1"/>
  <c r="J506"/>
  <c r="L506" s="1"/>
  <c r="J461"/>
  <c r="L461" s="1"/>
  <c r="L460" s="1"/>
  <c r="J397"/>
  <c r="J396" s="1"/>
  <c r="J385"/>
  <c r="L385" s="1"/>
  <c r="J384"/>
  <c r="J339"/>
  <c r="J269"/>
  <c r="J265"/>
  <c r="J256"/>
  <c r="J235"/>
  <c r="J227"/>
  <c r="L227" s="1"/>
  <c r="J190"/>
  <c r="L190" s="1"/>
  <c r="N190" s="1"/>
  <c r="J191"/>
  <c r="J161"/>
  <c r="J141"/>
  <c r="L127"/>
  <c r="J119"/>
  <c r="L119" s="1"/>
  <c r="L29"/>
  <c r="E11" i="15"/>
  <c r="C11" s="1"/>
  <c r="I11"/>
  <c r="J11"/>
  <c r="M12"/>
  <c r="N12"/>
  <c r="M13"/>
  <c r="N13"/>
  <c r="M14"/>
  <c r="N14"/>
  <c r="K14" s="1"/>
  <c r="M15"/>
  <c r="N15"/>
  <c r="M16"/>
  <c r="N16"/>
  <c r="K16" s="1"/>
  <c r="M17"/>
  <c r="N17"/>
  <c r="M18"/>
  <c r="N18"/>
  <c r="M19"/>
  <c r="N19"/>
  <c r="M20"/>
  <c r="N20"/>
  <c r="K20" s="1"/>
  <c r="N28"/>
  <c r="N25" s="1"/>
  <c r="N24" s="1"/>
  <c r="C29"/>
  <c r="K29"/>
  <c r="E30"/>
  <c r="F30"/>
  <c r="I30"/>
  <c r="J30"/>
  <c r="M30"/>
  <c r="C34"/>
  <c r="K34"/>
  <c r="L763" i="13"/>
  <c r="K763"/>
  <c r="H66" i="12" s="1"/>
  <c r="J763" i="13"/>
  <c r="N718"/>
  <c r="M718"/>
  <c r="G714"/>
  <c r="K705"/>
  <c r="K704" s="1"/>
  <c r="K703" s="1"/>
  <c r="J705"/>
  <c r="I705"/>
  <c r="I704" s="1"/>
  <c r="I703" s="1"/>
  <c r="I702" s="1"/>
  <c r="H705"/>
  <c r="H704" s="1"/>
  <c r="H703" s="1"/>
  <c r="H702" s="1"/>
  <c r="G705"/>
  <c r="G704" s="1"/>
  <c r="G703" s="1"/>
  <c r="J704"/>
  <c r="J703" s="1"/>
  <c r="J702" s="1"/>
  <c r="L701"/>
  <c r="N701" s="1"/>
  <c r="N700" s="1"/>
  <c r="N699" s="1"/>
  <c r="N698" s="1"/>
  <c r="N697" s="1"/>
  <c r="M700"/>
  <c r="M699" s="1"/>
  <c r="M698" s="1"/>
  <c r="M697" s="1"/>
  <c r="L700"/>
  <c r="K700"/>
  <c r="K699" s="1"/>
  <c r="K698" s="1"/>
  <c r="K697" s="1"/>
  <c r="J700"/>
  <c r="J699" s="1"/>
  <c r="J698" s="1"/>
  <c r="J697" s="1"/>
  <c r="I700"/>
  <c r="I699" s="1"/>
  <c r="I698" s="1"/>
  <c r="I697" s="1"/>
  <c r="H700"/>
  <c r="H699" s="1"/>
  <c r="H698" s="1"/>
  <c r="H697" s="1"/>
  <c r="G700"/>
  <c r="G699" s="1"/>
  <c r="G698" s="1"/>
  <c r="L699"/>
  <c r="L698" s="1"/>
  <c r="L697" s="1"/>
  <c r="L696"/>
  <c r="N696" s="1"/>
  <c r="N695" s="1"/>
  <c r="N694" s="1"/>
  <c r="N693" s="1"/>
  <c r="M695"/>
  <c r="K695"/>
  <c r="J695"/>
  <c r="I695"/>
  <c r="H695"/>
  <c r="G695"/>
  <c r="M694"/>
  <c r="K694"/>
  <c r="J694"/>
  <c r="I694"/>
  <c r="H694"/>
  <c r="G694"/>
  <c r="M693"/>
  <c r="K693"/>
  <c r="J693"/>
  <c r="I693"/>
  <c r="H693"/>
  <c r="G693"/>
  <c r="J691"/>
  <c r="J690" s="1"/>
  <c r="J689" s="1"/>
  <c r="I691"/>
  <c r="I690" s="1"/>
  <c r="I689" s="1"/>
  <c r="H691"/>
  <c r="H690" s="1"/>
  <c r="H689" s="1"/>
  <c r="G691"/>
  <c r="G690" s="1"/>
  <c r="G689" s="1"/>
  <c r="P686"/>
  <c r="L686"/>
  <c r="L685" s="1"/>
  <c r="K685"/>
  <c r="J685"/>
  <c r="L684"/>
  <c r="N684" s="1"/>
  <c r="N683" s="1"/>
  <c r="M683"/>
  <c r="L683"/>
  <c r="K683"/>
  <c r="J683"/>
  <c r="I683"/>
  <c r="H683"/>
  <c r="G683"/>
  <c r="L682"/>
  <c r="N682" s="1"/>
  <c r="N681" s="1"/>
  <c r="N680" s="1"/>
  <c r="G682"/>
  <c r="G681" s="1"/>
  <c r="M681"/>
  <c r="J681"/>
  <c r="I681"/>
  <c r="H681"/>
  <c r="L679"/>
  <c r="L678" s="1"/>
  <c r="K678"/>
  <c r="J678"/>
  <c r="L677"/>
  <c r="L676" s="1"/>
  <c r="K676"/>
  <c r="J676"/>
  <c r="M675"/>
  <c r="M674" s="1"/>
  <c r="M673" s="1"/>
  <c r="L675"/>
  <c r="P675" s="1"/>
  <c r="G675"/>
  <c r="G674" s="1"/>
  <c r="G673" s="1"/>
  <c r="I674"/>
  <c r="H674"/>
  <c r="H673" s="1"/>
  <c r="I673"/>
  <c r="L670"/>
  <c r="P670" s="1"/>
  <c r="K669"/>
  <c r="J669"/>
  <c r="J668" s="1"/>
  <c r="K668"/>
  <c r="L667"/>
  <c r="P667" s="1"/>
  <c r="K666"/>
  <c r="J666"/>
  <c r="L665"/>
  <c r="N665" s="1"/>
  <c r="N664" s="1"/>
  <c r="N663" s="1"/>
  <c r="N662" s="1"/>
  <c r="M664"/>
  <c r="K664"/>
  <c r="J664"/>
  <c r="I664"/>
  <c r="I663" s="1"/>
  <c r="I662" s="1"/>
  <c r="H664"/>
  <c r="G664"/>
  <c r="G663" s="1"/>
  <c r="M663"/>
  <c r="M662" s="1"/>
  <c r="K663"/>
  <c r="K662" s="1"/>
  <c r="H663"/>
  <c r="H662" s="1"/>
  <c r="G662"/>
  <c r="M657"/>
  <c r="L657"/>
  <c r="P657" s="1"/>
  <c r="M656"/>
  <c r="K656"/>
  <c r="J656"/>
  <c r="I656"/>
  <c r="H656"/>
  <c r="G656"/>
  <c r="M655"/>
  <c r="K655"/>
  <c r="J655"/>
  <c r="I655"/>
  <c r="H655"/>
  <c r="G655"/>
  <c r="M654"/>
  <c r="K654"/>
  <c r="J654"/>
  <c r="I654"/>
  <c r="H654"/>
  <c r="G654"/>
  <c r="M653"/>
  <c r="K653"/>
  <c r="J653"/>
  <c r="I653"/>
  <c r="H653"/>
  <c r="G653"/>
  <c r="L651"/>
  <c r="L650" s="1"/>
  <c r="L649" s="1"/>
  <c r="L648" s="1"/>
  <c r="K650"/>
  <c r="K649" s="1"/>
  <c r="K648" s="1"/>
  <c r="J650"/>
  <c r="I650"/>
  <c r="I649" s="1"/>
  <c r="I648" s="1"/>
  <c r="H650"/>
  <c r="H649" s="1"/>
  <c r="H648" s="1"/>
  <c r="G650"/>
  <c r="G649" s="1"/>
  <c r="G648" s="1"/>
  <c r="J649"/>
  <c r="J648" s="1"/>
  <c r="L644"/>
  <c r="N644" s="1"/>
  <c r="N643" s="1"/>
  <c r="N640" s="1"/>
  <c r="M643"/>
  <c r="K643"/>
  <c r="J643"/>
  <c r="I643"/>
  <c r="H643"/>
  <c r="G643"/>
  <c r="M640"/>
  <c r="J635"/>
  <c r="L635" s="1"/>
  <c r="M634"/>
  <c r="K634"/>
  <c r="I634"/>
  <c r="H634"/>
  <c r="L633"/>
  <c r="N633" s="1"/>
  <c r="N632" s="1"/>
  <c r="N631" s="1"/>
  <c r="M632"/>
  <c r="K632"/>
  <c r="J632"/>
  <c r="I632"/>
  <c r="H632"/>
  <c r="G632"/>
  <c r="M631"/>
  <c r="K631"/>
  <c r="J631"/>
  <c r="I631"/>
  <c r="H631"/>
  <c r="G631"/>
  <c r="J630"/>
  <c r="L630" s="1"/>
  <c r="N630" s="1"/>
  <c r="M629"/>
  <c r="K629"/>
  <c r="I629"/>
  <c r="H629"/>
  <c r="G629"/>
  <c r="J628"/>
  <c r="L628" s="1"/>
  <c r="N628" s="1"/>
  <c r="N627" s="1"/>
  <c r="M627"/>
  <c r="K627"/>
  <c r="I627"/>
  <c r="H627"/>
  <c r="J626"/>
  <c r="L626" s="1"/>
  <c r="N626" s="1"/>
  <c r="J625"/>
  <c r="L625" s="1"/>
  <c r="G625"/>
  <c r="G624" s="1"/>
  <c r="G623" s="1"/>
  <c r="M624"/>
  <c r="K624"/>
  <c r="I624"/>
  <c r="H624"/>
  <c r="L617"/>
  <c r="N617" s="1"/>
  <c r="N616" s="1"/>
  <c r="N615" s="1"/>
  <c r="N614" s="1"/>
  <c r="N754" s="1"/>
  <c r="M616"/>
  <c r="K616"/>
  <c r="J616"/>
  <c r="I616"/>
  <c r="H616"/>
  <c r="G616"/>
  <c r="M615"/>
  <c r="K615"/>
  <c r="J615"/>
  <c r="I615"/>
  <c r="H615"/>
  <c r="G615"/>
  <c r="M614"/>
  <c r="K614"/>
  <c r="J614"/>
  <c r="I614"/>
  <c r="H614"/>
  <c r="G614"/>
  <c r="G754" s="1"/>
  <c r="J611"/>
  <c r="G611"/>
  <c r="M610"/>
  <c r="I610"/>
  <c r="I607" s="1"/>
  <c r="I606" s="1"/>
  <c r="H610"/>
  <c r="G610"/>
  <c r="G607" s="1"/>
  <c r="G606" s="1"/>
  <c r="M607"/>
  <c r="K606"/>
  <c r="H607"/>
  <c r="H606" s="1"/>
  <c r="L605"/>
  <c r="N605" s="1"/>
  <c r="N604" s="1"/>
  <c r="N603" s="1"/>
  <c r="N602" s="1"/>
  <c r="M604"/>
  <c r="K604"/>
  <c r="J604"/>
  <c r="I604"/>
  <c r="H604"/>
  <c r="G604"/>
  <c r="M603"/>
  <c r="K603"/>
  <c r="J603"/>
  <c r="I603"/>
  <c r="H603"/>
  <c r="G603"/>
  <c r="M602"/>
  <c r="K602"/>
  <c r="J602"/>
  <c r="I602"/>
  <c r="H602"/>
  <c r="G602"/>
  <c r="L601"/>
  <c r="L600" s="1"/>
  <c r="L599" s="1"/>
  <c r="L598" s="1"/>
  <c r="K600"/>
  <c r="K599" s="1"/>
  <c r="K598" s="1"/>
  <c r="J600"/>
  <c r="J599" s="1"/>
  <c r="J598" s="1"/>
  <c r="I600"/>
  <c r="I599" s="1"/>
  <c r="I598" s="1"/>
  <c r="H600"/>
  <c r="H599" s="1"/>
  <c r="H598" s="1"/>
  <c r="G600"/>
  <c r="G599" s="1"/>
  <c r="G598" s="1"/>
  <c r="L597"/>
  <c r="N597" s="1"/>
  <c r="N596" s="1"/>
  <c r="N595" s="1"/>
  <c r="N594" s="1"/>
  <c r="M596"/>
  <c r="K596"/>
  <c r="J596"/>
  <c r="I596"/>
  <c r="H596"/>
  <c r="G596"/>
  <c r="M595"/>
  <c r="K595"/>
  <c r="J595"/>
  <c r="I595"/>
  <c r="H595"/>
  <c r="G595"/>
  <c r="M594"/>
  <c r="M747" s="1"/>
  <c r="K594"/>
  <c r="K747" s="1"/>
  <c r="J594"/>
  <c r="J747" s="1"/>
  <c r="I594"/>
  <c r="I747" s="1"/>
  <c r="H594"/>
  <c r="H747" s="1"/>
  <c r="G594"/>
  <c r="G747" s="1"/>
  <c r="L593"/>
  <c r="L592" s="1"/>
  <c r="K592"/>
  <c r="J592"/>
  <c r="K591"/>
  <c r="L591" s="1"/>
  <c r="L590"/>
  <c r="N590" s="1"/>
  <c r="M589"/>
  <c r="J589"/>
  <c r="J588" s="1"/>
  <c r="M588"/>
  <c r="L586"/>
  <c r="N586" s="1"/>
  <c r="N585" s="1"/>
  <c r="N584" s="1"/>
  <c r="M585"/>
  <c r="K585"/>
  <c r="J585"/>
  <c r="I585"/>
  <c r="H585"/>
  <c r="G585"/>
  <c r="M584"/>
  <c r="K584"/>
  <c r="J584"/>
  <c r="I584"/>
  <c r="H584"/>
  <c r="G584"/>
  <c r="L583"/>
  <c r="N583" s="1"/>
  <c r="N582" s="1"/>
  <c r="G583"/>
  <c r="G582" s="1"/>
  <c r="M582"/>
  <c r="K582"/>
  <c r="J582"/>
  <c r="I582"/>
  <c r="H582"/>
  <c r="L581"/>
  <c r="M580"/>
  <c r="K580"/>
  <c r="J580"/>
  <c r="I580"/>
  <c r="H580"/>
  <c r="G580"/>
  <c r="M579"/>
  <c r="K579"/>
  <c r="K578" s="1"/>
  <c r="J579"/>
  <c r="I579"/>
  <c r="I578" s="1"/>
  <c r="H579"/>
  <c r="G579"/>
  <c r="L577"/>
  <c r="N577" s="1"/>
  <c r="N576" s="1"/>
  <c r="M576"/>
  <c r="K576"/>
  <c r="K575" s="1"/>
  <c r="I576"/>
  <c r="H576"/>
  <c r="G576"/>
  <c r="L574"/>
  <c r="G574"/>
  <c r="L573"/>
  <c r="K573"/>
  <c r="J573"/>
  <c r="I573"/>
  <c r="H573"/>
  <c r="G573"/>
  <c r="L572"/>
  <c r="G572"/>
  <c r="L571"/>
  <c r="K571"/>
  <c r="J571"/>
  <c r="I571"/>
  <c r="H571"/>
  <c r="G571"/>
  <c r="G570"/>
  <c r="G569" s="1"/>
  <c r="M569"/>
  <c r="K569"/>
  <c r="I569"/>
  <c r="H569"/>
  <c r="M568"/>
  <c r="N566"/>
  <c r="L565"/>
  <c r="L564" s="1"/>
  <c r="L559"/>
  <c r="M558"/>
  <c r="M557" s="1"/>
  <c r="M556" s="1"/>
  <c r="K558"/>
  <c r="K557" s="1"/>
  <c r="K556" s="1"/>
  <c r="I558"/>
  <c r="I557" s="1"/>
  <c r="I556" s="1"/>
  <c r="H558"/>
  <c r="H557" s="1"/>
  <c r="H556" s="1"/>
  <c r="J554"/>
  <c r="L554" s="1"/>
  <c r="L553" s="1"/>
  <c r="K553"/>
  <c r="J552"/>
  <c r="L552" s="1"/>
  <c r="N552" s="1"/>
  <c r="J551"/>
  <c r="L551" s="1"/>
  <c r="M550"/>
  <c r="M549" s="1"/>
  <c r="M738" s="1"/>
  <c r="K550"/>
  <c r="I550"/>
  <c r="I549" s="1"/>
  <c r="I738" s="1"/>
  <c r="H550"/>
  <c r="H549" s="1"/>
  <c r="H738" s="1"/>
  <c r="G550"/>
  <c r="G549" s="1"/>
  <c r="G738" s="1"/>
  <c r="L548"/>
  <c r="N548" s="1"/>
  <c r="N547" s="1"/>
  <c r="N544" s="1"/>
  <c r="N543" s="1"/>
  <c r="N737" s="1"/>
  <c r="M547"/>
  <c r="K547"/>
  <c r="K544" s="1"/>
  <c r="K543" s="1"/>
  <c r="J547"/>
  <c r="J544" s="1"/>
  <c r="J543" s="1"/>
  <c r="I547"/>
  <c r="H547"/>
  <c r="G547"/>
  <c r="M544"/>
  <c r="I544"/>
  <c r="I543" s="1"/>
  <c r="I737" s="1"/>
  <c r="H544"/>
  <c r="H543" s="1"/>
  <c r="H737" s="1"/>
  <c r="G544"/>
  <c r="G543" s="1"/>
  <c r="G737" s="1"/>
  <c r="M543"/>
  <c r="M737" s="1"/>
  <c r="M539"/>
  <c r="K539"/>
  <c r="J539"/>
  <c r="I539"/>
  <c r="H539"/>
  <c r="G539"/>
  <c r="M538"/>
  <c r="K538"/>
  <c r="J538"/>
  <c r="I538"/>
  <c r="H538"/>
  <c r="G538"/>
  <c r="J537"/>
  <c r="L537" s="1"/>
  <c r="M536"/>
  <c r="K536"/>
  <c r="I536"/>
  <c r="H536"/>
  <c r="G536"/>
  <c r="M535"/>
  <c r="M534" s="1"/>
  <c r="K535"/>
  <c r="J535"/>
  <c r="J534" s="1"/>
  <c r="K534"/>
  <c r="I534"/>
  <c r="H534"/>
  <c r="G534"/>
  <c r="L532"/>
  <c r="N532" s="1"/>
  <c r="N531" s="1"/>
  <c r="M531"/>
  <c r="K531"/>
  <c r="J531"/>
  <c r="I531"/>
  <c r="H531"/>
  <c r="G531"/>
  <c r="L530"/>
  <c r="N530" s="1"/>
  <c r="N529" s="1"/>
  <c r="M529"/>
  <c r="K529"/>
  <c r="I529"/>
  <c r="H529"/>
  <c r="G529"/>
  <c r="L527"/>
  <c r="N527" s="1"/>
  <c r="N526" s="1"/>
  <c r="M526"/>
  <c r="K526"/>
  <c r="J526"/>
  <c r="I526"/>
  <c r="H526"/>
  <c r="L525"/>
  <c r="N525" s="1"/>
  <c r="N524" s="1"/>
  <c r="N523" s="1"/>
  <c r="G525"/>
  <c r="G524" s="1"/>
  <c r="G523" s="1"/>
  <c r="M524"/>
  <c r="J524"/>
  <c r="J523" s="1"/>
  <c r="I524"/>
  <c r="I523" s="1"/>
  <c r="H524"/>
  <c r="H523" s="1"/>
  <c r="M523"/>
  <c r="L520"/>
  <c r="N520" s="1"/>
  <c r="L519"/>
  <c r="N519" s="1"/>
  <c r="L518"/>
  <c r="N518" s="1"/>
  <c r="L517"/>
  <c r="N517" s="1"/>
  <c r="M516"/>
  <c r="K516"/>
  <c r="J516"/>
  <c r="I516"/>
  <c r="H516"/>
  <c r="L515"/>
  <c r="N515" s="1"/>
  <c r="R514"/>
  <c r="L514"/>
  <c r="N514" s="1"/>
  <c r="M513"/>
  <c r="K513"/>
  <c r="J513"/>
  <c r="L509"/>
  <c r="N509" s="1"/>
  <c r="N508" s="1"/>
  <c r="R508"/>
  <c r="M508"/>
  <c r="K508"/>
  <c r="J508"/>
  <c r="I508"/>
  <c r="H508"/>
  <c r="M505"/>
  <c r="K505"/>
  <c r="I505"/>
  <c r="H505"/>
  <c r="L504"/>
  <c r="N504" s="1"/>
  <c r="N503" s="1"/>
  <c r="M503"/>
  <c r="K503"/>
  <c r="K502" s="1"/>
  <c r="J503"/>
  <c r="I503"/>
  <c r="H503"/>
  <c r="G503"/>
  <c r="G735" s="1"/>
  <c r="N498"/>
  <c r="N497" s="1"/>
  <c r="N496" s="1"/>
  <c r="M497"/>
  <c r="K497"/>
  <c r="J497"/>
  <c r="I497"/>
  <c r="H497"/>
  <c r="G497"/>
  <c r="M496"/>
  <c r="K496"/>
  <c r="J496"/>
  <c r="I496"/>
  <c r="H496"/>
  <c r="G496"/>
  <c r="L494"/>
  <c r="L493"/>
  <c r="N493" s="1"/>
  <c r="N492" s="1"/>
  <c r="H493"/>
  <c r="G493"/>
  <c r="M492"/>
  <c r="I492"/>
  <c r="H492"/>
  <c r="G492"/>
  <c r="M491"/>
  <c r="M490" s="1"/>
  <c r="I491"/>
  <c r="J491" s="1"/>
  <c r="L491" s="1"/>
  <c r="G491"/>
  <c r="G490" s="1"/>
  <c r="K490"/>
  <c r="H490"/>
  <c r="J488"/>
  <c r="L488" s="1"/>
  <c r="M487"/>
  <c r="M486" s="1"/>
  <c r="M732" s="1"/>
  <c r="K487"/>
  <c r="K486" s="1"/>
  <c r="K732" s="1"/>
  <c r="H32" i="12" s="1"/>
  <c r="I32" s="1"/>
  <c r="I487" i="13"/>
  <c r="I486" s="1"/>
  <c r="I732" s="1"/>
  <c r="H487"/>
  <c r="H486" s="1"/>
  <c r="L485"/>
  <c r="N485" s="1"/>
  <c r="N484" s="1"/>
  <c r="N483" s="1"/>
  <c r="N731" s="1"/>
  <c r="M484"/>
  <c r="K484"/>
  <c r="J484"/>
  <c r="I484"/>
  <c r="H484"/>
  <c r="G484"/>
  <c r="M483"/>
  <c r="M731" s="1"/>
  <c r="K483"/>
  <c r="K731" s="1"/>
  <c r="J483"/>
  <c r="J731" s="1"/>
  <c r="I483"/>
  <c r="I731" s="1"/>
  <c r="H483"/>
  <c r="H731" s="1"/>
  <c r="G483"/>
  <c r="G731" s="1"/>
  <c r="L482"/>
  <c r="N482" s="1"/>
  <c r="N481" s="1"/>
  <c r="N480" s="1"/>
  <c r="M481"/>
  <c r="M480" s="1"/>
  <c r="L481"/>
  <c r="L480" s="1"/>
  <c r="L730" s="1"/>
  <c r="K481"/>
  <c r="K480" s="1"/>
  <c r="K730" s="1"/>
  <c r="J481"/>
  <c r="J480" s="1"/>
  <c r="J730" s="1"/>
  <c r="I481"/>
  <c r="I480" s="1"/>
  <c r="H481"/>
  <c r="H480" s="1"/>
  <c r="G481"/>
  <c r="G480" s="1"/>
  <c r="L472"/>
  <c r="N472" s="1"/>
  <c r="N471" s="1"/>
  <c r="N470" s="1"/>
  <c r="N469" s="1"/>
  <c r="N468" s="1"/>
  <c r="M471"/>
  <c r="K471"/>
  <c r="J471"/>
  <c r="I471"/>
  <c r="H471"/>
  <c r="G471"/>
  <c r="M470"/>
  <c r="K470"/>
  <c r="J470"/>
  <c r="I470"/>
  <c r="H470"/>
  <c r="G470"/>
  <c r="M469"/>
  <c r="K469"/>
  <c r="J469"/>
  <c r="I469"/>
  <c r="H469"/>
  <c r="G469"/>
  <c r="M467"/>
  <c r="M466" s="1"/>
  <c r="M465" s="1"/>
  <c r="L467"/>
  <c r="H467"/>
  <c r="H466" s="1"/>
  <c r="H465" s="1"/>
  <c r="L466"/>
  <c r="L465" s="1"/>
  <c r="K466"/>
  <c r="K465" s="1"/>
  <c r="J466"/>
  <c r="J465" s="1"/>
  <c r="I466"/>
  <c r="G466"/>
  <c r="G465" s="1"/>
  <c r="I465"/>
  <c r="P464"/>
  <c r="L464"/>
  <c r="N464" s="1"/>
  <c r="N463" s="1"/>
  <c r="M463"/>
  <c r="K463"/>
  <c r="J463"/>
  <c r="I463"/>
  <c r="H463"/>
  <c r="G463"/>
  <c r="K460"/>
  <c r="P459"/>
  <c r="L459"/>
  <c r="L458" s="1"/>
  <c r="K458"/>
  <c r="J458"/>
  <c r="L457"/>
  <c r="H457"/>
  <c r="H456" s="1"/>
  <c r="H455" s="1"/>
  <c r="L456"/>
  <c r="L455" s="1"/>
  <c r="K456"/>
  <c r="J456"/>
  <c r="J455" s="1"/>
  <c r="I456"/>
  <c r="I455" s="1"/>
  <c r="G456"/>
  <c r="G455" s="1"/>
  <c r="K455"/>
  <c r="P454"/>
  <c r="L454"/>
  <c r="L453" s="1"/>
  <c r="K453"/>
  <c r="J453"/>
  <c r="I453"/>
  <c r="H453"/>
  <c r="G453"/>
  <c r="L451"/>
  <c r="N451" s="1"/>
  <c r="N450" s="1"/>
  <c r="N447" s="1"/>
  <c r="N446" s="1"/>
  <c r="N716" s="1"/>
  <c r="M450"/>
  <c r="M447" s="1"/>
  <c r="M446" s="1"/>
  <c r="M716" s="1"/>
  <c r="K450"/>
  <c r="J450"/>
  <c r="I450"/>
  <c r="I447" s="1"/>
  <c r="I446" s="1"/>
  <c r="I716" s="1"/>
  <c r="H450"/>
  <c r="H447" s="1"/>
  <c r="H446" s="1"/>
  <c r="H716" s="1"/>
  <c r="G450"/>
  <c r="G447" s="1"/>
  <c r="G446" s="1"/>
  <c r="G716" s="1"/>
  <c r="L449"/>
  <c r="L448" s="1"/>
  <c r="K448"/>
  <c r="J448"/>
  <c r="I448"/>
  <c r="H448"/>
  <c r="G448"/>
  <c r="J445"/>
  <c r="L445" s="1"/>
  <c r="M444"/>
  <c r="K444"/>
  <c r="K443" s="1"/>
  <c r="K714" s="1"/>
  <c r="H13" i="12" s="1"/>
  <c r="I444" i="13"/>
  <c r="I443" s="1"/>
  <c r="I714" s="1"/>
  <c r="H444"/>
  <c r="H443" s="1"/>
  <c r="H714" s="1"/>
  <c r="M443"/>
  <c r="M714" s="1"/>
  <c r="J442"/>
  <c r="L442" s="1"/>
  <c r="M441"/>
  <c r="K441"/>
  <c r="I441"/>
  <c r="H441"/>
  <c r="L440"/>
  <c r="N440" s="1"/>
  <c r="N439" s="1"/>
  <c r="M439"/>
  <c r="K439"/>
  <c r="J439"/>
  <c r="I439"/>
  <c r="H439"/>
  <c r="M438"/>
  <c r="M436" s="1"/>
  <c r="M435" s="1"/>
  <c r="L438"/>
  <c r="H438"/>
  <c r="H436" s="1"/>
  <c r="H435" s="1"/>
  <c r="G438"/>
  <c r="G436" s="1"/>
  <c r="G435" s="1"/>
  <c r="L437"/>
  <c r="N437" s="1"/>
  <c r="J436"/>
  <c r="J435" s="1"/>
  <c r="I436"/>
  <c r="I435" s="1"/>
  <c r="P434"/>
  <c r="L434"/>
  <c r="N434" s="1"/>
  <c r="N433" s="1"/>
  <c r="G434"/>
  <c r="M433"/>
  <c r="K433"/>
  <c r="J433"/>
  <c r="I433"/>
  <c r="H433"/>
  <c r="G433"/>
  <c r="M432"/>
  <c r="M431" s="1"/>
  <c r="K432"/>
  <c r="K431" s="1"/>
  <c r="J432"/>
  <c r="J431" s="1"/>
  <c r="I431"/>
  <c r="H431"/>
  <c r="G431"/>
  <c r="L429"/>
  <c r="P429" s="1"/>
  <c r="M428"/>
  <c r="K428"/>
  <c r="J428"/>
  <c r="J425" s="1"/>
  <c r="J424" s="1"/>
  <c r="J712" s="1"/>
  <c r="G11" i="12" s="1"/>
  <c r="I428" i="13"/>
  <c r="H428"/>
  <c r="G428"/>
  <c r="L427"/>
  <c r="P427" s="1"/>
  <c r="M426"/>
  <c r="K426"/>
  <c r="J426"/>
  <c r="I426"/>
  <c r="H426"/>
  <c r="G426"/>
  <c r="L423"/>
  <c r="N423" s="1"/>
  <c r="N422" s="1"/>
  <c r="N421" s="1"/>
  <c r="N420" s="1"/>
  <c r="M422"/>
  <c r="K422"/>
  <c r="J422"/>
  <c r="I422"/>
  <c r="H422"/>
  <c r="G422"/>
  <c r="M421"/>
  <c r="K421"/>
  <c r="J421"/>
  <c r="I421"/>
  <c r="H421"/>
  <c r="G421"/>
  <c r="M420"/>
  <c r="M711" s="1"/>
  <c r="K420"/>
  <c r="K711" s="1"/>
  <c r="H10" i="12" s="1"/>
  <c r="J420" i="13"/>
  <c r="J711" s="1"/>
  <c r="I420"/>
  <c r="I711" s="1"/>
  <c r="H420"/>
  <c r="H711" s="1"/>
  <c r="G420"/>
  <c r="G711" s="1"/>
  <c r="L417"/>
  <c r="N417" s="1"/>
  <c r="N416" s="1"/>
  <c r="M416"/>
  <c r="K416"/>
  <c r="J416"/>
  <c r="I416"/>
  <c r="H416"/>
  <c r="G416"/>
  <c r="L415"/>
  <c r="N415" s="1"/>
  <c r="N414" s="1"/>
  <c r="M414"/>
  <c r="K414"/>
  <c r="J414"/>
  <c r="I414"/>
  <c r="H414"/>
  <c r="G414"/>
  <c r="L410"/>
  <c r="N410" s="1"/>
  <c r="N409" s="1"/>
  <c r="M409"/>
  <c r="K409"/>
  <c r="J409"/>
  <c r="I409"/>
  <c r="H409"/>
  <c r="G409"/>
  <c r="M408"/>
  <c r="M407" s="1"/>
  <c r="L408"/>
  <c r="G408"/>
  <c r="G407" s="1"/>
  <c r="L407"/>
  <c r="K407"/>
  <c r="J407"/>
  <c r="I407"/>
  <c r="H407"/>
  <c r="O405"/>
  <c r="L405"/>
  <c r="M404"/>
  <c r="M403" s="1"/>
  <c r="M402" s="1"/>
  <c r="L404"/>
  <c r="G404"/>
  <c r="G403" s="1"/>
  <c r="G402" s="1"/>
  <c r="K403"/>
  <c r="K402" s="1"/>
  <c r="J403"/>
  <c r="J402" s="1"/>
  <c r="I403"/>
  <c r="I402" s="1"/>
  <c r="H403"/>
  <c r="H402" s="1"/>
  <c r="P401"/>
  <c r="M401"/>
  <c r="M400" s="1"/>
  <c r="L401"/>
  <c r="G401"/>
  <c r="G400" s="1"/>
  <c r="K400"/>
  <c r="J400"/>
  <c r="I400"/>
  <c r="H400"/>
  <c r="L398"/>
  <c r="N398" s="1"/>
  <c r="N397" s="1"/>
  <c r="N396" s="1"/>
  <c r="M397"/>
  <c r="M396" s="1"/>
  <c r="K397"/>
  <c r="K394" s="1"/>
  <c r="I397"/>
  <c r="I396" s="1"/>
  <c r="H397"/>
  <c r="H396" s="1"/>
  <c r="G397"/>
  <c r="G396" s="1"/>
  <c r="M395"/>
  <c r="L395"/>
  <c r="M394"/>
  <c r="J394"/>
  <c r="I394"/>
  <c r="H394"/>
  <c r="G394"/>
  <c r="P393"/>
  <c r="L393"/>
  <c r="N393" s="1"/>
  <c r="N392" s="1"/>
  <c r="G393"/>
  <c r="G392" s="1"/>
  <c r="M392"/>
  <c r="K392"/>
  <c r="J392"/>
  <c r="I392"/>
  <c r="H392"/>
  <c r="P391"/>
  <c r="L391"/>
  <c r="N391" s="1"/>
  <c r="N390" s="1"/>
  <c r="G391"/>
  <c r="M390"/>
  <c r="K390"/>
  <c r="J390"/>
  <c r="I390"/>
  <c r="H390"/>
  <c r="G390"/>
  <c r="P389"/>
  <c r="L389"/>
  <c r="N389" s="1"/>
  <c r="N388" s="1"/>
  <c r="G389"/>
  <c r="G388" s="1"/>
  <c r="M388"/>
  <c r="K388"/>
  <c r="J388"/>
  <c r="I388"/>
  <c r="H388"/>
  <c r="P387"/>
  <c r="L387"/>
  <c r="N387" s="1"/>
  <c r="N386" s="1"/>
  <c r="G387"/>
  <c r="M386"/>
  <c r="K386"/>
  <c r="J386"/>
  <c r="I386"/>
  <c r="H386"/>
  <c r="G386"/>
  <c r="P385"/>
  <c r="L384"/>
  <c r="K383"/>
  <c r="J383"/>
  <c r="P382"/>
  <c r="L382"/>
  <c r="L381" s="1"/>
  <c r="K381"/>
  <c r="J381"/>
  <c r="P380"/>
  <c r="L380"/>
  <c r="L379" s="1"/>
  <c r="K379"/>
  <c r="J379"/>
  <c r="P378"/>
  <c r="L378"/>
  <c r="N378" s="1"/>
  <c r="N377" s="1"/>
  <c r="M377"/>
  <c r="M375" s="1"/>
  <c r="K377"/>
  <c r="K375" s="1"/>
  <c r="J377"/>
  <c r="I377"/>
  <c r="I375" s="1"/>
  <c r="H377"/>
  <c r="H375" s="1"/>
  <c r="G377"/>
  <c r="L376"/>
  <c r="N376" s="1"/>
  <c r="G376"/>
  <c r="J375"/>
  <c r="J374"/>
  <c r="L374" s="1"/>
  <c r="G374"/>
  <c r="L373"/>
  <c r="N373" s="1"/>
  <c r="G373"/>
  <c r="G372" s="1"/>
  <c r="M372"/>
  <c r="K372"/>
  <c r="I372"/>
  <c r="H372"/>
  <c r="P371"/>
  <c r="L371"/>
  <c r="N371" s="1"/>
  <c r="N370" s="1"/>
  <c r="G371"/>
  <c r="G370" s="1"/>
  <c r="M370"/>
  <c r="K370"/>
  <c r="J370"/>
  <c r="I370"/>
  <c r="H370"/>
  <c r="L369"/>
  <c r="N369" s="1"/>
  <c r="N368" s="1"/>
  <c r="M368"/>
  <c r="K368"/>
  <c r="J368"/>
  <c r="I368"/>
  <c r="H368"/>
  <c r="G368"/>
  <c r="P367"/>
  <c r="L367"/>
  <c r="M365"/>
  <c r="I365"/>
  <c r="H365"/>
  <c r="G365"/>
  <c r="L364"/>
  <c r="N364" s="1"/>
  <c r="L363"/>
  <c r="N363" s="1"/>
  <c r="G363"/>
  <c r="G362" s="1"/>
  <c r="M362"/>
  <c r="K362"/>
  <c r="J362"/>
  <c r="I362"/>
  <c r="H362"/>
  <c r="L361"/>
  <c r="N361" s="1"/>
  <c r="N360" s="1"/>
  <c r="G361"/>
  <c r="M360"/>
  <c r="K360"/>
  <c r="J360"/>
  <c r="I360"/>
  <c r="H360"/>
  <c r="G360"/>
  <c r="L359"/>
  <c r="N359" s="1"/>
  <c r="N358" s="1"/>
  <c r="M358"/>
  <c r="K358"/>
  <c r="J358"/>
  <c r="I358"/>
  <c r="H358"/>
  <c r="G358"/>
  <c r="L357"/>
  <c r="N357" s="1"/>
  <c r="N356" s="1"/>
  <c r="G357"/>
  <c r="M356"/>
  <c r="K356"/>
  <c r="J356"/>
  <c r="I356"/>
  <c r="H356"/>
  <c r="G356"/>
  <c r="P355"/>
  <c r="L355"/>
  <c r="N355" s="1"/>
  <c r="L354"/>
  <c r="N354" s="1"/>
  <c r="M353"/>
  <c r="K353"/>
  <c r="J353"/>
  <c r="I353"/>
  <c r="H353"/>
  <c r="G353"/>
  <c r="L352"/>
  <c r="N352" s="1"/>
  <c r="N351" s="1"/>
  <c r="M351"/>
  <c r="K351"/>
  <c r="J351"/>
  <c r="I351"/>
  <c r="H351"/>
  <c r="G351"/>
  <c r="J349"/>
  <c r="L349" s="1"/>
  <c r="M348"/>
  <c r="K348"/>
  <c r="I348"/>
  <c r="H348"/>
  <c r="G348"/>
  <c r="O346"/>
  <c r="L346"/>
  <c r="M344"/>
  <c r="M343" s="1"/>
  <c r="M342" s="1"/>
  <c r="L344"/>
  <c r="G344"/>
  <c r="G343" s="1"/>
  <c r="G342" s="1"/>
  <c r="L343"/>
  <c r="L342" s="1"/>
  <c r="K343"/>
  <c r="J343"/>
  <c r="J342" s="1"/>
  <c r="I343"/>
  <c r="I342" s="1"/>
  <c r="H343"/>
  <c r="H342" s="1"/>
  <c r="K342"/>
  <c r="J341"/>
  <c r="L341" s="1"/>
  <c r="M340"/>
  <c r="K340"/>
  <c r="I340"/>
  <c r="H340"/>
  <c r="G340"/>
  <c r="L339"/>
  <c r="N339" s="1"/>
  <c r="N338" s="1"/>
  <c r="G339"/>
  <c r="G338" s="1"/>
  <c r="M338"/>
  <c r="K338"/>
  <c r="J338"/>
  <c r="I338"/>
  <c r="H338"/>
  <c r="P336"/>
  <c r="L336"/>
  <c r="L335" s="1"/>
  <c r="K335"/>
  <c r="J335"/>
  <c r="L334"/>
  <c r="N334" s="1"/>
  <c r="N333" s="1"/>
  <c r="G334"/>
  <c r="M333"/>
  <c r="K333"/>
  <c r="J333"/>
  <c r="I333"/>
  <c r="H333"/>
  <c r="G333"/>
  <c r="L332"/>
  <c r="G332"/>
  <c r="M331"/>
  <c r="M330" s="1"/>
  <c r="M758" s="1"/>
  <c r="K331"/>
  <c r="J331"/>
  <c r="I331"/>
  <c r="I330" s="1"/>
  <c r="I758" s="1"/>
  <c r="H331"/>
  <c r="G331"/>
  <c r="G330" s="1"/>
  <c r="G758" s="1"/>
  <c r="P328"/>
  <c r="L328"/>
  <c r="N328" s="1"/>
  <c r="N327" s="1"/>
  <c r="N326" s="1"/>
  <c r="N325" s="1"/>
  <c r="M327"/>
  <c r="M326" s="1"/>
  <c r="M325" s="1"/>
  <c r="L327"/>
  <c r="K327"/>
  <c r="K326" s="1"/>
  <c r="K325" s="1"/>
  <c r="J327"/>
  <c r="J326" s="1"/>
  <c r="J325" s="1"/>
  <c r="I327"/>
  <c r="I326" s="1"/>
  <c r="I325" s="1"/>
  <c r="H327"/>
  <c r="H326" s="1"/>
  <c r="H325" s="1"/>
  <c r="G327"/>
  <c r="G326" s="1"/>
  <c r="G325" s="1"/>
  <c r="L326"/>
  <c r="L325" s="1"/>
  <c r="J324"/>
  <c r="L324" s="1"/>
  <c r="M323"/>
  <c r="K323"/>
  <c r="I323"/>
  <c r="H323"/>
  <c r="G323"/>
  <c r="L322"/>
  <c r="N322" s="1"/>
  <c r="N321" s="1"/>
  <c r="N320" s="1"/>
  <c r="M321"/>
  <c r="K321"/>
  <c r="J321"/>
  <c r="I321"/>
  <c r="H321"/>
  <c r="G321"/>
  <c r="M320"/>
  <c r="K320"/>
  <c r="J320"/>
  <c r="I320"/>
  <c r="H320"/>
  <c r="G320"/>
  <c r="M319"/>
  <c r="K319"/>
  <c r="L316"/>
  <c r="L315" s="1"/>
  <c r="K315"/>
  <c r="J315"/>
  <c r="L314"/>
  <c r="L313" s="1"/>
  <c r="K313"/>
  <c r="J313"/>
  <c r="I313"/>
  <c r="H313"/>
  <c r="G313"/>
  <c r="J308"/>
  <c r="K307"/>
  <c r="P306"/>
  <c r="L306"/>
  <c r="L305" s="1"/>
  <c r="K305"/>
  <c r="J305"/>
  <c r="L304"/>
  <c r="L303" s="1"/>
  <c r="K303"/>
  <c r="J303"/>
  <c r="L299"/>
  <c r="P299" s="1"/>
  <c r="M298"/>
  <c r="M297" s="1"/>
  <c r="M767" s="1"/>
  <c r="K298"/>
  <c r="K297" s="1"/>
  <c r="J298"/>
  <c r="J297" s="1"/>
  <c r="I298"/>
  <c r="H298"/>
  <c r="H297" s="1"/>
  <c r="I297"/>
  <c r="I767" s="1"/>
  <c r="G297"/>
  <c r="G767" s="1"/>
  <c r="G295"/>
  <c r="P294"/>
  <c r="L294"/>
  <c r="N294" s="1"/>
  <c r="N293" s="1"/>
  <c r="N292" s="1"/>
  <c r="N766" s="1"/>
  <c r="M293"/>
  <c r="K293"/>
  <c r="J293"/>
  <c r="I293"/>
  <c r="H293"/>
  <c r="G293"/>
  <c r="M292"/>
  <c r="M766" s="1"/>
  <c r="K292"/>
  <c r="J292"/>
  <c r="I292"/>
  <c r="I766" s="1"/>
  <c r="H292"/>
  <c r="H766" s="1"/>
  <c r="G292"/>
  <c r="G766" s="1"/>
  <c r="L291"/>
  <c r="N291" s="1"/>
  <c r="N290" s="1"/>
  <c r="M290"/>
  <c r="K290"/>
  <c r="J290"/>
  <c r="I290"/>
  <c r="H290"/>
  <c r="G290"/>
  <c r="L289"/>
  <c r="N289" s="1"/>
  <c r="N288" s="1"/>
  <c r="M288"/>
  <c r="K288"/>
  <c r="J288"/>
  <c r="I288"/>
  <c r="H288"/>
  <c r="G288"/>
  <c r="M287"/>
  <c r="M286" s="1"/>
  <c r="L287"/>
  <c r="K286"/>
  <c r="J286"/>
  <c r="I286"/>
  <c r="H286"/>
  <c r="G286"/>
  <c r="M283"/>
  <c r="L283"/>
  <c r="L282" s="1"/>
  <c r="M282"/>
  <c r="K282"/>
  <c r="J282"/>
  <c r="I282"/>
  <c r="H282"/>
  <c r="G282"/>
  <c r="L281"/>
  <c r="M280"/>
  <c r="I280"/>
  <c r="H280"/>
  <c r="G280"/>
  <c r="L277"/>
  <c r="N277" s="1"/>
  <c r="N276" s="1"/>
  <c r="M276"/>
  <c r="K276"/>
  <c r="K275" s="1"/>
  <c r="K274" s="1"/>
  <c r="J276"/>
  <c r="J275" s="1"/>
  <c r="J274" s="1"/>
  <c r="P273"/>
  <c r="L273"/>
  <c r="L272" s="1"/>
  <c r="K272"/>
  <c r="J272"/>
  <c r="L271"/>
  <c r="P270"/>
  <c r="L270"/>
  <c r="K270"/>
  <c r="J270"/>
  <c r="L269"/>
  <c r="L268" s="1"/>
  <c r="K268"/>
  <c r="J268"/>
  <c r="L265"/>
  <c r="N265" s="1"/>
  <c r="N264" s="1"/>
  <c r="M264"/>
  <c r="K264"/>
  <c r="J264"/>
  <c r="I264"/>
  <c r="H264"/>
  <c r="G264"/>
  <c r="L263"/>
  <c r="G263"/>
  <c r="M262"/>
  <c r="M261" s="1"/>
  <c r="K262"/>
  <c r="K261" s="1"/>
  <c r="K260" s="1"/>
  <c r="K259" s="1"/>
  <c r="J262"/>
  <c r="I262"/>
  <c r="I261" s="1"/>
  <c r="I260" s="1"/>
  <c r="I259" s="1"/>
  <c r="H262"/>
  <c r="H261" s="1"/>
  <c r="H260" s="1"/>
  <c r="H259" s="1"/>
  <c r="G262"/>
  <c r="G261" s="1"/>
  <c r="G260" s="1"/>
  <c r="G259" s="1"/>
  <c r="J261"/>
  <c r="J260" s="1"/>
  <c r="J259" s="1"/>
  <c r="L258"/>
  <c r="N258" s="1"/>
  <c r="N257" s="1"/>
  <c r="M257"/>
  <c r="K257"/>
  <c r="J257"/>
  <c r="I257"/>
  <c r="H257"/>
  <c r="L256"/>
  <c r="N256" s="1"/>
  <c r="N255" s="1"/>
  <c r="M255"/>
  <c r="L255"/>
  <c r="K255"/>
  <c r="J255"/>
  <c r="I255"/>
  <c r="H255"/>
  <c r="M254"/>
  <c r="M248" s="1"/>
  <c r="L247"/>
  <c r="N247" s="1"/>
  <c r="N246" s="1"/>
  <c r="N241" s="1"/>
  <c r="M246"/>
  <c r="M241" s="1"/>
  <c r="K246"/>
  <c r="J246"/>
  <c r="J241" s="1"/>
  <c r="J236" s="1"/>
  <c r="I246"/>
  <c r="I241" s="1"/>
  <c r="H246"/>
  <c r="H241" s="1"/>
  <c r="G246"/>
  <c r="G241" s="1"/>
  <c r="L245"/>
  <c r="L244" s="1"/>
  <c r="L242" s="1"/>
  <c r="K244"/>
  <c r="K242" s="1"/>
  <c r="K241" s="1"/>
  <c r="N238"/>
  <c r="N237" s="1"/>
  <c r="N729" s="1"/>
  <c r="M238"/>
  <c r="I238"/>
  <c r="H238"/>
  <c r="G238"/>
  <c r="G237" s="1"/>
  <c r="G730" s="1"/>
  <c r="L235"/>
  <c r="N235" s="1"/>
  <c r="N234" s="1"/>
  <c r="M234"/>
  <c r="K234"/>
  <c r="J234"/>
  <c r="I234"/>
  <c r="H234"/>
  <c r="G234"/>
  <c r="L233"/>
  <c r="N233" s="1"/>
  <c r="N232" s="1"/>
  <c r="M232"/>
  <c r="K232"/>
  <c r="J232"/>
  <c r="I232"/>
  <c r="H232"/>
  <c r="G232"/>
  <c r="L229"/>
  <c r="N229" s="1"/>
  <c r="N228" s="1"/>
  <c r="M228"/>
  <c r="M226" s="1"/>
  <c r="M225" s="1"/>
  <c r="M224" s="1"/>
  <c r="K228"/>
  <c r="K226" s="1"/>
  <c r="K225" s="1"/>
  <c r="J228"/>
  <c r="J226" s="1"/>
  <c r="J225" s="1"/>
  <c r="I228"/>
  <c r="H228"/>
  <c r="G228"/>
  <c r="P227"/>
  <c r="I226"/>
  <c r="I225" s="1"/>
  <c r="I224" s="1"/>
  <c r="H226"/>
  <c r="G226"/>
  <c r="G225" s="1"/>
  <c r="G224" s="1"/>
  <c r="H225"/>
  <c r="H224" s="1"/>
  <c r="M223"/>
  <c r="M222" s="1"/>
  <c r="M221" s="1"/>
  <c r="M220" s="1"/>
  <c r="M719" s="1"/>
  <c r="L223"/>
  <c r="G223"/>
  <c r="G222" s="1"/>
  <c r="G221" s="1"/>
  <c r="G220" s="1"/>
  <c r="G719" s="1"/>
  <c r="L222"/>
  <c r="L221" s="1"/>
  <c r="L220" s="1"/>
  <c r="L719" s="1"/>
  <c r="I18" i="12" s="1"/>
  <c r="K222" i="13"/>
  <c r="K221" s="1"/>
  <c r="K220" s="1"/>
  <c r="K719" s="1"/>
  <c r="H18" i="12" s="1"/>
  <c r="J222" i="13"/>
  <c r="J221" s="1"/>
  <c r="J220" s="1"/>
  <c r="J719" s="1"/>
  <c r="G18" i="12" s="1"/>
  <c r="I222" i="13"/>
  <c r="I221" s="1"/>
  <c r="I220" s="1"/>
  <c r="I719" s="1"/>
  <c r="H222"/>
  <c r="H221" s="1"/>
  <c r="H220" s="1"/>
  <c r="H719" s="1"/>
  <c r="L219"/>
  <c r="P219"/>
  <c r="L218"/>
  <c r="L217" s="1"/>
  <c r="K218"/>
  <c r="J218"/>
  <c r="J217" s="1"/>
  <c r="J216" s="1"/>
  <c r="J718" s="1"/>
  <c r="G17" i="12" s="1"/>
  <c r="K217" i="13"/>
  <c r="K216" s="1"/>
  <c r="K718" s="1"/>
  <c r="H17" i="12" s="1"/>
  <c r="L216" i="13"/>
  <c r="L718" s="1"/>
  <c r="I17" i="12" s="1"/>
  <c r="L215" i="13"/>
  <c r="M214"/>
  <c r="K214"/>
  <c r="J214"/>
  <c r="I214"/>
  <c r="H214"/>
  <c r="G214"/>
  <c r="M213"/>
  <c r="K213"/>
  <c r="J213"/>
  <c r="I213"/>
  <c r="H213"/>
  <c r="G213"/>
  <c r="M212"/>
  <c r="K212"/>
  <c r="J212"/>
  <c r="J717" s="1"/>
  <c r="I212"/>
  <c r="H212"/>
  <c r="H717" s="1"/>
  <c r="G212"/>
  <c r="M211"/>
  <c r="M209" s="1"/>
  <c r="M208" s="1"/>
  <c r="M715" s="1"/>
  <c r="L211"/>
  <c r="P211" s="1"/>
  <c r="G211"/>
  <c r="G209" s="1"/>
  <c r="G208" s="1"/>
  <c r="G715" s="1"/>
  <c r="L210"/>
  <c r="N210" s="1"/>
  <c r="K209"/>
  <c r="J209"/>
  <c r="J208" s="1"/>
  <c r="J715" s="1"/>
  <c r="G14" i="12" s="1"/>
  <c r="I209" i="13"/>
  <c r="I208" s="1"/>
  <c r="I715" s="1"/>
  <c r="H209"/>
  <c r="H208" s="1"/>
  <c r="H715" s="1"/>
  <c r="K208"/>
  <c r="K715" s="1"/>
  <c r="L207"/>
  <c r="N207" s="1"/>
  <c r="N206" s="1"/>
  <c r="M206"/>
  <c r="K206"/>
  <c r="J206"/>
  <c r="J205"/>
  <c r="L205" s="1"/>
  <c r="M204"/>
  <c r="K204"/>
  <c r="I204"/>
  <c r="H204"/>
  <c r="M203"/>
  <c r="L203"/>
  <c r="M202"/>
  <c r="K202"/>
  <c r="J202"/>
  <c r="L201"/>
  <c r="N201" s="1"/>
  <c r="N200" s="1"/>
  <c r="M200"/>
  <c r="K200"/>
  <c r="J200"/>
  <c r="I200"/>
  <c r="H200"/>
  <c r="G200"/>
  <c r="G199" s="1"/>
  <c r="J196"/>
  <c r="L196" s="1"/>
  <c r="L195"/>
  <c r="N195" s="1"/>
  <c r="L194"/>
  <c r="N194" s="1"/>
  <c r="N193" s="1"/>
  <c r="G194"/>
  <c r="G193" s="1"/>
  <c r="G192" s="1"/>
  <c r="M193"/>
  <c r="M192" s="1"/>
  <c r="M187" s="1"/>
  <c r="K193"/>
  <c r="K192" s="1"/>
  <c r="K187" s="1"/>
  <c r="J193"/>
  <c r="I193"/>
  <c r="H193"/>
  <c r="H192" s="1"/>
  <c r="H187" s="1"/>
  <c r="I192"/>
  <c r="I187" s="1"/>
  <c r="P191"/>
  <c r="L191"/>
  <c r="N191" s="1"/>
  <c r="G191"/>
  <c r="L186"/>
  <c r="P185"/>
  <c r="L185"/>
  <c r="N185" s="1"/>
  <c r="N184" s="1"/>
  <c r="G185"/>
  <c r="M184"/>
  <c r="K184"/>
  <c r="J184"/>
  <c r="I184"/>
  <c r="H184"/>
  <c r="G184"/>
  <c r="L180"/>
  <c r="N180" s="1"/>
  <c r="N179" s="1"/>
  <c r="M179"/>
  <c r="K179"/>
  <c r="J179"/>
  <c r="I179"/>
  <c r="H179"/>
  <c r="G179"/>
  <c r="M178"/>
  <c r="K178"/>
  <c r="J178"/>
  <c r="G178"/>
  <c r="M177"/>
  <c r="K177"/>
  <c r="J177"/>
  <c r="I177"/>
  <c r="H177"/>
  <c r="G177"/>
  <c r="L176"/>
  <c r="N176" s="1"/>
  <c r="N175" s="1"/>
  <c r="M175"/>
  <c r="K175"/>
  <c r="J175"/>
  <c r="I175"/>
  <c r="H175"/>
  <c r="G175"/>
  <c r="P173"/>
  <c r="L173"/>
  <c r="N173" s="1"/>
  <c r="L172"/>
  <c r="N172" s="1"/>
  <c r="G172"/>
  <c r="M171"/>
  <c r="M170" s="1"/>
  <c r="K171"/>
  <c r="K170" s="1"/>
  <c r="J171"/>
  <c r="I171"/>
  <c r="I170" s="1"/>
  <c r="H171"/>
  <c r="H170" s="1"/>
  <c r="G171"/>
  <c r="G170" s="1"/>
  <c r="J170"/>
  <c r="L168"/>
  <c r="N168" s="1"/>
  <c r="N167" s="1"/>
  <c r="M167"/>
  <c r="K167"/>
  <c r="J167"/>
  <c r="I167"/>
  <c r="H167"/>
  <c r="G167"/>
  <c r="L166"/>
  <c r="N166" s="1"/>
  <c r="N165" s="1"/>
  <c r="M165"/>
  <c r="K165"/>
  <c r="J165"/>
  <c r="I165"/>
  <c r="H165"/>
  <c r="G165"/>
  <c r="L164"/>
  <c r="P164" s="1"/>
  <c r="G164"/>
  <c r="G163" s="1"/>
  <c r="G162" s="1"/>
  <c r="M163"/>
  <c r="M162" s="1"/>
  <c r="K163"/>
  <c r="K162" s="1"/>
  <c r="J163"/>
  <c r="J162" s="1"/>
  <c r="I163"/>
  <c r="H163"/>
  <c r="H162" s="1"/>
  <c r="I162"/>
  <c r="P161"/>
  <c r="L161"/>
  <c r="L160" s="1"/>
  <c r="K160"/>
  <c r="J160"/>
  <c r="L159"/>
  <c r="N159" s="1"/>
  <c r="G159"/>
  <c r="M158"/>
  <c r="L158"/>
  <c r="M157"/>
  <c r="K157"/>
  <c r="J157"/>
  <c r="I157"/>
  <c r="H157"/>
  <c r="G157"/>
  <c r="M156"/>
  <c r="K156"/>
  <c r="J156"/>
  <c r="I156"/>
  <c r="H156"/>
  <c r="G156"/>
  <c r="N152"/>
  <c r="L151"/>
  <c r="P151" s="1"/>
  <c r="M150"/>
  <c r="M149" s="1"/>
  <c r="M148" s="1"/>
  <c r="J149"/>
  <c r="J148" s="1"/>
  <c r="I150"/>
  <c r="I149" s="1"/>
  <c r="I148" s="1"/>
  <c r="H150"/>
  <c r="G150"/>
  <c r="G149" s="1"/>
  <c r="G148" s="1"/>
  <c r="H149"/>
  <c r="H148" s="1"/>
  <c r="M147"/>
  <c r="M146" s="1"/>
  <c r="L147"/>
  <c r="G147"/>
  <c r="G146" s="1"/>
  <c r="K146"/>
  <c r="J146"/>
  <c r="I146"/>
  <c r="H146"/>
  <c r="L145"/>
  <c r="N145" s="1"/>
  <c r="N144" s="1"/>
  <c r="N143" s="1"/>
  <c r="M144"/>
  <c r="K144"/>
  <c r="J144"/>
  <c r="I144"/>
  <c r="H144"/>
  <c r="G144"/>
  <c r="M143"/>
  <c r="K143"/>
  <c r="K142" s="1"/>
  <c r="J143"/>
  <c r="I143"/>
  <c r="H143"/>
  <c r="G143"/>
  <c r="L141"/>
  <c r="N141" s="1"/>
  <c r="N140" s="1"/>
  <c r="M140"/>
  <c r="K140"/>
  <c r="J140"/>
  <c r="I140"/>
  <c r="H140"/>
  <c r="G140"/>
  <c r="L139"/>
  <c r="N139" s="1"/>
  <c r="N138" s="1"/>
  <c r="M138"/>
  <c r="K138"/>
  <c r="J138"/>
  <c r="I138"/>
  <c r="H138"/>
  <c r="G138"/>
  <c r="L137"/>
  <c r="N137" s="1"/>
  <c r="N136" s="1"/>
  <c r="M136"/>
  <c r="L136"/>
  <c r="K136"/>
  <c r="J136"/>
  <c r="L135"/>
  <c r="N135" s="1"/>
  <c r="N134" s="1"/>
  <c r="M134"/>
  <c r="K134"/>
  <c r="K133" s="1"/>
  <c r="J134"/>
  <c r="I134"/>
  <c r="I133" s="1"/>
  <c r="H134"/>
  <c r="H133" s="1"/>
  <c r="G134"/>
  <c r="G133" s="1"/>
  <c r="L129"/>
  <c r="N129" s="1"/>
  <c r="L128"/>
  <c r="M127"/>
  <c r="M126" s="1"/>
  <c r="M125" s="1"/>
  <c r="K126"/>
  <c r="K125" s="1"/>
  <c r="J126"/>
  <c r="J125" s="1"/>
  <c r="I126"/>
  <c r="I125" s="1"/>
  <c r="H126"/>
  <c r="H125" s="1"/>
  <c r="G126"/>
  <c r="G125" s="1"/>
  <c r="S124"/>
  <c r="P124"/>
  <c r="L124"/>
  <c r="P123"/>
  <c r="L123"/>
  <c r="L122"/>
  <c r="S35" s="1"/>
  <c r="L121"/>
  <c r="L120"/>
  <c r="R122" s="1"/>
  <c r="P119"/>
  <c r="L118"/>
  <c r="M117"/>
  <c r="L117"/>
  <c r="P117" s="1"/>
  <c r="G117"/>
  <c r="O116"/>
  <c r="M116"/>
  <c r="M115" s="1"/>
  <c r="M114" s="1"/>
  <c r="L116"/>
  <c r="G116"/>
  <c r="J115"/>
  <c r="J114" s="1"/>
  <c r="I115"/>
  <c r="I114" s="1"/>
  <c r="H115"/>
  <c r="H114" s="1"/>
  <c r="G115"/>
  <c r="G114" s="1"/>
  <c r="J113"/>
  <c r="L113" s="1"/>
  <c r="M112"/>
  <c r="K112"/>
  <c r="I112"/>
  <c r="H112"/>
  <c r="G112"/>
  <c r="L110"/>
  <c r="N110" s="1"/>
  <c r="G110"/>
  <c r="M109"/>
  <c r="M108" s="1"/>
  <c r="M107" s="1"/>
  <c r="M106" s="1"/>
  <c r="M740" s="1"/>
  <c r="L109"/>
  <c r="G109"/>
  <c r="K108"/>
  <c r="K107" s="1"/>
  <c r="K106" s="1"/>
  <c r="J108"/>
  <c r="J107" s="1"/>
  <c r="J106" s="1"/>
  <c r="I108"/>
  <c r="I107" s="1"/>
  <c r="I106" s="1"/>
  <c r="H108"/>
  <c r="H107" s="1"/>
  <c r="H106" s="1"/>
  <c r="L104"/>
  <c r="N104" s="1"/>
  <c r="N103" s="1"/>
  <c r="N102" s="1"/>
  <c r="G104"/>
  <c r="M103"/>
  <c r="M102" s="1"/>
  <c r="K103"/>
  <c r="K102" s="1"/>
  <c r="J103"/>
  <c r="I103"/>
  <c r="I102" s="1"/>
  <c r="H103"/>
  <c r="H102" s="1"/>
  <c r="G103"/>
  <c r="G102" s="1"/>
  <c r="J102"/>
  <c r="J101"/>
  <c r="L101" s="1"/>
  <c r="N101" s="1"/>
  <c r="N100" s="1"/>
  <c r="G101"/>
  <c r="M100"/>
  <c r="K100"/>
  <c r="J100"/>
  <c r="I100"/>
  <c r="H100"/>
  <c r="G100"/>
  <c r="K96"/>
  <c r="L96" s="1"/>
  <c r="L95" s="1"/>
  <c r="J95"/>
  <c r="L94"/>
  <c r="L93" s="1"/>
  <c r="K93"/>
  <c r="J93"/>
  <c r="L92"/>
  <c r="L91" s="1"/>
  <c r="K91"/>
  <c r="J91"/>
  <c r="L90"/>
  <c r="L89" s="1"/>
  <c r="K89"/>
  <c r="J89"/>
  <c r="L88"/>
  <c r="N88" s="1"/>
  <c r="N87" s="1"/>
  <c r="M87"/>
  <c r="K87"/>
  <c r="J87"/>
  <c r="L86"/>
  <c r="N86" s="1"/>
  <c r="N85" s="1"/>
  <c r="N84" s="1"/>
  <c r="M85"/>
  <c r="K85"/>
  <c r="J85"/>
  <c r="I85"/>
  <c r="H85"/>
  <c r="G85"/>
  <c r="M84"/>
  <c r="K84"/>
  <c r="J84"/>
  <c r="I84"/>
  <c r="I83" s="1"/>
  <c r="I756" s="1"/>
  <c r="H84"/>
  <c r="H83" s="1"/>
  <c r="H756" s="1"/>
  <c r="G84"/>
  <c r="G83" s="1"/>
  <c r="G756" s="1"/>
  <c r="L82"/>
  <c r="L81" s="1"/>
  <c r="K81"/>
  <c r="J81"/>
  <c r="L80"/>
  <c r="L79" s="1"/>
  <c r="K79"/>
  <c r="J79"/>
  <c r="L78"/>
  <c r="L77" s="1"/>
  <c r="K77"/>
  <c r="J77"/>
  <c r="L76"/>
  <c r="L75" s="1"/>
  <c r="K75"/>
  <c r="J75"/>
  <c r="L74"/>
  <c r="L73" s="1"/>
  <c r="K73"/>
  <c r="J73"/>
  <c r="S72"/>
  <c r="L72"/>
  <c r="P72" s="1"/>
  <c r="K71"/>
  <c r="J71"/>
  <c r="L70"/>
  <c r="L69" s="1"/>
  <c r="K69"/>
  <c r="J69"/>
  <c r="L68"/>
  <c r="L67" s="1"/>
  <c r="L66" s="1"/>
  <c r="K67"/>
  <c r="K66" s="1"/>
  <c r="J67"/>
  <c r="J66" s="1"/>
  <c r="I67"/>
  <c r="I66" s="1"/>
  <c r="I65" s="1"/>
  <c r="H67"/>
  <c r="H66" s="1"/>
  <c r="H65" s="1"/>
  <c r="G67"/>
  <c r="G66" s="1"/>
  <c r="G65" s="1"/>
  <c r="P64"/>
  <c r="L64"/>
  <c r="N64" s="1"/>
  <c r="N63" s="1"/>
  <c r="M63"/>
  <c r="K63"/>
  <c r="J63"/>
  <c r="I63"/>
  <c r="H63"/>
  <c r="G63"/>
  <c r="L62"/>
  <c r="P62" s="1"/>
  <c r="M61"/>
  <c r="K61"/>
  <c r="J61"/>
  <c r="I61"/>
  <c r="H61"/>
  <c r="G61"/>
  <c r="P59"/>
  <c r="O59"/>
  <c r="R64" s="1"/>
  <c r="L59"/>
  <c r="N59" s="1"/>
  <c r="N58" s="1"/>
  <c r="N57" s="1"/>
  <c r="G59"/>
  <c r="M58"/>
  <c r="M57" s="1"/>
  <c r="K58"/>
  <c r="K57" s="1"/>
  <c r="J58"/>
  <c r="I58"/>
  <c r="I57" s="1"/>
  <c r="H58"/>
  <c r="H57" s="1"/>
  <c r="G58"/>
  <c r="G57" s="1"/>
  <c r="J57"/>
  <c r="L56"/>
  <c r="N56" s="1"/>
  <c r="N55" s="1"/>
  <c r="M55"/>
  <c r="K55"/>
  <c r="J55"/>
  <c r="L54"/>
  <c r="L53" s="1"/>
  <c r="K53"/>
  <c r="J53"/>
  <c r="L52"/>
  <c r="L51" s="1"/>
  <c r="K51"/>
  <c r="J51"/>
  <c r="M50"/>
  <c r="M49" s="1"/>
  <c r="M48" s="1"/>
  <c r="L50"/>
  <c r="K49"/>
  <c r="J49"/>
  <c r="I49"/>
  <c r="I48" s="1"/>
  <c r="H49"/>
  <c r="H48" s="1"/>
  <c r="G49"/>
  <c r="G48" s="1"/>
  <c r="L47"/>
  <c r="L46" s="1"/>
  <c r="K46"/>
  <c r="J46"/>
  <c r="L45"/>
  <c r="L44" s="1"/>
  <c r="K44"/>
  <c r="J44"/>
  <c r="M43"/>
  <c r="M42" s="1"/>
  <c r="M41" s="1"/>
  <c r="L43"/>
  <c r="I42"/>
  <c r="I41" s="1"/>
  <c r="H42"/>
  <c r="G42"/>
  <c r="G41" s="1"/>
  <c r="H41"/>
  <c r="L39"/>
  <c r="N39" s="1"/>
  <c r="N38" s="1"/>
  <c r="M38"/>
  <c r="K38"/>
  <c r="J38"/>
  <c r="L37"/>
  <c r="L36" s="1"/>
  <c r="K36"/>
  <c r="J36"/>
  <c r="L35"/>
  <c r="L34" s="1"/>
  <c r="S34"/>
  <c r="K34"/>
  <c r="J34"/>
  <c r="L33"/>
  <c r="N33" s="1"/>
  <c r="N32" s="1"/>
  <c r="N31" s="1"/>
  <c r="M32"/>
  <c r="K32"/>
  <c r="J32"/>
  <c r="J31" s="1"/>
  <c r="I32"/>
  <c r="I31" s="1"/>
  <c r="H32"/>
  <c r="H31" s="1"/>
  <c r="G32"/>
  <c r="G31" s="1"/>
  <c r="M31"/>
  <c r="K31"/>
  <c r="L30"/>
  <c r="M29"/>
  <c r="M28" s="1"/>
  <c r="M27" s="1"/>
  <c r="G29"/>
  <c r="I27"/>
  <c r="H27"/>
  <c r="J24"/>
  <c r="L24" s="1"/>
  <c r="M23"/>
  <c r="M22" s="1"/>
  <c r="K23"/>
  <c r="K22" s="1"/>
  <c r="I23"/>
  <c r="I22" s="1"/>
  <c r="H23"/>
  <c r="H22" s="1"/>
  <c r="G23"/>
  <c r="G22" s="1"/>
  <c r="L19"/>
  <c r="N19" s="1"/>
  <c r="N18" s="1"/>
  <c r="M18"/>
  <c r="K18"/>
  <c r="J18"/>
  <c r="I18"/>
  <c r="H18"/>
  <c r="G18"/>
  <c r="L17"/>
  <c r="N17" s="1"/>
  <c r="N16" s="1"/>
  <c r="N15" s="1"/>
  <c r="M16"/>
  <c r="K16"/>
  <c r="J16"/>
  <c r="I16"/>
  <c r="H16"/>
  <c r="G16"/>
  <c r="M15"/>
  <c r="K15"/>
  <c r="J15"/>
  <c r="I15"/>
  <c r="H15"/>
  <c r="G15"/>
  <c r="I70" i="12"/>
  <c r="G70"/>
  <c r="F70"/>
  <c r="E70"/>
  <c r="I69"/>
  <c r="G69"/>
  <c r="F69"/>
  <c r="E69"/>
  <c r="I68"/>
  <c r="G68"/>
  <c r="F68"/>
  <c r="E68"/>
  <c r="I67"/>
  <c r="G67"/>
  <c r="F67"/>
  <c r="E67"/>
  <c r="E66" s="1"/>
  <c r="F65"/>
  <c r="E65"/>
  <c r="F64"/>
  <c r="E64"/>
  <c r="F63"/>
  <c r="E63"/>
  <c r="F62"/>
  <c r="E62"/>
  <c r="F61"/>
  <c r="E61"/>
  <c r="I59"/>
  <c r="H59"/>
  <c r="G59"/>
  <c r="F59"/>
  <c r="E59"/>
  <c r="G57"/>
  <c r="F57"/>
  <c r="E57"/>
  <c r="F55"/>
  <c r="E55"/>
  <c r="F54"/>
  <c r="E54"/>
  <c r="F53"/>
  <c r="E53"/>
  <c r="I51"/>
  <c r="H51"/>
  <c r="G51"/>
  <c r="F51"/>
  <c r="E51"/>
  <c r="G49"/>
  <c r="F49"/>
  <c r="E49"/>
  <c r="F48"/>
  <c r="E48"/>
  <c r="F46"/>
  <c r="E46"/>
  <c r="F45"/>
  <c r="E45"/>
  <c r="F44"/>
  <c r="E44"/>
  <c r="F43"/>
  <c r="E43"/>
  <c r="F42"/>
  <c r="E42"/>
  <c r="F40"/>
  <c r="E40"/>
  <c r="F39"/>
  <c r="E39"/>
  <c r="F38"/>
  <c r="E38"/>
  <c r="F37"/>
  <c r="E37"/>
  <c r="E36" s="1"/>
  <c r="F35"/>
  <c r="E35"/>
  <c r="F34"/>
  <c r="E34"/>
  <c r="F31"/>
  <c r="E31"/>
  <c r="E29" s="1"/>
  <c r="G27"/>
  <c r="F27"/>
  <c r="E27"/>
  <c r="F26"/>
  <c r="E26"/>
  <c r="F25"/>
  <c r="G23"/>
  <c r="F22"/>
  <c r="E22"/>
  <c r="F20"/>
  <c r="E20"/>
  <c r="F19"/>
  <c r="E19"/>
  <c r="F18"/>
  <c r="E18"/>
  <c r="F15"/>
  <c r="E15"/>
  <c r="F14"/>
  <c r="E14"/>
  <c r="F13"/>
  <c r="E13"/>
  <c r="F12"/>
  <c r="E12"/>
  <c r="F11"/>
  <c r="E11"/>
  <c r="G10"/>
  <c r="F10"/>
  <c r="E10"/>
  <c r="N281" i="13" l="1"/>
  <c r="N280" s="1"/>
  <c r="M680"/>
  <c r="K702"/>
  <c r="J231"/>
  <c r="J230" s="1"/>
  <c r="H14" i="12"/>
  <c r="E47"/>
  <c r="J25"/>
  <c r="G25"/>
  <c r="F47"/>
  <c r="N367" i="13"/>
  <c r="N365" s="1"/>
  <c r="L365"/>
  <c r="J413"/>
  <c r="J412" s="1"/>
  <c r="J411" s="1"/>
  <c r="H726"/>
  <c r="H468"/>
  <c r="J726"/>
  <c r="J468"/>
  <c r="M726"/>
  <c r="M468"/>
  <c r="G726"/>
  <c r="G468"/>
  <c r="I726"/>
  <c r="I468"/>
  <c r="K726"/>
  <c r="H27" i="12" s="1"/>
  <c r="K468" i="13"/>
  <c r="G66" i="12"/>
  <c r="O4" i="13"/>
  <c r="H231"/>
  <c r="H230" s="1"/>
  <c r="H425"/>
  <c r="H424" s="1"/>
  <c r="H712" s="1"/>
  <c r="H60"/>
  <c r="H753" s="1"/>
  <c r="M133"/>
  <c r="K183"/>
  <c r="L138"/>
  <c r="G489"/>
  <c r="G733" s="1"/>
  <c r="J627"/>
  <c r="K65"/>
  <c r="K755" s="1"/>
  <c r="H58" i="12" s="1"/>
  <c r="G231" i="13"/>
  <c r="G230" s="1"/>
  <c r="I231"/>
  <c r="I230" s="1"/>
  <c r="K231"/>
  <c r="K230" s="1"/>
  <c r="L611"/>
  <c r="L610" s="1"/>
  <c r="L607" s="1"/>
  <c r="J610"/>
  <c r="J607" s="1"/>
  <c r="J606" s="1"/>
  <c r="G111"/>
  <c r="G741" s="1"/>
  <c r="K111"/>
  <c r="J28"/>
  <c r="M231"/>
  <c r="M230" s="1"/>
  <c r="H57" i="12"/>
  <c r="K28" i="13"/>
  <c r="K27" s="1"/>
  <c r="K21" s="1"/>
  <c r="N50"/>
  <c r="N49" s="1"/>
  <c r="N48" s="1"/>
  <c r="J65"/>
  <c r="J755" s="1"/>
  <c r="G58" i="12" s="1"/>
  <c r="N109" i="13"/>
  <c r="G108"/>
  <c r="G107" s="1"/>
  <c r="G106" s="1"/>
  <c r="G740" s="1"/>
  <c r="I155"/>
  <c r="I744" s="1"/>
  <c r="L157"/>
  <c r="L156" s="1"/>
  <c r="I199"/>
  <c r="L228"/>
  <c r="L232"/>
  <c r="H319"/>
  <c r="I490"/>
  <c r="H489"/>
  <c r="H733" s="1"/>
  <c r="J568"/>
  <c r="J560" s="1"/>
  <c r="G28"/>
  <c r="G27" s="1"/>
  <c r="G21" s="1"/>
  <c r="P29"/>
  <c r="L28"/>
  <c r="L27" s="1"/>
  <c r="H142"/>
  <c r="I489"/>
  <c r="I476" s="1"/>
  <c r="K568"/>
  <c r="K560" s="1"/>
  <c r="K555" s="1"/>
  <c r="K489"/>
  <c r="K476" s="1"/>
  <c r="K155"/>
  <c r="K744" s="1"/>
  <c r="H46" i="12" s="1"/>
  <c r="K174" i="13"/>
  <c r="K169" s="1"/>
  <c r="I49" i="12"/>
  <c r="I66"/>
  <c r="F25" i="15"/>
  <c r="F24" s="1"/>
  <c r="C28"/>
  <c r="C25" s="1"/>
  <c r="N31"/>
  <c r="N30" s="1"/>
  <c r="C31"/>
  <c r="C30" s="1"/>
  <c r="N11"/>
  <c r="I23"/>
  <c r="K13"/>
  <c r="K12"/>
  <c r="K18"/>
  <c r="M23"/>
  <c r="C24"/>
  <c r="C23" s="1"/>
  <c r="K19"/>
  <c r="K17"/>
  <c r="K15"/>
  <c r="J23"/>
  <c r="F23"/>
  <c r="F35" s="1"/>
  <c r="E23"/>
  <c r="E35" s="1"/>
  <c r="K28"/>
  <c r="K25" s="1"/>
  <c r="K24" s="1"/>
  <c r="L25"/>
  <c r="L24" s="1"/>
  <c r="L23" s="1"/>
  <c r="H35"/>
  <c r="N23"/>
  <c r="K31"/>
  <c r="K30" s="1"/>
  <c r="L561" i="13"/>
  <c r="M489"/>
  <c r="M279"/>
  <c r="M764" s="1"/>
  <c r="H740"/>
  <c r="I337"/>
  <c r="I759" s="1"/>
  <c r="I452"/>
  <c r="G533"/>
  <c r="J629"/>
  <c r="K254"/>
  <c r="M260"/>
  <c r="M259" s="1"/>
  <c r="J267"/>
  <c r="J266" s="1"/>
  <c r="L267"/>
  <c r="L266" s="1"/>
  <c r="K330"/>
  <c r="K758" s="1"/>
  <c r="H61" i="12" s="1"/>
  <c r="J340" i="13"/>
  <c r="J337" s="1"/>
  <c r="P346"/>
  <c r="L388"/>
  <c r="N401"/>
  <c r="N400" s="1"/>
  <c r="H406"/>
  <c r="H399" s="1"/>
  <c r="J406"/>
  <c r="I406"/>
  <c r="K406"/>
  <c r="H413"/>
  <c r="H412" s="1"/>
  <c r="M413"/>
  <c r="M412" s="1"/>
  <c r="M411" s="1"/>
  <c r="H462"/>
  <c r="H721" s="1"/>
  <c r="G502"/>
  <c r="H502"/>
  <c r="M528"/>
  <c r="K533"/>
  <c r="G568"/>
  <c r="M606"/>
  <c r="H623"/>
  <c r="L632"/>
  <c r="L631" s="1"/>
  <c r="H680"/>
  <c r="H725"/>
  <c r="E724" s="1"/>
  <c r="N205"/>
  <c r="N204" s="1"/>
  <c r="L204"/>
  <c r="G14"/>
  <c r="G13" s="1"/>
  <c r="K14"/>
  <c r="K13" s="1"/>
  <c r="M155"/>
  <c r="M744" s="1"/>
  <c r="I183"/>
  <c r="I174" s="1"/>
  <c r="J192"/>
  <c r="J187" s="1"/>
  <c r="J183" s="1"/>
  <c r="J174" s="1"/>
  <c r="L193"/>
  <c r="L200"/>
  <c r="K199"/>
  <c r="J204"/>
  <c r="H254"/>
  <c r="H248" s="1"/>
  <c r="J254"/>
  <c r="J248" s="1"/>
  <c r="I254"/>
  <c r="I248" s="1"/>
  <c r="H279"/>
  <c r="J279"/>
  <c r="G279"/>
  <c r="G764" s="1"/>
  <c r="I279"/>
  <c r="I764" s="1"/>
  <c r="H285"/>
  <c r="H284" s="1"/>
  <c r="H765" s="1"/>
  <c r="L298"/>
  <c r="L297" s="1"/>
  <c r="L296" s="1"/>
  <c r="N299"/>
  <c r="N298" s="1"/>
  <c r="N297" s="1"/>
  <c r="N767" s="1"/>
  <c r="K312"/>
  <c r="M318"/>
  <c r="N353"/>
  <c r="N362"/>
  <c r="G413"/>
  <c r="G725" s="1"/>
  <c r="I413"/>
  <c r="I412" s="1"/>
  <c r="K413"/>
  <c r="K412" s="1"/>
  <c r="K411" s="1"/>
  <c r="K447"/>
  <c r="K446" s="1"/>
  <c r="K716" s="1"/>
  <c r="H15" i="12" s="1"/>
  <c r="G452" i="13"/>
  <c r="J462"/>
  <c r="J721" s="1"/>
  <c r="L484"/>
  <c r="L483" s="1"/>
  <c r="L731" s="1"/>
  <c r="L503"/>
  <c r="I502"/>
  <c r="M502"/>
  <c r="M533"/>
  <c r="L604"/>
  <c r="L603" s="1"/>
  <c r="L602" s="1"/>
  <c r="L616"/>
  <c r="L615" s="1"/>
  <c r="L614" s="1"/>
  <c r="J674"/>
  <c r="J673" s="1"/>
  <c r="G412"/>
  <c r="G411" s="1"/>
  <c r="I725"/>
  <c r="J99"/>
  <c r="J98" s="1"/>
  <c r="H99"/>
  <c r="H98" s="1"/>
  <c r="M99"/>
  <c r="M98" s="1"/>
  <c r="H183"/>
  <c r="H350"/>
  <c r="H347" s="1"/>
  <c r="G462"/>
  <c r="G721" s="1"/>
  <c r="K462"/>
  <c r="K721" s="1"/>
  <c r="M623"/>
  <c r="M622" s="1"/>
  <c r="M618" s="1"/>
  <c r="J528"/>
  <c r="L492"/>
  <c r="I27" i="12"/>
  <c r="I14" i="13"/>
  <c r="I13" s="1"/>
  <c r="J42"/>
  <c r="J41" s="1"/>
  <c r="J60"/>
  <c r="J753" s="1"/>
  <c r="G55" i="12" s="1"/>
  <c r="K95" i="13"/>
  <c r="K83" s="1"/>
  <c r="K756" s="1"/>
  <c r="G142"/>
  <c r="I142"/>
  <c r="J142"/>
  <c r="N147"/>
  <c r="N146" s="1"/>
  <c r="L184"/>
  <c r="J312"/>
  <c r="L351"/>
  <c r="L353"/>
  <c r="I350"/>
  <c r="L370"/>
  <c r="N404"/>
  <c r="N403" s="1"/>
  <c r="N402" s="1"/>
  <c r="P405"/>
  <c r="N413"/>
  <c r="N412" s="1"/>
  <c r="N411" s="1"/>
  <c r="L426"/>
  <c r="N427"/>
  <c r="N426" s="1"/>
  <c r="M425"/>
  <c r="M424" s="1"/>
  <c r="M712" s="1"/>
  <c r="H430"/>
  <c r="J487"/>
  <c r="J486" s="1"/>
  <c r="J732" s="1"/>
  <c r="L508"/>
  <c r="I533"/>
  <c r="J536"/>
  <c r="J533" s="1"/>
  <c r="I568"/>
  <c r="M578"/>
  <c r="H672"/>
  <c r="H746" s="1"/>
  <c r="J680"/>
  <c r="I680"/>
  <c r="I672" s="1"/>
  <c r="I746" s="1"/>
  <c r="L641"/>
  <c r="L640" s="1"/>
  <c r="E25" i="12"/>
  <c r="K149" i="13"/>
  <c r="K148" s="1"/>
  <c r="L11" i="15"/>
  <c r="L35" s="1"/>
  <c r="I35"/>
  <c r="M11"/>
  <c r="J35"/>
  <c r="G35"/>
  <c r="I57" i="12"/>
  <c r="E9"/>
  <c r="F29"/>
  <c r="E52"/>
  <c r="E60"/>
  <c r="F66"/>
  <c r="I10"/>
  <c r="H622" i="13"/>
  <c r="H618" s="1"/>
  <c r="N726"/>
  <c r="M21"/>
  <c r="M751" s="1"/>
  <c r="N14"/>
  <c r="H14"/>
  <c r="J14"/>
  <c r="J13" s="1"/>
  <c r="M14"/>
  <c r="I21"/>
  <c r="S30"/>
  <c r="J27"/>
  <c r="L38"/>
  <c r="J48"/>
  <c r="G99"/>
  <c r="G98" s="1"/>
  <c r="I99"/>
  <c r="I98" s="1"/>
  <c r="K99"/>
  <c r="K98" s="1"/>
  <c r="I740"/>
  <c r="K740"/>
  <c r="H42" i="12" s="1"/>
  <c r="I111" i="13"/>
  <c r="I741" s="1"/>
  <c r="M142"/>
  <c r="G743"/>
  <c r="I743"/>
  <c r="M743"/>
  <c r="H155"/>
  <c r="H744" s="1"/>
  <c r="L163"/>
  <c r="L162" s="1"/>
  <c r="G155"/>
  <c r="G744" s="1"/>
  <c r="N164"/>
  <c r="N163" s="1"/>
  <c r="N162" s="1"/>
  <c r="H174"/>
  <c r="H761" s="1"/>
  <c r="L209"/>
  <c r="L208" s="1"/>
  <c r="L715" s="1"/>
  <c r="I14" i="12" s="1"/>
  <c r="N231" i="13"/>
  <c r="N230" s="1"/>
  <c r="H237"/>
  <c r="H236" s="1"/>
  <c r="G31" i="12"/>
  <c r="I237" i="13"/>
  <c r="H31" i="12"/>
  <c r="J285" i="13"/>
  <c r="J284" s="1"/>
  <c r="J302"/>
  <c r="J301" s="1"/>
  <c r="K318"/>
  <c r="G319"/>
  <c r="G318" s="1"/>
  <c r="I319"/>
  <c r="I318" s="1"/>
  <c r="M337"/>
  <c r="M759" s="1"/>
  <c r="M350"/>
  <c r="M347" s="1"/>
  <c r="M760" s="1"/>
  <c r="L362"/>
  <c r="L392"/>
  <c r="I399"/>
  <c r="I762" s="1"/>
  <c r="K399"/>
  <c r="K762" s="1"/>
  <c r="H65" i="12" s="1"/>
  <c r="G406" i="13"/>
  <c r="G399" s="1"/>
  <c r="G762" s="1"/>
  <c r="M406"/>
  <c r="L409"/>
  <c r="L406" s="1"/>
  <c r="L414"/>
  <c r="L416"/>
  <c r="G425"/>
  <c r="I425"/>
  <c r="I424" s="1"/>
  <c r="K425"/>
  <c r="G430"/>
  <c r="G713" s="1"/>
  <c r="J444"/>
  <c r="J443" s="1"/>
  <c r="J714" s="1"/>
  <c r="G13" i="12" s="1"/>
  <c r="H452" i="13"/>
  <c r="J460"/>
  <c r="J452" s="1"/>
  <c r="J720" s="1"/>
  <c r="G21" i="12" s="1"/>
  <c r="I462" i="13"/>
  <c r="I721" s="1"/>
  <c r="M462"/>
  <c r="M721" s="1"/>
  <c r="L471"/>
  <c r="L470" s="1"/>
  <c r="L469" s="1"/>
  <c r="L468" s="1"/>
  <c r="I528"/>
  <c r="K549"/>
  <c r="K738" s="1"/>
  <c r="H40" i="12" s="1"/>
  <c r="I40" s="1"/>
  <c r="M560" i="13"/>
  <c r="L570"/>
  <c r="N570" s="1"/>
  <c r="N569" s="1"/>
  <c r="N568" s="1"/>
  <c r="H578"/>
  <c r="L582"/>
  <c r="G578"/>
  <c r="G555" s="1"/>
  <c r="L585"/>
  <c r="L584" s="1"/>
  <c r="J624"/>
  <c r="J623" s="1"/>
  <c r="I623"/>
  <c r="I622" s="1"/>
  <c r="K623"/>
  <c r="M672"/>
  <c r="M671" s="1"/>
  <c r="M652" s="1"/>
  <c r="K674"/>
  <c r="K673" s="1"/>
  <c r="L153"/>
  <c r="L150" s="1"/>
  <c r="L149" s="1"/>
  <c r="L148" s="1"/>
  <c r="F36" i="12"/>
  <c r="F41"/>
  <c r="F52"/>
  <c r="F60"/>
  <c r="H40" i="13"/>
  <c r="H752" s="1"/>
  <c r="G40"/>
  <c r="G752" s="1"/>
  <c r="I40"/>
  <c r="I752" s="1"/>
  <c r="M83"/>
  <c r="M756" s="1"/>
  <c r="N99"/>
  <c r="N98" s="1"/>
  <c r="J740"/>
  <c r="G42" i="12" s="1"/>
  <c r="H743" i="13"/>
  <c r="H169"/>
  <c r="G187"/>
  <c r="K350"/>
  <c r="K347" s="1"/>
  <c r="I430"/>
  <c r="M430"/>
  <c r="H587"/>
  <c r="G680"/>
  <c r="G672" s="1"/>
  <c r="N151"/>
  <c r="N150" s="1"/>
  <c r="N149" s="1"/>
  <c r="N148" s="1"/>
  <c r="N743" s="1"/>
  <c r="J578"/>
  <c r="K528"/>
  <c r="N730"/>
  <c r="L383"/>
  <c r="K337"/>
  <c r="L338"/>
  <c r="K279"/>
  <c r="K267"/>
  <c r="K266" s="1"/>
  <c r="L234"/>
  <c r="L231" s="1"/>
  <c r="L230" s="1"/>
  <c r="J155"/>
  <c r="J744" s="1"/>
  <c r="G46" i="12" s="1"/>
  <c r="P4" i="13"/>
  <c r="L140"/>
  <c r="T116"/>
  <c r="H13"/>
  <c r="M13"/>
  <c r="N171"/>
  <c r="N170" s="1"/>
  <c r="P263"/>
  <c r="N263"/>
  <c r="N262" s="1"/>
  <c r="N261" s="1"/>
  <c r="L262"/>
  <c r="L261" s="1"/>
  <c r="N287"/>
  <c r="N286" s="1"/>
  <c r="L286"/>
  <c r="L308"/>
  <c r="L307" s="1"/>
  <c r="J307"/>
  <c r="N341"/>
  <c r="N340" s="1"/>
  <c r="L340"/>
  <c r="N445"/>
  <c r="N444" s="1"/>
  <c r="N443" s="1"/>
  <c r="N714" s="1"/>
  <c r="L444"/>
  <c r="L443" s="1"/>
  <c r="L714" s="1"/>
  <c r="I13" i="12" s="1"/>
  <c r="N565" i="13"/>
  <c r="N564" s="1"/>
  <c r="K772"/>
  <c r="H74" i="12" s="1"/>
  <c r="K647" i="13"/>
  <c r="H671"/>
  <c r="H652" s="1"/>
  <c r="I671"/>
  <c r="I652" s="1"/>
  <c r="F9" i="12"/>
  <c r="F81" s="1"/>
  <c r="E41"/>
  <c r="N43" i="13"/>
  <c r="N42" s="1"/>
  <c r="N41" s="1"/>
  <c r="P43"/>
  <c r="K42"/>
  <c r="K41" s="1"/>
  <c r="L49"/>
  <c r="M40"/>
  <c r="M752" s="1"/>
  <c r="L48"/>
  <c r="L58"/>
  <c r="L57" s="1"/>
  <c r="L61"/>
  <c r="N62"/>
  <c r="N61" s="1"/>
  <c r="M60"/>
  <c r="M753" s="1"/>
  <c r="L71"/>
  <c r="L65" s="1"/>
  <c r="L755" s="1"/>
  <c r="I58" i="12" s="1"/>
  <c r="J83" i="13"/>
  <c r="J756" s="1"/>
  <c r="L87"/>
  <c r="L103"/>
  <c r="L102" s="1"/>
  <c r="L108"/>
  <c r="L107" s="1"/>
  <c r="L106" s="1"/>
  <c r="H111"/>
  <c r="N133"/>
  <c r="L144"/>
  <c r="L143" s="1"/>
  <c r="L146"/>
  <c r="L171"/>
  <c r="L170" s="1"/>
  <c r="L178"/>
  <c r="L177" s="1"/>
  <c r="M183"/>
  <c r="M174" s="1"/>
  <c r="M199"/>
  <c r="L206"/>
  <c r="G236"/>
  <c r="G285"/>
  <c r="G284" s="1"/>
  <c r="I285"/>
  <c r="I284" s="1"/>
  <c r="I765" s="1"/>
  <c r="K285"/>
  <c r="K284" s="1"/>
  <c r="J278"/>
  <c r="L312"/>
  <c r="H318"/>
  <c r="G337"/>
  <c r="G759" s="1"/>
  <c r="M399"/>
  <c r="M762" s="1"/>
  <c r="L674"/>
  <c r="L673" s="1"/>
  <c r="H764"/>
  <c r="H275"/>
  <c r="H274" s="1"/>
  <c r="K776"/>
  <c r="H76" i="12" s="1"/>
  <c r="K296" i="13"/>
  <c r="N332"/>
  <c r="N331" s="1"/>
  <c r="N330" s="1"/>
  <c r="L331"/>
  <c r="G712"/>
  <c r="G424"/>
  <c r="I712"/>
  <c r="P438"/>
  <c r="L436"/>
  <c r="L435" s="1"/>
  <c r="N488"/>
  <c r="N487" s="1"/>
  <c r="N486" s="1"/>
  <c r="N732" s="1"/>
  <c r="L487"/>
  <c r="L486" s="1"/>
  <c r="L732" s="1"/>
  <c r="N537"/>
  <c r="N536" s="1"/>
  <c r="L536"/>
  <c r="N591"/>
  <c r="N589" s="1"/>
  <c r="N588" s="1"/>
  <c r="N587" s="1"/>
  <c r="L589"/>
  <c r="L588" s="1"/>
  <c r="R525"/>
  <c r="J772"/>
  <c r="J647"/>
  <c r="G742"/>
  <c r="I742"/>
  <c r="H21"/>
  <c r="P50"/>
  <c r="K48"/>
  <c r="K40" s="1"/>
  <c r="K752" s="1"/>
  <c r="G60"/>
  <c r="G753" s="1"/>
  <c r="I60"/>
  <c r="I753" s="1"/>
  <c r="K60"/>
  <c r="K753" s="1"/>
  <c r="H55" i="12" s="1"/>
  <c r="N60" i="13"/>
  <c r="N753" s="1"/>
  <c r="N83"/>
  <c r="N756" s="1"/>
  <c r="M111"/>
  <c r="M105" s="1"/>
  <c r="J133"/>
  <c r="N142"/>
  <c r="G183"/>
  <c r="G174" s="1"/>
  <c r="G761" s="1"/>
  <c r="H199"/>
  <c r="H198" s="1"/>
  <c r="J199"/>
  <c r="J198" s="1"/>
  <c r="N254"/>
  <c r="N248" s="1"/>
  <c r="H337"/>
  <c r="H759" s="1"/>
  <c r="I347"/>
  <c r="I329" s="1"/>
  <c r="I317" s="1"/>
  <c r="G375"/>
  <c r="G350" s="1"/>
  <c r="G347" s="1"/>
  <c r="J399"/>
  <c r="J762" s="1"/>
  <c r="G65" i="12" s="1"/>
  <c r="L452" i="13"/>
  <c r="L720" s="1"/>
  <c r="I21" i="12" s="1"/>
  <c r="N513" i="13"/>
  <c r="H533"/>
  <c r="H512" s="1"/>
  <c r="H501" s="1"/>
  <c r="H734" s="1"/>
  <c r="H555"/>
  <c r="M555"/>
  <c r="H568"/>
  <c r="J587"/>
  <c r="H754"/>
  <c r="J754"/>
  <c r="L754"/>
  <c r="M237"/>
  <c r="K302"/>
  <c r="K301" s="1"/>
  <c r="H330"/>
  <c r="H758" s="1"/>
  <c r="J330"/>
  <c r="L333"/>
  <c r="R401"/>
  <c r="N344"/>
  <c r="N343" s="1"/>
  <c r="N342" s="1"/>
  <c r="L345"/>
  <c r="L356"/>
  <c r="L358"/>
  <c r="L360"/>
  <c r="L386"/>
  <c r="L390"/>
  <c r="L400"/>
  <c r="L403"/>
  <c r="L402" s="1"/>
  <c r="N408"/>
  <c r="N407" s="1"/>
  <c r="N406" s="1"/>
  <c r="S427"/>
  <c r="L428"/>
  <c r="N429"/>
  <c r="N428" s="1"/>
  <c r="N425" s="1"/>
  <c r="N424" s="1"/>
  <c r="N712" s="1"/>
  <c r="L433"/>
  <c r="K436"/>
  <c r="K435" s="1"/>
  <c r="K430" s="1"/>
  <c r="K713" s="1"/>
  <c r="H12" i="12" s="1"/>
  <c r="L439" i="13"/>
  <c r="J447"/>
  <c r="J446" s="1"/>
  <c r="J716" s="1"/>
  <c r="G15" i="12" s="1"/>
  <c r="L450" i="13"/>
  <c r="K452"/>
  <c r="N467"/>
  <c r="N466" s="1"/>
  <c r="N465" s="1"/>
  <c r="K735"/>
  <c r="H37" i="12" s="1"/>
  <c r="K524" i="13"/>
  <c r="K523" s="1"/>
  <c r="G528"/>
  <c r="G512" s="1"/>
  <c r="J553"/>
  <c r="K589"/>
  <c r="K588" s="1"/>
  <c r="I754"/>
  <c r="K754"/>
  <c r="H56" i="12" s="1"/>
  <c r="I56" s="1"/>
  <c r="M754" i="13"/>
  <c r="L627"/>
  <c r="G622"/>
  <c r="L643"/>
  <c r="L666"/>
  <c r="J663"/>
  <c r="J662" s="1"/>
  <c r="L669"/>
  <c r="L668" s="1"/>
  <c r="K681"/>
  <c r="K680" s="1"/>
  <c r="K672" s="1"/>
  <c r="K691"/>
  <c r="K690" s="1"/>
  <c r="K689" s="1"/>
  <c r="K748" s="1"/>
  <c r="H50" i="12" s="1"/>
  <c r="M20" i="13"/>
  <c r="L112"/>
  <c r="N113"/>
  <c r="N112" s="1"/>
  <c r="H741"/>
  <c r="P116"/>
  <c r="N116"/>
  <c r="L115"/>
  <c r="L114" s="1"/>
  <c r="N178"/>
  <c r="N177" s="1"/>
  <c r="M761"/>
  <c r="M169"/>
  <c r="K723"/>
  <c r="H24" i="12" s="1"/>
  <c r="K224" i="13"/>
  <c r="H730"/>
  <c r="N13"/>
  <c r="L23"/>
  <c r="L22" s="1"/>
  <c r="N24"/>
  <c r="N23" s="1"/>
  <c r="N22" s="1"/>
  <c r="M741"/>
  <c r="N127"/>
  <c r="N126" s="1"/>
  <c r="N125" s="1"/>
  <c r="L126"/>
  <c r="L125" s="1"/>
  <c r="P127"/>
  <c r="L42"/>
  <c r="L41" s="1"/>
  <c r="N40"/>
  <c r="N108"/>
  <c r="N107" s="1"/>
  <c r="N106" s="1"/>
  <c r="N196"/>
  <c r="N192" s="1"/>
  <c r="N187" s="1"/>
  <c r="N183" s="1"/>
  <c r="L192"/>
  <c r="G717"/>
  <c r="G198"/>
  <c r="I717"/>
  <c r="I198"/>
  <c r="K717"/>
  <c r="K198"/>
  <c r="N215"/>
  <c r="N214" s="1"/>
  <c r="N213" s="1"/>
  <c r="N212" s="1"/>
  <c r="N717" s="1"/>
  <c r="L214"/>
  <c r="L213" s="1"/>
  <c r="L212" s="1"/>
  <c r="N227"/>
  <c r="N226" s="1"/>
  <c r="N225" s="1"/>
  <c r="N224" s="1"/>
  <c r="L226"/>
  <c r="L225" s="1"/>
  <c r="I730"/>
  <c r="I236"/>
  <c r="I728" s="1"/>
  <c r="K236"/>
  <c r="G765"/>
  <c r="G278"/>
  <c r="G763" s="1"/>
  <c r="I278"/>
  <c r="I763" s="1"/>
  <c r="H767"/>
  <c r="H295"/>
  <c r="J776"/>
  <c r="J296"/>
  <c r="J295"/>
  <c r="L776"/>
  <c r="L295"/>
  <c r="L323"/>
  <c r="N324"/>
  <c r="N323" s="1"/>
  <c r="N319" s="1"/>
  <c r="N318" s="1"/>
  <c r="N395"/>
  <c r="N394" s="1"/>
  <c r="L394"/>
  <c r="P395"/>
  <c r="N711"/>
  <c r="L441"/>
  <c r="N442"/>
  <c r="N441" s="1"/>
  <c r="H732"/>
  <c r="H476"/>
  <c r="N491"/>
  <c r="N490" s="1"/>
  <c r="N489" s="1"/>
  <c r="L490"/>
  <c r="H736"/>
  <c r="L550"/>
  <c r="L549" s="1"/>
  <c r="L738" s="1"/>
  <c r="N551"/>
  <c r="N550" s="1"/>
  <c r="N549" s="1"/>
  <c r="N738" s="1"/>
  <c r="P581"/>
  <c r="L580"/>
  <c r="L579" s="1"/>
  <c r="L578" s="1"/>
  <c r="N581"/>
  <c r="N580" s="1"/>
  <c r="N579" s="1"/>
  <c r="N578" s="1"/>
  <c r="N747"/>
  <c r="N611"/>
  <c r="N610" s="1"/>
  <c r="N607" s="1"/>
  <c r="N606" s="1"/>
  <c r="N625"/>
  <c r="N624" s="1"/>
  <c r="N623" s="1"/>
  <c r="L624"/>
  <c r="L623" s="1"/>
  <c r="L629"/>
  <c r="N629" s="1"/>
  <c r="N29"/>
  <c r="P30"/>
  <c r="S64"/>
  <c r="N117"/>
  <c r="N158"/>
  <c r="N157" s="1"/>
  <c r="N156" s="1"/>
  <c r="N155" s="1"/>
  <c r="N744" s="1"/>
  <c r="P159"/>
  <c r="N285"/>
  <c r="N284" s="1"/>
  <c r="N765" s="1"/>
  <c r="N399"/>
  <c r="N762" s="1"/>
  <c r="I555"/>
  <c r="P203"/>
  <c r="L202"/>
  <c r="L199" s="1"/>
  <c r="M717"/>
  <c r="M198"/>
  <c r="J723"/>
  <c r="J722" s="1"/>
  <c r="J224"/>
  <c r="M236"/>
  <c r="J779"/>
  <c r="G78" i="12" s="1"/>
  <c r="K779" i="13"/>
  <c r="H78" i="12" s="1"/>
  <c r="J758" i="13"/>
  <c r="G61" i="12" s="1"/>
  <c r="L348" i="13"/>
  <c r="N349"/>
  <c r="N348" s="1"/>
  <c r="L372"/>
  <c r="N374"/>
  <c r="N372" s="1"/>
  <c r="L505"/>
  <c r="N506"/>
  <c r="N505" s="1"/>
  <c r="N502" s="1"/>
  <c r="L558"/>
  <c r="L557" s="1"/>
  <c r="L556" s="1"/>
  <c r="L740" s="1"/>
  <c r="I42" i="12" s="1"/>
  <c r="N559" i="13"/>
  <c r="N558" s="1"/>
  <c r="N557" s="1"/>
  <c r="N556" s="1"/>
  <c r="G618"/>
  <c r="L634"/>
  <c r="N635"/>
  <c r="N634" s="1"/>
  <c r="L772"/>
  <c r="L647"/>
  <c r="L16"/>
  <c r="L15" s="1"/>
  <c r="L18"/>
  <c r="J23"/>
  <c r="J22" s="1"/>
  <c r="N30"/>
  <c r="L32"/>
  <c r="L31" s="1"/>
  <c r="L55"/>
  <c r="L63"/>
  <c r="L60" s="1"/>
  <c r="L753" s="1"/>
  <c r="I55" i="12" s="1"/>
  <c r="L85" i="13"/>
  <c r="L84" s="1"/>
  <c r="L100"/>
  <c r="L99" s="1"/>
  <c r="L98" s="1"/>
  <c r="J112"/>
  <c r="L134"/>
  <c r="L133" s="1"/>
  <c r="L165"/>
  <c r="L167"/>
  <c r="L175"/>
  <c r="L179"/>
  <c r="N203"/>
  <c r="N202" s="1"/>
  <c r="N199" s="1"/>
  <c r="N211"/>
  <c r="N209" s="1"/>
  <c r="N208" s="1"/>
  <c r="N223"/>
  <c r="N222" s="1"/>
  <c r="N221" s="1"/>
  <c r="N220" s="1"/>
  <c r="N719" s="1"/>
  <c r="N236"/>
  <c r="N260"/>
  <c r="N259" s="1"/>
  <c r="M285"/>
  <c r="M284" s="1"/>
  <c r="N337"/>
  <c r="N759" s="1"/>
  <c r="N375"/>
  <c r="H713"/>
  <c r="L447"/>
  <c r="L446" s="1"/>
  <c r="L716" s="1"/>
  <c r="I15" i="12" s="1"/>
  <c r="N462" i="13"/>
  <c r="N516"/>
  <c r="N528"/>
  <c r="L691"/>
  <c r="L690" s="1"/>
  <c r="L689" s="1"/>
  <c r="L748" s="1"/>
  <c r="I50" i="12" s="1"/>
  <c r="N283" i="13"/>
  <c r="N282" s="1"/>
  <c r="N279" s="1"/>
  <c r="L302"/>
  <c r="L301" s="1"/>
  <c r="P334"/>
  <c r="O401"/>
  <c r="T405"/>
  <c r="J725"/>
  <c r="J724" s="1"/>
  <c r="N725"/>
  <c r="P423"/>
  <c r="I713"/>
  <c r="L432"/>
  <c r="N438"/>
  <c r="N436" s="1"/>
  <c r="N435" s="1"/>
  <c r="N724"/>
  <c r="I733"/>
  <c r="M733"/>
  <c r="P493"/>
  <c r="P498"/>
  <c r="N735"/>
  <c r="P527"/>
  <c r="L535"/>
  <c r="H760"/>
  <c r="N657"/>
  <c r="N656" s="1"/>
  <c r="N655" s="1"/>
  <c r="N654" s="1"/>
  <c r="N653" s="1"/>
  <c r="J748"/>
  <c r="G50" i="12" s="1"/>
  <c r="H749" i="13"/>
  <c r="J749"/>
  <c r="M749"/>
  <c r="L702"/>
  <c r="L246"/>
  <c r="L241" s="1"/>
  <c r="L257"/>
  <c r="L254" s="1"/>
  <c r="L248" s="1"/>
  <c r="L264"/>
  <c r="G275"/>
  <c r="G274" s="1"/>
  <c r="L276"/>
  <c r="L275" s="1"/>
  <c r="L274" s="1"/>
  <c r="H278"/>
  <c r="H763" s="1"/>
  <c r="E763"/>
  <c r="L280"/>
  <c r="L279" s="1"/>
  <c r="L288"/>
  <c r="L290"/>
  <c r="L293"/>
  <c r="L292" s="1"/>
  <c r="I295"/>
  <c r="K295"/>
  <c r="L321"/>
  <c r="L320" s="1"/>
  <c r="J323"/>
  <c r="J319" s="1"/>
  <c r="J318" s="1"/>
  <c r="J348"/>
  <c r="L368"/>
  <c r="J372"/>
  <c r="J350" s="1"/>
  <c r="L377"/>
  <c r="L375" s="1"/>
  <c r="L397"/>
  <c r="L396" s="1"/>
  <c r="K725"/>
  <c r="K724" s="1"/>
  <c r="M725"/>
  <c r="H419"/>
  <c r="L422"/>
  <c r="L421" s="1"/>
  <c r="L420" s="1"/>
  <c r="J441"/>
  <c r="J430" s="1"/>
  <c r="L463"/>
  <c r="L462" s="1"/>
  <c r="L721" s="1"/>
  <c r="G724"/>
  <c r="M724"/>
  <c r="G476"/>
  <c r="M476"/>
  <c r="J490"/>
  <c r="J489" s="1"/>
  <c r="J476" s="1"/>
  <c r="L496"/>
  <c r="I735"/>
  <c r="M735"/>
  <c r="J505"/>
  <c r="L513"/>
  <c r="L516"/>
  <c r="L524"/>
  <c r="L523" s="1"/>
  <c r="L526"/>
  <c r="L529"/>
  <c r="L531"/>
  <c r="L539"/>
  <c r="L538" s="1"/>
  <c r="J737"/>
  <c r="G39" i="12" s="1"/>
  <c r="L547" i="13"/>
  <c r="J550"/>
  <c r="J549" s="1"/>
  <c r="J738" s="1"/>
  <c r="L576"/>
  <c r="L575" s="1"/>
  <c r="G587"/>
  <c r="I587"/>
  <c r="K587"/>
  <c r="M587"/>
  <c r="L596"/>
  <c r="L595" s="1"/>
  <c r="L594" s="1"/>
  <c r="J634"/>
  <c r="L656"/>
  <c r="L655" s="1"/>
  <c r="L654" s="1"/>
  <c r="L653" s="1"/>
  <c r="M746"/>
  <c r="G749"/>
  <c r="I749"/>
  <c r="K749"/>
  <c r="N749"/>
  <c r="J769"/>
  <c r="N675"/>
  <c r="N674" s="1"/>
  <c r="N673" s="1"/>
  <c r="N672" s="1"/>
  <c r="P682"/>
  <c r="L695"/>
  <c r="L694" s="1"/>
  <c r="L693" s="1"/>
  <c r="L749" s="1"/>
  <c r="L664"/>
  <c r="L663" s="1"/>
  <c r="L662" s="1"/>
  <c r="L681"/>
  <c r="L680" s="1"/>
  <c r="L672" s="1"/>
  <c r="E81" i="12"/>
  <c r="L502" i="13" l="1"/>
  <c r="N560"/>
  <c r="J40"/>
  <c r="K720"/>
  <c r="H21" i="12" s="1"/>
  <c r="M730" i="13"/>
  <c r="M729"/>
  <c r="K622"/>
  <c r="K760" s="1"/>
  <c r="J752"/>
  <c r="G54" i="12" s="1"/>
  <c r="K743" i="13"/>
  <c r="H45" i="12" s="1"/>
  <c r="H728" i="13"/>
  <c r="H20"/>
  <c r="H751"/>
  <c r="K759"/>
  <c r="H62" i="12" s="1"/>
  <c r="J759" i="13"/>
  <c r="G62" i="12" s="1"/>
  <c r="G728" i="13"/>
  <c r="M713"/>
  <c r="H63" i="12"/>
  <c r="G751" i="13"/>
  <c r="K769"/>
  <c r="H72" i="12" s="1"/>
  <c r="K512" i="13"/>
  <c r="K736" s="1"/>
  <c r="H38" i="12" s="1"/>
  <c r="K248" i="13"/>
  <c r="K737"/>
  <c r="H39" i="12" s="1"/>
  <c r="K751" i="13"/>
  <c r="K750" s="1"/>
  <c r="H418"/>
  <c r="I419"/>
  <c r="I512"/>
  <c r="I736" s="1"/>
  <c r="L319"/>
  <c r="L318" s="1"/>
  <c r="G169"/>
  <c r="J672"/>
  <c r="J671" s="1"/>
  <c r="J652" s="1"/>
  <c r="L606"/>
  <c r="M739"/>
  <c r="I760"/>
  <c r="I618"/>
  <c r="I761"/>
  <c r="I169"/>
  <c r="H762"/>
  <c r="H329"/>
  <c r="H317" s="1"/>
  <c r="I710"/>
  <c r="J746"/>
  <c r="G48" i="12" s="1"/>
  <c r="J47" s="1"/>
  <c r="M745" i="13"/>
  <c r="I745"/>
  <c r="I275"/>
  <c r="I274" s="1"/>
  <c r="L260"/>
  <c r="L259" s="1"/>
  <c r="H735"/>
  <c r="E734" s="1"/>
  <c r="K733"/>
  <c r="K728" s="1"/>
  <c r="I105"/>
  <c r="I97" s="1"/>
  <c r="L83"/>
  <c r="L756" s="1"/>
  <c r="L622"/>
  <c r="I20"/>
  <c r="L425"/>
  <c r="L424" s="1"/>
  <c r="L712" s="1"/>
  <c r="I11" i="12" s="1"/>
  <c r="K742" i="13"/>
  <c r="H44" i="12" s="1"/>
  <c r="G419" i="13"/>
  <c r="M742"/>
  <c r="J622"/>
  <c r="H742"/>
  <c r="J512"/>
  <c r="J736" s="1"/>
  <c r="G38" i="12" s="1"/>
  <c r="M419" i="13"/>
  <c r="H411"/>
  <c r="H724"/>
  <c r="N622"/>
  <c r="N618" s="1"/>
  <c r="L618"/>
  <c r="J618"/>
  <c r="J111"/>
  <c r="L569"/>
  <c r="L568" s="1"/>
  <c r="L560" s="1"/>
  <c r="L555" s="1"/>
  <c r="L111"/>
  <c r="G20"/>
  <c r="I411"/>
  <c r="I724"/>
  <c r="J768"/>
  <c r="G72" i="12"/>
  <c r="H35"/>
  <c r="L770" i="13"/>
  <c r="I74" i="12"/>
  <c r="L775" i="13"/>
  <c r="I76" i="12"/>
  <c r="J770" i="13"/>
  <c r="G74" i="12"/>
  <c r="E710" i="13"/>
  <c r="J555"/>
  <c r="G47" i="12"/>
  <c r="J775" i="13"/>
  <c r="G76" i="12"/>
  <c r="N174" i="13"/>
  <c r="L489"/>
  <c r="G105"/>
  <c r="G97" s="1"/>
  <c r="H105"/>
  <c r="J761"/>
  <c r="G64" i="12" s="1"/>
  <c r="J169" i="13"/>
  <c r="L187"/>
  <c r="L183" s="1"/>
  <c r="L174" s="1"/>
  <c r="K761"/>
  <c r="C35" i="15"/>
  <c r="K23"/>
  <c r="H745" i="13"/>
  <c r="K278"/>
  <c r="K11" i="15"/>
  <c r="J309" i="13"/>
  <c r="J300" s="1"/>
  <c r="J21"/>
  <c r="J751" s="1"/>
  <c r="K309"/>
  <c r="K781" s="1"/>
  <c r="L21"/>
  <c r="L751" s="1"/>
  <c r="J197"/>
  <c r="H757"/>
  <c r="G710"/>
  <c r="E750"/>
  <c r="L330"/>
  <c r="L758" s="1"/>
  <c r="I61" i="12" s="1"/>
  <c r="M512" i="13"/>
  <c r="M736" s="1"/>
  <c r="L544"/>
  <c r="L543" s="1"/>
  <c r="L737" s="1"/>
  <c r="I39" i="12" s="1"/>
  <c r="K501" i="13"/>
  <c r="M97"/>
  <c r="K329"/>
  <c r="K317" s="1"/>
  <c r="M35" i="15"/>
  <c r="N35"/>
  <c r="K768" i="13"/>
  <c r="H26" i="12"/>
  <c r="H25" s="1"/>
  <c r="K770" i="13"/>
  <c r="J347"/>
  <c r="J329" s="1"/>
  <c r="M329"/>
  <c r="M317" s="1"/>
  <c r="L413"/>
  <c r="K722"/>
  <c r="H22" i="12"/>
  <c r="I22" s="1"/>
  <c r="K775" i="13"/>
  <c r="G746"/>
  <c r="G671"/>
  <c r="G652" s="1"/>
  <c r="L285"/>
  <c r="L284" s="1"/>
  <c r="N350"/>
  <c r="N347" s="1"/>
  <c r="N329" s="1"/>
  <c r="N317" s="1"/>
  <c r="L155"/>
  <c r="L744" s="1"/>
  <c r="I46" i="12" s="1"/>
  <c r="L142" i="13"/>
  <c r="L726"/>
  <c r="K424"/>
  <c r="K671"/>
  <c r="K652" s="1"/>
  <c r="K746"/>
  <c r="H48" i="12" s="1"/>
  <c r="H47" s="1"/>
  <c r="G736" i="13"/>
  <c r="G501"/>
  <c r="G734" s="1"/>
  <c r="G329"/>
  <c r="G317" s="1"/>
  <c r="G760"/>
  <c r="M501"/>
  <c r="M734" s="1"/>
  <c r="L399"/>
  <c r="L762" s="1"/>
  <c r="I65" i="12" s="1"/>
  <c r="I501" i="13"/>
  <c r="I734" s="1"/>
  <c r="L337"/>
  <c r="J743"/>
  <c r="G45" i="12" s="1"/>
  <c r="J760" i="13"/>
  <c r="G63" i="12" s="1"/>
  <c r="J713" i="13"/>
  <c r="J419"/>
  <c r="N764"/>
  <c r="N278"/>
  <c r="N763" s="1"/>
  <c r="J741"/>
  <c r="G43" i="12" s="1"/>
  <c r="J105" i="13"/>
  <c r="J97" s="1"/>
  <c r="N761"/>
  <c r="N169"/>
  <c r="I31" i="12"/>
  <c r="L236" i="13"/>
  <c r="I53" i="12"/>
  <c r="L747" i="13"/>
  <c r="L587"/>
  <c r="L746"/>
  <c r="L671"/>
  <c r="N746"/>
  <c r="N671"/>
  <c r="N745" s="1"/>
  <c r="J745"/>
  <c r="E745"/>
  <c r="J733"/>
  <c r="J728" s="1"/>
  <c r="L534"/>
  <c r="L533" s="1"/>
  <c r="N535"/>
  <c r="N534" s="1"/>
  <c r="N533" s="1"/>
  <c r="N758"/>
  <c r="N715"/>
  <c r="N198"/>
  <c r="K741"/>
  <c r="H43" i="12" s="1"/>
  <c r="K105" i="13"/>
  <c r="K97" s="1"/>
  <c r="N733"/>
  <c r="N728" s="1"/>
  <c r="N476"/>
  <c r="L723"/>
  <c r="L722" s="1"/>
  <c r="L224"/>
  <c r="L717"/>
  <c r="L198"/>
  <c r="N740"/>
  <c r="L528"/>
  <c r="L278"/>
  <c r="L769"/>
  <c r="K745"/>
  <c r="H710"/>
  <c r="L14"/>
  <c r="N555"/>
  <c r="L743"/>
  <c r="I45" i="12" s="1"/>
  <c r="N28" i="13"/>
  <c r="N27" s="1"/>
  <c r="N21" s="1"/>
  <c r="I197"/>
  <c r="G197"/>
  <c r="H197"/>
  <c r="N752"/>
  <c r="G757"/>
  <c r="I757"/>
  <c r="N742"/>
  <c r="M757"/>
  <c r="J735"/>
  <c r="G37" i="12" s="1"/>
  <c r="J501" i="13"/>
  <c r="L711"/>
  <c r="L431"/>
  <c r="L430" s="1"/>
  <c r="L713" s="1"/>
  <c r="I12" i="12" s="1"/>
  <c r="N432" i="13"/>
  <c r="N431" s="1"/>
  <c r="N430" s="1"/>
  <c r="L779"/>
  <c r="I78" i="12" s="1"/>
  <c r="M765" i="13"/>
  <c r="M278"/>
  <c r="M763" s="1"/>
  <c r="L735"/>
  <c r="I37" i="12" s="1"/>
  <c r="H54"/>
  <c r="K20" i="13"/>
  <c r="K12" s="1"/>
  <c r="H750"/>
  <c r="H12"/>
  <c r="I750"/>
  <c r="I12"/>
  <c r="G750"/>
  <c r="G12"/>
  <c r="M750"/>
  <c r="M12"/>
  <c r="L350"/>
  <c r="L347" s="1"/>
  <c r="L329" s="1"/>
  <c r="L317" s="1"/>
  <c r="J317"/>
  <c r="J742"/>
  <c r="G44" i="12" s="1"/>
  <c r="I739" i="13"/>
  <c r="J757"/>
  <c r="E757"/>
  <c r="M710"/>
  <c r="G739"/>
  <c r="N721"/>
  <c r="L40"/>
  <c r="E728"/>
  <c r="N115"/>
  <c r="N114" s="1"/>
  <c r="N111" s="1"/>
  <c r="N741" s="1"/>
  <c r="L759" l="1"/>
  <c r="I62" i="12" s="1"/>
  <c r="G60"/>
  <c r="K618" i="13"/>
  <c r="I54" i="12"/>
  <c r="L752" i="13"/>
  <c r="I751"/>
  <c r="M728"/>
  <c r="L476"/>
  <c r="L733"/>
  <c r="H29" i="12"/>
  <c r="J29"/>
  <c r="J20" i="13"/>
  <c r="J12" s="1"/>
  <c r="H53" i="12"/>
  <c r="L652" i="13"/>
  <c r="O652" s="1"/>
  <c r="M782"/>
  <c r="L169"/>
  <c r="L761"/>
  <c r="I64" i="12" s="1"/>
  <c r="J36"/>
  <c r="G36"/>
  <c r="L768" i="13"/>
  <c r="I72" i="12"/>
  <c r="G35"/>
  <c r="L745" i="13"/>
  <c r="I48" i="12"/>
  <c r="I47" s="1"/>
  <c r="J750" i="13"/>
  <c r="G53" i="12"/>
  <c r="J60"/>
  <c r="J710" i="13"/>
  <c r="G12" i="12"/>
  <c r="J75"/>
  <c r="G75"/>
  <c r="G73"/>
  <c r="J73"/>
  <c r="J71"/>
  <c r="G71"/>
  <c r="H97" i="13"/>
  <c r="H739"/>
  <c r="H64" i="12"/>
  <c r="H60" s="1"/>
  <c r="K757" i="13"/>
  <c r="J41" i="12"/>
  <c r="G41"/>
  <c r="K35" i="15"/>
  <c r="K778" i="13"/>
  <c r="L309"/>
  <c r="K300"/>
  <c r="K197" s="1"/>
  <c r="L512"/>
  <c r="L736" s="1"/>
  <c r="J781"/>
  <c r="N652"/>
  <c r="N512"/>
  <c r="N736" s="1"/>
  <c r="J734"/>
  <c r="M418"/>
  <c r="G418"/>
  <c r="G707" s="1"/>
  <c r="K739"/>
  <c r="I26" i="12"/>
  <c r="I25" s="1"/>
  <c r="H71"/>
  <c r="I71"/>
  <c r="H75"/>
  <c r="I75"/>
  <c r="L412" i="13"/>
  <c r="L411" s="1"/>
  <c r="L725"/>
  <c r="L724" s="1"/>
  <c r="H73" i="12"/>
  <c r="I73"/>
  <c r="H77"/>
  <c r="H23"/>
  <c r="I24"/>
  <c r="I23" s="1"/>
  <c r="H707" i="13"/>
  <c r="G745"/>
  <c r="G782" s="1"/>
  <c r="K712"/>
  <c r="K419"/>
  <c r="K418" s="1"/>
  <c r="L501"/>
  <c r="I782"/>
  <c r="I418"/>
  <c r="I707" s="1"/>
  <c r="N713"/>
  <c r="N419"/>
  <c r="N710" s="1"/>
  <c r="L741"/>
  <c r="I43" i="12" s="1"/>
  <c r="L105" i="13"/>
  <c r="L97" s="1"/>
  <c r="O97" s="1"/>
  <c r="N751"/>
  <c r="N20"/>
  <c r="J739"/>
  <c r="E739"/>
  <c r="L419"/>
  <c r="M197"/>
  <c r="M707" s="1"/>
  <c r="H782"/>
  <c r="L750"/>
  <c r="N760"/>
  <c r="N757"/>
  <c r="L760"/>
  <c r="L742"/>
  <c r="I44" i="12" s="1"/>
  <c r="L13" i="13"/>
  <c r="N197"/>
  <c r="L710"/>
  <c r="N105"/>
  <c r="L20"/>
  <c r="J418"/>
  <c r="H11" i="12" l="1"/>
  <c r="K710" i="13"/>
  <c r="L728"/>
  <c r="I35" i="12"/>
  <c r="I29" s="1"/>
  <c r="N501" i="13"/>
  <c r="N734" s="1"/>
  <c r="O419"/>
  <c r="J778"/>
  <c r="G80" i="12"/>
  <c r="G9"/>
  <c r="J9"/>
  <c r="L734" i="13"/>
  <c r="I38" i="12"/>
  <c r="J52"/>
  <c r="G52"/>
  <c r="G29"/>
  <c r="L757" i="13"/>
  <c r="I63" i="12"/>
  <c r="I60" s="1"/>
  <c r="L781" i="13"/>
  <c r="L300"/>
  <c r="L197" s="1"/>
  <c r="O197" s="1"/>
  <c r="J782"/>
  <c r="K734"/>
  <c r="K707"/>
  <c r="I41" i="12"/>
  <c r="H41"/>
  <c r="I52"/>
  <c r="H52"/>
  <c r="J707" i="13"/>
  <c r="N97"/>
  <c r="N739"/>
  <c r="L12"/>
  <c r="L739"/>
  <c r="N750"/>
  <c r="N12"/>
  <c r="L418"/>
  <c r="O418" s="1"/>
  <c r="N418"/>
  <c r="J10" i="12" l="1"/>
  <c r="L778" i="13"/>
  <c r="I80" i="12"/>
  <c r="I77" s="1"/>
  <c r="J77"/>
  <c r="G77"/>
  <c r="G81" s="1"/>
  <c r="L782" i="13"/>
  <c r="I81" i="12" s="1"/>
  <c r="J783" i="13"/>
  <c r="K782"/>
  <c r="I36" i="12"/>
  <c r="H36"/>
  <c r="I9"/>
  <c r="H9"/>
  <c r="N707" i="13"/>
  <c r="N709" s="1"/>
  <c r="N782"/>
  <c r="L707"/>
  <c r="O12"/>
  <c r="R12" s="1"/>
  <c r="H81" i="12" l="1"/>
  <c r="K784" i="13"/>
  <c r="L709"/>
</calcChain>
</file>

<file path=xl/sharedStrings.xml><?xml version="1.0" encoding="utf-8"?>
<sst xmlns="http://schemas.openxmlformats.org/spreadsheetml/2006/main" count="4663" uniqueCount="1267">
  <si>
    <t>А</t>
  </si>
  <si>
    <t>1.1.</t>
  </si>
  <si>
    <t>1.2.</t>
  </si>
  <si>
    <t>1.3.</t>
  </si>
  <si>
    <t>1.4.</t>
  </si>
  <si>
    <t>1.5.</t>
  </si>
  <si>
    <t>Иные межбюджетные трансферты</t>
  </si>
  <si>
    <t>3.1.</t>
  </si>
  <si>
    <t>Приложение 8</t>
  </si>
  <si>
    <t>РАСПРЕДЕЛЕНИЕ</t>
  </si>
  <si>
    <t>расходов бюджета муниципального образования  "Онгудайский район" на 2011 год                                           по разделам и подразделам   классификации расходов бюджетов Российской Федерации</t>
  </si>
  <si>
    <t>тыс.рублей</t>
  </si>
  <si>
    <t>Наименование разделов и подразделов</t>
  </si>
  <si>
    <t>Рз</t>
  </si>
  <si>
    <t>Пр</t>
  </si>
  <si>
    <t>Сумма на 2009 год</t>
  </si>
  <si>
    <t xml:space="preserve">Изменения и дополнения </t>
  </si>
  <si>
    <t>Сумма на  2011 г.</t>
  </si>
  <si>
    <t>Сумма на утверждение 2011 г.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</si>
  <si>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</si>
  <si>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</si>
  <si>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</si>
  <si>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</si>
  <si>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</si>
  <si>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</si>
  <si>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</si>
  <si>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</si>
  <si>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</si>
  <si>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</si>
  <si>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</si>
  <si>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</si>
  <si>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</si>
  <si>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</si>
  <si>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</si>
  <si>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Обслуживание государственного и муниципального долга</t>
  </si>
  <si>
    <t>11</t>
  </si>
  <si>
    <t>Резервные фонды</t>
  </si>
  <si>
    <t>12</t>
  </si>
  <si>
    <t>13</t>
  </si>
  <si>
    <t>Другие общегосударственные вопросы</t>
  </si>
  <si>
    <t>14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</si>
  <si>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</si>
  <si>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</si>
  <si>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</si>
  <si>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</si>
  <si>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</si>
  <si>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</si>
  <si>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</si>
  <si>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</si>
  <si>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</si>
  <si>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</si>
  <si>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</si>
  <si>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</si>
  <si>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</si>
  <si>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</si>
  <si>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</si>
  <si>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</si>
  <si>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</si>
  <si>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</si>
  <si>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</si>
  <si>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</si>
  <si>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</si>
  <si>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</si>
  <si>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</si>
  <si>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</si>
  <si>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</si>
  <si>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</si>
  <si>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</si>
  <si>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</si>
  <si>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</si>
  <si>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</si>
  <si>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</si>
  <si>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</si>
  <si>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</si>
  <si>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Периодическая печать и издательства</t>
  </si>
  <si>
    <t xml:space="preserve">Другие вопросы в области культуры, кинематографии </t>
  </si>
  <si>
    <t>Другие вопросы в области культуры, кинематографии и стредств массовой информации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</si>
  <si>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</si>
  <si>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</si>
  <si>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</si>
  <si>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</si>
  <si>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</si>
  <si>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Прикладные научные исследования в области здравоохранения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</si>
  <si>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</si>
  <si>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</si>
  <si>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</si>
  <si>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10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</si>
  <si>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</si>
  <si>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</si>
  <si>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</si>
  <si>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</si>
  <si>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</si>
  <si>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</si>
  <si>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</si>
  <si>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Межбюджетные трансферты</t>
  </si>
  <si>
    <t>1100</t>
  </si>
  <si>
    <t>Дотации бюджетам субъектов Российской Федерации и муниципальных образований</t>
  </si>
  <si>
    <t>Субсидии  бюджетам субъектов Российской Федерации и муниципальных образований (межбюджетные субсидии)</t>
  </si>
  <si>
    <t xml:space="preserve">Субвенции   бюджетам субъектов Российской Федерации и муниципальных образований </t>
  </si>
  <si>
    <t>Физическая культура</t>
  </si>
  <si>
    <t>Средства массовой информации</t>
  </si>
  <si>
    <t>1200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</si>
  <si>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</si>
  <si>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</si>
  <si>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</si>
  <si>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</si>
  <si>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</si>
  <si>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Иные дотации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</si>
  <si>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</si>
  <si>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</si>
  <si>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 xml:space="preserve">Распределение </t>
  </si>
  <si>
    <t>расходов бюджета муниципального образования  "Онгудайский район" по главным распорядителям бюджетных средств, разделам, подразделам, целевым статьям расходов, видам расходов  классификации расходов бюджетов Российской Федерации на 2011 год</t>
  </si>
  <si>
    <t xml:space="preserve">Наименование </t>
  </si>
  <si>
    <t>КОДЫ</t>
  </si>
  <si>
    <t>Изменения и дополнения   (тыс.руб)</t>
  </si>
  <si>
    <t>Сумма на 2009 год (тыс.руб.)</t>
  </si>
  <si>
    <t>Сумма на 2011г (тыс.руб.)</t>
  </si>
  <si>
    <t>Сумма на утверждение   2011г (тыс.руб.)</t>
  </si>
  <si>
    <t>Сумма на утверждение   2009г (тыс.руб.)</t>
  </si>
  <si>
    <t>Функциональной классификации расходов</t>
  </si>
  <si>
    <r>
      <t>Главный</t>
    </r>
    <r>
      <rPr>
        <b/>
        <sz val="11"/>
        <rFont val="Times New Roman"/>
        <family val="1"/>
        <charset val="204"/>
      </rPr>
      <t xml:space="preserve"> распорядитель, распорядитель средств</t>
    </r>
  </si>
  <si>
    <t>Раздел</t>
  </si>
  <si>
    <t>Подраздел</t>
  </si>
  <si>
    <t>Целевая статья**</t>
  </si>
  <si>
    <t>Вид расхода**</t>
  </si>
  <si>
    <t>МУЗ  Онгудайская ЦРБ</t>
  </si>
  <si>
    <t>055</t>
  </si>
  <si>
    <t xml:space="preserve">Образование </t>
  </si>
  <si>
    <t>Профессиональная подготовка, переподготовка и повышение квалификации кадров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</si>
  <si>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</si>
  <si>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</si>
  <si>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</si>
  <si>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</si>
  <si>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Выполнение функций государственными органами</t>
  </si>
  <si>
    <t>500</t>
  </si>
  <si>
    <t>4340000</t>
  </si>
  <si>
    <t>Выполнение функций органами местного самоуправления</t>
  </si>
  <si>
    <t>Здравоохранение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</si>
  <si>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</si>
  <si>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0700400</t>
  </si>
  <si>
    <t xml:space="preserve">Резервный фонд Правительства Республики Алтай </t>
  </si>
  <si>
    <t>0700402</t>
  </si>
  <si>
    <t>Выполнение функций  бюджетными учреждениями</t>
  </si>
  <si>
    <t>001</t>
  </si>
  <si>
    <t>Больницы, клиники, госпитали, медико- санитарные части</t>
  </si>
  <si>
    <t>4700000</t>
  </si>
  <si>
    <t>Обеспечение деятельности подведомственных учреждений</t>
  </si>
  <si>
    <t>4709900</t>
  </si>
  <si>
    <t>Выполнение функций бюджетными учреждениями, за счет средств от предпринимательской и иной приносящей доход деятельности</t>
  </si>
  <si>
    <t>4709901</t>
  </si>
  <si>
    <t>Поликлиники, амбулатории, диагностические центры</t>
  </si>
  <si>
    <t>4710000</t>
  </si>
  <si>
    <t>4719900</t>
  </si>
  <si>
    <t>Выполнение функций бюджетными учреждениями</t>
  </si>
  <si>
    <t>Субсидии на капитальный,текущий ремонт объектов социо-культурной сферы</t>
  </si>
  <si>
    <t>4709902</t>
  </si>
  <si>
    <t>Софинансирование субсидии на кап.,текущий ремонт объктов социо-культ.сферы</t>
  </si>
  <si>
    <t>4709903</t>
  </si>
  <si>
    <t>Территориальная программа государственных гарантий оказания гражданам РФ на территории РА бесплатной медицинской помощи</t>
  </si>
  <si>
    <t>7959100</t>
  </si>
  <si>
    <t>Мероприятия по реализации проекта в рамках преимущественно одноканального финансирования</t>
  </si>
  <si>
    <t>797</t>
  </si>
  <si>
    <t>4719902</t>
  </si>
  <si>
    <t>4719903</t>
  </si>
  <si>
    <t>Фельдшерско- акушерские пункты</t>
  </si>
  <si>
    <t>4780000</t>
  </si>
  <si>
    <t>4789900</t>
  </si>
  <si>
    <t>4789902</t>
  </si>
  <si>
    <t>4789903</t>
  </si>
  <si>
    <t>Финансовое обеспечение государственного задания в соответствии с программой  государственных гарантий  оказания гражданам РФ бесплаттной мед.помощи на оказание дополнительной бесплатной  медицинской помощи, оказыавемой врачами - трапевтами участковыми, врачами-педиатрами участковыми, врачами общей практики и медицинскими сестрами врачей -терапевтов, врачей -педиатров участковыми и  врачей общей практики</t>
  </si>
  <si>
    <t>5054100</t>
  </si>
  <si>
    <t>Иные безвозмездные и безвозвратные перечисления</t>
  </si>
  <si>
    <t>5200000</t>
  </si>
  <si>
    <t>Денежные выплаты медицинскому персоналу фельдшерско- акушерских пунктов, врачам, фельдшерам и медицинским сестрам скорой медицинской помощи</t>
  </si>
  <si>
    <t>5201800</t>
  </si>
  <si>
    <t>Учебно- методические кабинеты, централизованные бухгалтерии, группы хозяйственного обслуживания</t>
  </si>
  <si>
    <t>4520000</t>
  </si>
  <si>
    <t>4529900</t>
  </si>
  <si>
    <t>МЦП "Вакцинопрофилактика заболеваний, управляемых иммунизацией в МО "Онгудайский район" на 2008-2010г"</t>
  </si>
  <si>
    <t>МЦП "Профилактика и предупреждение распространения туберкулеза в МО "Онгудайский район" на 2009-2011г</t>
  </si>
  <si>
    <t>МЦП "Вакцинопрофилактика заболеваний, управляемых иммунизацией в МО "Онгудайский район" на 2011-2013г"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</si>
  <si>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</si>
  <si>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</si>
  <si>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"О мерах по предупреждению дальнейшего распространения заболеваний, вызываемого иммунодефицита человека и вирусного гепатитов В и С  на 2011-2013г"</t>
  </si>
  <si>
    <t>МЦП "Скорая медицинская помощь в МО "Онгудайский район" на 2011-2013г"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</si>
  <si>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</si>
  <si>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</si>
  <si>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</si>
  <si>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</si>
  <si>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</si>
  <si>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</si>
  <si>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</si>
  <si>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</si>
  <si>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</si>
  <si>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</si>
  <si>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Детские дошкольные учреждения</t>
  </si>
  <si>
    <t>4200000</t>
  </si>
  <si>
    <t>4209900</t>
  </si>
  <si>
    <t>Выпонение функций бюджетными учреждениями</t>
  </si>
  <si>
    <t>4209901</t>
  </si>
  <si>
    <t>Резервный фонд Президента Российской Федерации</t>
  </si>
  <si>
    <t>0700200</t>
  </si>
  <si>
    <t>Школы- детские сады, школы начальные, неполные средние и средние</t>
  </si>
  <si>
    <t>4210000</t>
  </si>
  <si>
    <t>4219900</t>
  </si>
  <si>
    <t>4219901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</si>
  <si>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</si>
  <si>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4219904</t>
  </si>
  <si>
    <t>Субсидии на предоставление ежемесячной надбавки к зарплате молодым специалистам в муниципальных образовательных учреждениях</t>
  </si>
  <si>
    <t>4219905</t>
  </si>
  <si>
    <t>4219902</t>
  </si>
  <si>
    <t>4219903</t>
  </si>
  <si>
    <t>Обеспечение питанием учащихся из малообеспеченных семей в муниципальных образовательных учреждениях</t>
  </si>
  <si>
    <t>4219906</t>
  </si>
  <si>
    <t>Учреждения по внешкольной работе с детьми</t>
  </si>
  <si>
    <t>4230000</t>
  </si>
  <si>
    <t>4239900</t>
  </si>
  <si>
    <t>4239902</t>
  </si>
  <si>
    <t>4239903</t>
  </si>
  <si>
    <t>Ежемесячное денежное вознаграждение за классное руководство в государственных и муниципальных  общеобразовательных учреждениях</t>
  </si>
  <si>
    <t>5200900</t>
  </si>
  <si>
    <t>Государственная поддержка внедрения комплексных мер модернизации образования</t>
  </si>
  <si>
    <t>Подпрограмма "Развитие юношеского спорта в муниципальном образовании "Онгудайский район" на 2006-2009 годы"</t>
  </si>
  <si>
    <t>7952003</t>
  </si>
  <si>
    <t>Мероприятия в сфере образования</t>
  </si>
  <si>
    <t>022</t>
  </si>
  <si>
    <t>МЦП "Энергосбережение в МО "Онгудайский район" на 2010-2015г"</t>
  </si>
  <si>
    <t>7952020</t>
  </si>
  <si>
    <t xml:space="preserve">Переподготовка и повышение квалификации </t>
  </si>
  <si>
    <t>Мероприятия по организации оздоровительной кампании детей и подростков</t>
  </si>
  <si>
    <t>4320000</t>
  </si>
  <si>
    <t>Оздоровление детей</t>
  </si>
  <si>
    <t>4320200</t>
  </si>
  <si>
    <t>Выполнение функций бюджетными учреждениями, за счет средств от  предпринимательской и иной приносящей доход деятельности</t>
  </si>
  <si>
    <t>4320201</t>
  </si>
  <si>
    <t>012</t>
  </si>
  <si>
    <t>Осуществление государственных полномочий по опеке и попечительству, соц.поддержке детей-сирот,безнадзорн.дет., дет.оставш.без попеч.родителей</t>
  </si>
  <si>
    <t>4365300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</si>
  <si>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</si>
  <si>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МЦП "Обеспечение санитарно-эпидемиологического благополучия школ Онгудайского района на 2009-2011 годы"</t>
  </si>
  <si>
    <t>7952018</t>
  </si>
  <si>
    <t>Социальное обеспечение населения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</si>
  <si>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</si>
  <si>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</si>
  <si>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Социальные выплаты</t>
  </si>
  <si>
    <t>005</t>
  </si>
  <si>
    <t>5053601</t>
  </si>
  <si>
    <t>Охрана семьи и детства</t>
  </si>
  <si>
    <t>Выплата единовременного пособия при всех формах устройства детей лишенных родительского попечения, в семью</t>
  </si>
  <si>
    <t>5050502</t>
  </si>
  <si>
    <t>Предоставление дополнительных гарантий по социальной 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</si>
  <si>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5057200</t>
  </si>
  <si>
    <t>Мероприятия по борьбе с беспризорностью, по опеке и попечительству</t>
  </si>
  <si>
    <t>5110000</t>
  </si>
  <si>
    <t>Другие пособия и компенсации</t>
  </si>
  <si>
    <t>755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</si>
  <si>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</si>
  <si>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</si>
  <si>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>5201001</t>
  </si>
  <si>
    <t>Содержание ребенка в семье опекуна и приемной семье, а также оплпта труда приемного родителя</t>
  </si>
  <si>
    <t>5201300</t>
  </si>
  <si>
    <t>Содержание ребенка в семье опекуна и приемной семье, а также оплата труда приемного  родителя</t>
  </si>
  <si>
    <t>5201301</t>
  </si>
  <si>
    <t>Материальное обеспечение приемной семьи</t>
  </si>
  <si>
    <t>5201310</t>
  </si>
  <si>
    <t>Выплата приемной семье на содержание подопечных семей</t>
  </si>
  <si>
    <t>5201311</t>
  </si>
  <si>
    <t>Оплата труда приемного родителя</t>
  </si>
  <si>
    <t>5201312</t>
  </si>
  <si>
    <t>5201313</t>
  </si>
  <si>
    <t>Управление по экономике и финансам Онгудайского района</t>
  </si>
  <si>
    <t>092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</si>
  <si>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</si>
  <si>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</si>
  <si>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Осуществление государственных полномочий по лицензированию розничной продажи алкогольной продукции</t>
  </si>
  <si>
    <t>0016500</t>
  </si>
  <si>
    <t>РЦП "Поддержка реформирования общественных финансов на 2008-2009годы"</t>
  </si>
  <si>
    <t>5228800</t>
  </si>
  <si>
    <t>Выполнение функций  местными органами</t>
  </si>
  <si>
    <t>МЦП "Реформирование системы управления  общественными  финансами мо "Онгудайский район"  на 2008-2009годы"</t>
  </si>
  <si>
    <t>7952007</t>
  </si>
  <si>
    <t>Обеспечение деятельности  финансовых, налоговых и таможенных  органов и органов финансового надзора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</si>
  <si>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</si>
  <si>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Выполнение функций  государственными органами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</si>
  <si>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</si>
  <si>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</si>
  <si>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</si>
  <si>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</si>
  <si>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Прочие расходы</t>
  </si>
  <si>
    <t>013</t>
  </si>
  <si>
    <t>0700000</t>
  </si>
  <si>
    <t>Резервные фонды местных администраций</t>
  </si>
  <si>
    <t>0700500</t>
  </si>
  <si>
    <t>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</si>
  <si>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</si>
  <si>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</si>
  <si>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</si>
  <si>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коменсаций</t>
  </si>
  <si>
    <t>009</t>
  </si>
  <si>
    <t>Выполнение других обязательств государства</t>
  </si>
  <si>
    <t>Прочие расходы, финансируемые по поступлению доходов и источников  финансирования дефицита бюджтеа</t>
  </si>
  <si>
    <t>МЦП «Профилактика правонарушений на территории Онгудайского района на 2010-2012 г.г»</t>
  </si>
  <si>
    <t>7950001</t>
  </si>
  <si>
    <t>МЦП «Повышение безопасности дорожного движения в Онгудайском районе на 2010-2012г</t>
  </si>
  <si>
    <t>7952006</t>
  </si>
  <si>
    <t>Субсидии юридическим лицам</t>
  </si>
  <si>
    <t>006</t>
  </si>
  <si>
    <t>Субсидии на поддержку малого и среднего предпринимательства, включая крестьянские (фермерские) хозяйства</t>
  </si>
  <si>
    <t>3450101</t>
  </si>
  <si>
    <t>МЦП  «Развитие малого предпринимательства  и туризма в Онгудайском районе на 2010-2012г</t>
  </si>
  <si>
    <t>7950002</t>
  </si>
  <si>
    <t>Жилищно-коммунальное хозяйство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</si>
  <si>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</si>
  <si>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</si>
  <si>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017</t>
  </si>
  <si>
    <t>Обеспечение мероприятий по капит.ремонту многоквартирных домов и переселению граждан из аварийного жилищного фонда за счет средств бюджетов</t>
  </si>
  <si>
    <t>0980200</t>
  </si>
  <si>
    <t>Субсидии юридическим лицам на финансовое обеспечение мероприятий по проведению капитального ремонта многоквартирных домов</t>
  </si>
  <si>
    <t>0980201</t>
  </si>
  <si>
    <t>Переподготовка и повышение квалификации</t>
  </si>
  <si>
    <t>КЦСР 5201500</t>
  </si>
  <si>
    <t>Культура,кинематография</t>
  </si>
  <si>
    <t>4429900</t>
  </si>
  <si>
    <t>4419900</t>
  </si>
  <si>
    <t xml:space="preserve">Физическая культура </t>
  </si>
  <si>
    <t>Выравнивание уровня бюджетной обеспеченности поселений из районного фонда фин.поддержки</t>
  </si>
  <si>
    <t>5160130</t>
  </si>
  <si>
    <t>Фонд финансовой поддержки</t>
  </si>
  <si>
    <t>008</t>
  </si>
  <si>
    <t>Субсидии бюджетам  субъектов Российской Федерации  и  муниципальных образований (межбюджетные субсидии)</t>
  </si>
  <si>
    <t>Субсидии бюджетам  муниципальных образований для софинансирования расходных обязательств, возникающих при выполнении  полномочий  органов местного самоуправления по вопросам местного значения</t>
  </si>
  <si>
    <t>8101000</t>
  </si>
  <si>
    <t>Субсидии на капитальный  и текущий ремонт  объектов  социально-культурной сферы</t>
  </si>
  <si>
    <t>8101001</t>
  </si>
  <si>
    <t>Фонд софинансирования</t>
  </si>
  <si>
    <t>010</t>
  </si>
  <si>
    <t>Субсидии на софинансирование  расходов на благоустройство</t>
  </si>
  <si>
    <t>8101002</t>
  </si>
  <si>
    <t>Субсидии на софинансирование  расходов  по решению  вопросов местного значения поселений, связанных с реализацией  Закона РФ  от06.10.2003г №131-ФЗ</t>
  </si>
  <si>
    <t>8101003</t>
  </si>
  <si>
    <t>Субвенции бюджетам субъектов  Российской Федерации и  муниципальных образований</t>
  </si>
  <si>
    <t>Осуществление  первичного  воинского учета на территориях, где отсутствуют военные комиссариаты</t>
  </si>
  <si>
    <t>Фонд компенсаций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</si>
  <si>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</si>
  <si>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</si>
  <si>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</si>
  <si>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</si>
  <si>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</si>
  <si>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5160110</t>
  </si>
  <si>
    <t>Фонд финансовой помощи</t>
  </si>
  <si>
    <t xml:space="preserve">Выравнивание бюджетной обеспеченности поселений из районного фонда финансовой поддержки </t>
  </si>
  <si>
    <t>87</t>
  </si>
  <si>
    <t>Отдел труда и социального развития  Онгудайского района</t>
  </si>
  <si>
    <t>150</t>
  </si>
  <si>
    <t>Обеспечение деятельности подведомственных  учреждений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</si>
  <si>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</si>
  <si>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4910200</t>
  </si>
  <si>
    <t>Доплаты к пенсиям государственных служащих субъектов Российской Федерации и муниципальных служащих</t>
  </si>
  <si>
    <t>4910100</t>
  </si>
  <si>
    <t>5056900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</si>
  <si>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</si>
  <si>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0016300</t>
  </si>
  <si>
    <t>Учреждения социального обслуживания населения</t>
  </si>
  <si>
    <t>5070000</t>
  </si>
  <si>
    <t>5079900</t>
  </si>
  <si>
    <t>5089900</t>
  </si>
  <si>
    <t>Социальная помощь</t>
  </si>
  <si>
    <t>5050000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</si>
  <si>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</si>
  <si>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5052205</t>
  </si>
  <si>
    <t>Обеспечение мер социальной поддержки для лиц, награжденных знаком "Почетный донор России"</t>
  </si>
  <si>
    <t>5052901</t>
  </si>
  <si>
    <t>Пособия по социальной помощи населению</t>
  </si>
  <si>
    <t>5053000</t>
  </si>
  <si>
    <t>Ежемесячное пособие на ребенка</t>
  </si>
  <si>
    <t>5053001</t>
  </si>
  <si>
    <t>Обеспечение мер социальной поддержки ветеранов труда и тружеников тыла</t>
  </si>
  <si>
    <t>5053101</t>
  </si>
  <si>
    <t>5053100</t>
  </si>
  <si>
    <t>Обеспечение мер социальной поддержки ветеранов труда РА</t>
  </si>
  <si>
    <t>5053110</t>
  </si>
  <si>
    <t>Обеспечение мер социальной поддержки ветеранов труда федер.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</si>
  <si>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Ленинграда"</t>
  </si>
  <si>
    <t>5053400</t>
  </si>
  <si>
    <t>5053402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</si>
  <si>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</si>
  <si>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5054500</t>
  </si>
  <si>
    <t>Оплата жилищно-коммунальных услуг отдельным категориям граждан</t>
  </si>
  <si>
    <t>5054600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</si>
  <si>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</si>
  <si>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5054700</t>
  </si>
  <si>
    <t>5054701</t>
  </si>
  <si>
    <t>Предоставление гражданам субсидий на оплату жилого помещения и коммунальных услуг</t>
  </si>
  <si>
    <t>5054800</t>
  </si>
  <si>
    <t>5054801</t>
  </si>
  <si>
    <t>5055511</t>
  </si>
  <si>
    <t>5055521</t>
  </si>
  <si>
    <t>5055530</t>
  </si>
  <si>
    <t>5055531</t>
  </si>
  <si>
    <t>Предоставление гарантированных услуг по погребению</t>
  </si>
  <si>
    <t>5056500</t>
  </si>
  <si>
    <t>Предоставление мер социальной поддержки ветеранам труда Республики Алтай</t>
  </si>
  <si>
    <t>5056600</t>
  </si>
  <si>
    <t>Предоставление мер социальной поддержки некоторым категориям работников, проживающих в сельской местности Республики Алтай</t>
  </si>
  <si>
    <t>5056700</t>
  </si>
  <si>
    <t>Предоставление мер социальной поддержки многодетным семьям</t>
  </si>
  <si>
    <t>5056800</t>
  </si>
  <si>
    <t>Оказание других видов социальной помощи</t>
  </si>
  <si>
    <t>5058500</t>
  </si>
  <si>
    <t>Реализация государственных функций в области социальной политики</t>
  </si>
  <si>
    <t>5140000</t>
  </si>
  <si>
    <t>5058501</t>
  </si>
  <si>
    <t>Руководство и управление в сфере установленных функций</t>
  </si>
  <si>
    <t>Целевые программы муниципальных образований</t>
  </si>
  <si>
    <t>7950000</t>
  </si>
  <si>
    <t xml:space="preserve">Районная подпрограмма «Социальная поддержка населения МО "Онгудайский район" </t>
  </si>
  <si>
    <t>7952009</t>
  </si>
  <si>
    <t>Мероприятия в области социальной политики</t>
  </si>
  <si>
    <t>482</t>
  </si>
  <si>
    <t>МЦП "Улучшения условий и охраны труда в МО "Онгудайский район на 2011-2013г.г."</t>
  </si>
  <si>
    <t>7952011</t>
  </si>
  <si>
    <t>ОВД   по Онгудайскому району</t>
  </si>
  <si>
    <t>188</t>
  </si>
  <si>
    <t>МЦП "Профилактика правонарушений в муниципальном образорвании "Онгудайский район" на 2006-2009 г.г.""</t>
  </si>
  <si>
    <t>Целевая программа "Повышение безопасности дорожного движения в Онгудайском районе на 2007-2009 годы"</t>
  </si>
  <si>
    <t>Администрация Онгудайского района (аймака)</t>
  </si>
  <si>
    <t>800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</si>
  <si>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</si>
  <si>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</si>
  <si>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</si>
  <si>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</si>
  <si>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</si>
  <si>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</si>
  <si>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Осуществление государственных полномочий по вопросам административного законодательства</t>
  </si>
  <si>
    <t>0016000</t>
  </si>
  <si>
    <t>Софинансирование РЦП "Поддержка реформирования общественных финансов на 2008-2009годы"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</si>
  <si>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</si>
  <si>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</si>
  <si>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Обеспечение  проведения  выборов  и референдумов</t>
  </si>
  <si>
    <t>Проведение  выборов 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</si>
  <si>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</si>
  <si>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</si>
  <si>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</si>
  <si>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Проведение выборов главы муниципального образования</t>
  </si>
  <si>
    <t>0200003</t>
  </si>
  <si>
    <t>Осуществление государственных полномочий в области архивного дела</t>
  </si>
  <si>
    <t>0016100</t>
  </si>
  <si>
    <t>Дворцы и дома культуры, другие учреждения культуры и средств массовой информации</t>
  </si>
  <si>
    <t>4400000</t>
  </si>
  <si>
    <t>4409900</t>
  </si>
  <si>
    <t>Субвенции на осуществление полномочий по подготовке и проведению переписи населения</t>
  </si>
  <si>
    <t>0014300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</si>
  <si>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</si>
  <si>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</si>
  <si>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</si>
  <si>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</si>
  <si>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</si>
  <si>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</si>
  <si>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</si>
  <si>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МЦП "Развитие агропромышленного комплекса в Онгудайском районе" на 2011-2014 годы</t>
  </si>
  <si>
    <t>7952005</t>
  </si>
  <si>
    <t>Мероприятия в области сельскохозяйственного производства</t>
  </si>
  <si>
    <t>342</t>
  </si>
  <si>
    <t>Дорожное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</si>
  <si>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</si>
  <si>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3150201</t>
  </si>
  <si>
    <t>ФЦП "Жилище" на 2008-2010г.г."Обеспечение земельных участков  коммунальной инфраструктурой  в целях жил.строительства</t>
  </si>
  <si>
    <t>5229606</t>
  </si>
  <si>
    <t>Другие вопросы в области  национальной экономики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</si>
  <si>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</si>
  <si>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</si>
  <si>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</si>
  <si>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003</t>
  </si>
  <si>
    <t>Мероприятия в области строительства, архитектуры и градостроительства</t>
  </si>
  <si>
    <t>3380000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</si>
  <si>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</si>
  <si>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</si>
  <si>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</si>
  <si>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</si>
  <si>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</si>
  <si>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Мероприятия в области жилищного хозяйства</t>
  </si>
  <si>
    <t>3500300</t>
  </si>
  <si>
    <t>0980202</t>
  </si>
  <si>
    <t>Софинансирование объектов капитального строительства</t>
  </si>
  <si>
    <t>1001100</t>
  </si>
  <si>
    <t>ФЦП Преодоление последствий радиационных аварий" на период до 2010 года"</t>
  </si>
  <si>
    <t>1002900</t>
  </si>
  <si>
    <t>Бюджетные инвестиции в объекты капитального строительства, не включенные в целевые программы</t>
  </si>
  <si>
    <t>1020000</t>
  </si>
  <si>
    <t>1020100</t>
  </si>
  <si>
    <t>Мероприятия в области коммунального хозяйства</t>
  </si>
  <si>
    <t>3510500</t>
  </si>
  <si>
    <t>Региональные целевые программы</t>
  </si>
  <si>
    <t>5220000</t>
  </si>
  <si>
    <t>РЦП Развитие АПК с 2011 до 2017г</t>
  </si>
  <si>
    <t>5222700</t>
  </si>
  <si>
    <t>5222702</t>
  </si>
  <si>
    <t>Региональная целевая программа "Отходы 2008-2010г.г"</t>
  </si>
  <si>
    <t>5229500</t>
  </si>
  <si>
    <t>Развитие социальной  и  инженерной инфраструктуры субъектов РФ и муниципальных образований</t>
  </si>
  <si>
    <t>5230000</t>
  </si>
  <si>
    <t>Капитальное строительство объектов муниципальных образований</t>
  </si>
  <si>
    <t>5230101</t>
  </si>
  <si>
    <t>Федеральная целевая программа «Преодоление последствий радиационных аварий на период до 2010 года»</t>
  </si>
  <si>
    <t>5230200</t>
  </si>
  <si>
    <t>Муниципальные целевые программы</t>
  </si>
  <si>
    <t>МЦП "Обеспечение населения Онгудайского района питьевой водой на 2011-2013г"</t>
  </si>
  <si>
    <t>7952021</t>
  </si>
  <si>
    <t>Благоустрой ство</t>
  </si>
  <si>
    <t>6000000</t>
  </si>
  <si>
    <t>Организация и содержание мест захоронения</t>
  </si>
  <si>
    <t>6000400</t>
  </si>
  <si>
    <t>Софинансирование РЦП "Жилище " на 2008-2010гг" подпрограмма "Обеспечение земельных участков коммунальной инфраструктурой в целях жилищного строительства на территории РА"</t>
  </si>
  <si>
    <t>Субсидии на реализацию РЦП "Жилище " на 2008-2010гг" подпрограмма "Обеспечение земельных участков коммунальной инфраструктурой в целях жилищного строительства на территории РА"</t>
  </si>
  <si>
    <t>Бюджетные инвестиции  в объекты капитального строительства собственности муниципальных образований</t>
  </si>
  <si>
    <t>Субсидии на реализацию РЦП "Развитие агропромышленного комплекса", на 2011-2017г</t>
  </si>
  <si>
    <t>Субсидии на реализацию РЦП "Демографическое развитие РА на 2010-2015г"</t>
  </si>
  <si>
    <t>5228400</t>
  </si>
  <si>
    <t>Муниципальное автономное образовательное учреждение дополнительного образования детей "Онгудайская детская школа искусств"</t>
  </si>
  <si>
    <t>Выполнение функций  государственными учреждениями</t>
  </si>
  <si>
    <t>Проведение мероприятий для детей и молодежи</t>
  </si>
  <si>
    <t>4310100</t>
  </si>
  <si>
    <t>Культура,кинематография, средства массовой информации</t>
  </si>
  <si>
    <t>Субсидии на реализацию РЦП Развитие АПК с 2009 до 2012г</t>
  </si>
  <si>
    <t>5222000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</si>
  <si>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</si>
  <si>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</si>
  <si>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</si>
  <si>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</si>
  <si>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</si>
  <si>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</si>
  <si>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Другие вопросы в области культуры,кинематографии, средств массовой информации</t>
  </si>
  <si>
    <t>Здравоохранение и спорт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</si>
  <si>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</si>
  <si>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</si>
  <si>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физической культуры, туризма</t>
  </si>
  <si>
    <t>5129700</t>
  </si>
  <si>
    <t>Федеральные целевые программы</t>
  </si>
  <si>
    <t>1000000</t>
  </si>
  <si>
    <t>Федеральная целевая программа «Социальное развитие села до 2010 года»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</si>
  <si>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</si>
  <si>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</si>
  <si>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ФЦП Жилище на 2002-2010г" подпрогр. "Обеспечение жильем молодых семей"</t>
  </si>
  <si>
    <t>1040200</t>
  </si>
  <si>
    <t>Субсидии на осуществление  расходов из местного бюджета  на обеспечение жильем молодых семей прожив.всельской местности</t>
  </si>
  <si>
    <t>5057500</t>
  </si>
  <si>
    <t>Программа муниципального образования "Онгудайский район" "Обеспечение молодых семей "на 2007-2010г.г</t>
  </si>
  <si>
    <t>7952008</t>
  </si>
  <si>
    <t>ФЦП Жилище на 2002-2010г" подпрогр. РЦП "Обеспечение жильем молодых семей"</t>
  </si>
  <si>
    <t>5229604</t>
  </si>
  <si>
    <t>Субсидии на проведение ремонта жилья гражданам из числа инвалидов и участников Великой Отечественной Войны , вдов погибших (умерших) участников Великой Отечественной Войны, труженников тыла</t>
  </si>
  <si>
    <t>8101008</t>
  </si>
  <si>
    <t xml:space="preserve">Отдел культуры, спорта и туризма </t>
  </si>
  <si>
    <t>810</t>
  </si>
  <si>
    <t>4319900</t>
  </si>
  <si>
    <t>Районная целевая программа "Рализация молодежной политики в Онгудайской районе на 2010-2013г"</t>
  </si>
  <si>
    <t>Культура, кинематография и средства массовой информации</t>
  </si>
  <si>
    <t>Библиотека</t>
  </si>
  <si>
    <t>4420000</t>
  </si>
  <si>
    <t>субсидии на кап.,текущий ремонт объктов социо-культ.сферы</t>
  </si>
  <si>
    <t>4429902</t>
  </si>
  <si>
    <t>4429903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</si>
  <si>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</si>
  <si>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</si>
  <si>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</si>
  <si>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</si>
  <si>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Комплектование книжных фондов библиотек муниципальных образований</t>
  </si>
  <si>
    <t>4500600</t>
  </si>
  <si>
    <t>Другие вопросы в области культуры, кинематографии</t>
  </si>
  <si>
    <t>Здравоохранение, физическая культура и спорт</t>
  </si>
  <si>
    <t>Мероприятия в области  физической культуры</t>
  </si>
  <si>
    <t xml:space="preserve">Всего 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</si>
  <si>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</si>
  <si>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</si>
  <si>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</si>
  <si>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</si>
  <si>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</si>
  <si>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</si>
  <si>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</si>
  <si>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</si>
  <si>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</si>
  <si>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</si>
  <si>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</si>
  <si>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0302</t>
  </si>
  <si>
    <t>0309</t>
  </si>
  <si>
    <t>0405</t>
  </si>
  <si>
    <t>0409</t>
  </si>
  <si>
    <t>0411</t>
  </si>
  <si>
    <t>0412</t>
  </si>
  <si>
    <t>0501</t>
  </si>
  <si>
    <t>0502</t>
  </si>
  <si>
    <t>0503</t>
  </si>
  <si>
    <t>0505</t>
  </si>
  <si>
    <t>0701</t>
  </si>
  <si>
    <t>0702</t>
  </si>
  <si>
    <t>0705</t>
  </si>
  <si>
    <t>0707</t>
  </si>
  <si>
    <t>0709</t>
  </si>
  <si>
    <t>0801</t>
  </si>
  <si>
    <t>0804</t>
  </si>
  <si>
    <t>0806</t>
  </si>
  <si>
    <t>0901</t>
  </si>
  <si>
    <t>0902</t>
  </si>
  <si>
    <t>0904</t>
  </si>
  <si>
    <t>,</t>
  </si>
  <si>
    <t>0908</t>
  </si>
  <si>
    <t>0909</t>
  </si>
  <si>
    <t>0910</t>
  </si>
  <si>
    <t>1001</t>
  </si>
  <si>
    <t>1002</t>
  </si>
  <si>
    <t>1003</t>
  </si>
  <si>
    <t>1004</t>
  </si>
  <si>
    <t>1006</t>
  </si>
  <si>
    <t>1101</t>
  </si>
  <si>
    <t>1102</t>
  </si>
  <si>
    <t>1103</t>
  </si>
  <si>
    <t>итог</t>
  </si>
  <si>
    <t>Приложение 2</t>
  </si>
  <si>
    <t>ОБЪЕМ ПОСТУПЛЕНИЙ ДОХОДОВ ПО ОСНОВНЫМ ИСТОЧНИКАМ В 2011 ГОДУ</t>
  </si>
  <si>
    <t>Код главы  администратора</t>
  </si>
  <si>
    <t>Код бюджетной классификации Российской Федерации</t>
  </si>
  <si>
    <t>Наименование доходов</t>
  </si>
  <si>
    <t>Всего утверждено</t>
  </si>
  <si>
    <t>Отклонение (+,-)</t>
  </si>
  <si>
    <t>Сумма на утверждение</t>
  </si>
  <si>
    <t>000</t>
  </si>
  <si>
    <t xml:space="preserve"> 1 0000000 00 0000 000</t>
  </si>
  <si>
    <t>НАЛОГОВЫЕ И НЕНАЛОГОВЫЕ ДОХОДЫ</t>
  </si>
  <si>
    <t>НАЛОГОВЫЕ ДОХОДЫ</t>
  </si>
  <si>
    <t xml:space="preserve"> 1 0100000 00 0000 000</t>
  </si>
  <si>
    <t>НАЛОГИ НА ПРИБЫЛЬ, ДОХОДЫ</t>
  </si>
  <si>
    <t>182</t>
  </si>
  <si>
    <t xml:space="preserve"> 1 0102000 01 0000 110</t>
  </si>
  <si>
    <t>Налог на доходы физических лиц</t>
  </si>
  <si>
    <t xml:space="preserve"> 1 0102010 01 0000 110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</si>
  <si>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</si>
  <si>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 xml:space="preserve"> 1 0102020 01 0000 110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</si>
  <si>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</si>
  <si>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1 0102021 01 0000 110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</si>
  <si>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</si>
  <si>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1 0102022 01 0000 110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</si>
  <si>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</si>
  <si>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1 0102030 01 0000 110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</si>
  <si>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</si>
  <si>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 1 0102040 01 0000 110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</si>
  <si>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  на процентах при получении  заемных (кредитных) средств.</t>
  </si>
  <si>
    <t>000 1 03 00000 00 0000 000</t>
  </si>
  <si>
    <t>НАЛОГИ НА ТОВАРЫ (РАБОТЫ, УСЛУГИ), РЕАЛИЗУЕМЫЕ НА ТЕРРИТОРИИ РОССИЙСКОЙ ФЕДЕРАЦИИ</t>
  </si>
  <si>
    <t xml:space="preserve"> 1 0500000 00 0000 000</t>
  </si>
  <si>
    <t>НАЛОГИ НА СОВОКУПНЫЙ ДОХОД</t>
  </si>
  <si>
    <t xml:space="preserve"> 1 0501000 00 0000 110</t>
  </si>
  <si>
    <t>Налог, взимаемый в связи с применением упрощенной системы налогообложения</t>
  </si>
  <si>
    <t xml:space="preserve"> 1 0501010 01 0000 110</t>
  </si>
  <si>
    <t>Налог, взимаемый  с налогоплательщиков, выбравших в качестве объекта налогообложения доходы</t>
  </si>
  <si>
    <t xml:space="preserve"> 1 0501020 01 0000 110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</si>
  <si>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</si>
  <si>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 1 0502000 02 0000 110</t>
  </si>
  <si>
    <t>Единый налог на вмененный доход для отдельных видов деятельности</t>
  </si>
  <si>
    <t xml:space="preserve"> 1 0503000 01 0000 110</t>
  </si>
  <si>
    <t>Единый сельскохозяйственный налог</t>
  </si>
  <si>
    <t xml:space="preserve"> 1 0600000 00 0000 000</t>
  </si>
  <si>
    <t>НАЛОГИ НА ИМУЩЕСТВО</t>
  </si>
  <si>
    <t>182 1 06 01000 03 0000 110</t>
  </si>
  <si>
    <t>Налог на имущество физических лиц</t>
  </si>
  <si>
    <t xml:space="preserve"> 1 0602000 02 0000 110</t>
  </si>
  <si>
    <t>Налог на имущество организаций</t>
  </si>
  <si>
    <t xml:space="preserve"> 1 0602010 02 0000 110</t>
  </si>
  <si>
    <t>Налог на имущество организаций по имуществу, не входящему в Единую систему газоснабжения</t>
  </si>
  <si>
    <t xml:space="preserve"> 1 0602020 02 0000 110</t>
  </si>
  <si>
    <t>Налог на имущество организаций по имуществу, входящему в Единую систему газоснабжения</t>
  </si>
  <si>
    <t xml:space="preserve"> 1 0604000 02 0000 110</t>
  </si>
  <si>
    <t>Транспортный налог</t>
  </si>
  <si>
    <t xml:space="preserve"> 1 0604011 02 0000 110</t>
  </si>
  <si>
    <t>Транспортный налог с организаций</t>
  </si>
  <si>
    <t xml:space="preserve"> 1 0604012 02 0000 110</t>
  </si>
  <si>
    <t>Транспортный налог с физических лиц</t>
  </si>
  <si>
    <t>182 1 06 05000 02 0000 110</t>
  </si>
  <si>
    <t>Налог на игорный бизнес</t>
  </si>
  <si>
    <t>182 1 06 06000 00 0000 110</t>
  </si>
  <si>
    <t>Земельный налог</t>
  </si>
  <si>
    <t xml:space="preserve"> 1 0700000 00 0000 000</t>
  </si>
  <si>
    <t>НАЛОГИ, СБОРЫ И РЕГУЛЯРНЫЕ ПЛАТЕЖИ ЗА ПОЛЬЗОВАНИЕ ПРИРОДНЫМИ РЕСУРСАМИ</t>
  </si>
  <si>
    <t xml:space="preserve"> 1 0701000 01 0000 110</t>
  </si>
  <si>
    <t>Налог на добычу полезных ископаемых</t>
  </si>
  <si>
    <t xml:space="preserve"> 1 0701020 01 0000 110</t>
  </si>
  <si>
    <t>Налог на добычу общераспространенных полезных ископаемых</t>
  </si>
  <si>
    <t>182 1 07 01030 01 0000 110</t>
  </si>
  <si>
    <t>Налог на добычу прочих полезных ископаемых ( за исключением полезных ископаемых в виде природных алмазов)</t>
  </si>
  <si>
    <t>182 1 07 04000 01 0000 110</t>
  </si>
  <si>
    <t>Сборы за пользование объектами животного мира и за пользование объектами водных биологических ресурсов</t>
  </si>
  <si>
    <t>182 1 07 04010 01 0000 110</t>
  </si>
  <si>
    <t>Сбор за пользование объектами животного мира</t>
  </si>
  <si>
    <t xml:space="preserve"> 1 0800000 00 0000 000</t>
  </si>
  <si>
    <t>ГОСУДАРСТВЕННАЯ ПОШЛИНА</t>
  </si>
  <si>
    <t xml:space="preserve"> 1 0803000 01 0000 000</t>
  </si>
  <si>
    <t>Государственная пошлина по делам, рассматриваемым в судах общей юрисдикции, мировыми судьями</t>
  </si>
  <si>
    <t xml:space="preserve"> 1 0803010 01 0000 110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</si>
  <si>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</si>
  <si>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092 1 08 04000 01 0000 110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</si>
  <si>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</si>
  <si>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</si>
  <si>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</si>
  <si>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1 0807084 01 1000 110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</si>
  <si>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</si>
  <si>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 xml:space="preserve"> 1 0807140 01 0000 110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</si>
  <si>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</si>
  <si>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1 0807140 01 0000 110</t>
  </si>
  <si>
    <t>182 1 09 01000 03 0000 110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</si>
  <si>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</si>
  <si>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182 1 09 04000 00 0000 110</t>
  </si>
  <si>
    <t>Налоги на имущество</t>
  </si>
  <si>
    <t>182 1 09 04050 03 0000 110</t>
  </si>
  <si>
    <t>Земельный налог (по обязательствам, возникшим до 1 января 2006 г.)</t>
  </si>
  <si>
    <t>182 1 09 06000 02 0000 110</t>
  </si>
  <si>
    <t>Прочие налоги и сборы (по отмененным налогам и сборам субъектов Российской Федерации)</t>
  </si>
  <si>
    <t>182 1 09 06010 02 0000 110</t>
  </si>
  <si>
    <t>Налог с продаж</t>
  </si>
  <si>
    <t>182 1 09 07000 03 0000 110</t>
  </si>
  <si>
    <t>Прочие налоги и сборы (по отмененным местным налогам и сборам)</t>
  </si>
  <si>
    <t>182 1 09 07030 03 0000 110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</si>
  <si>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</si>
  <si>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182 1 09 07050 03 0000 110</t>
  </si>
  <si>
    <t>Прочие местные налоги и сборы</t>
  </si>
  <si>
    <t>НЕНАЛОГОВЫЕ ДОХОДЫ</t>
  </si>
  <si>
    <t xml:space="preserve"> 1 1100000 00 0000 000</t>
  </si>
  <si>
    <t>ДОХОДЫ ОТ ИСПОЛЬЗОВАНИЯ ИМУЩЕСТВА, НАХОДЯЩЕГОСЯ В ГОСУДАРСТВЕННОЙ И МУНИЦИПАЛЬНОЙ СОБСТВЕННОСТИ</t>
  </si>
  <si>
    <t xml:space="preserve"> 1 1103000 00 0000 120</t>
  </si>
  <si>
    <t>Проценты, полученные от предоставления бюджетных кредитов внутри страны</t>
  </si>
  <si>
    <t xml:space="preserve"> 1 1103050 05 0000 120</t>
  </si>
  <si>
    <t>Проценты, полученные от предоставления бюджетных кредитов внутри страны за счет средств   бюджетов муниципальных районов</t>
  </si>
  <si>
    <t xml:space="preserve"> 1 1105000 00 0000 120</t>
  </si>
  <si>
    <t>Доходы, получаемые в виде арендной  либо иной платы за передачу в возмездное пользование  государственного и муниципального имущества (за исключением имущества автономных учреждений, а так же имущества государственных и муниципальных унитарных предприятий, в том числе казенных)</t>
  </si>
  <si>
    <t xml:space="preserve"> 1 1105010 00 0000 120</t>
  </si>
  <si>
    <t>Доходы, получаемые в виде арендной платы за земельные участки,  государственная собственность на которые не разграничена,   а также средства  от продажи права на заключение договоров аренды указанных земельных участков</t>
  </si>
  <si>
    <t>092 1 11 05010 05 0000 120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</si>
  <si>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межселенных территорий муниципальных районов,   а также средства  от продажи права на заключение договоров аренды указанных земельных участков</t>
  </si>
  <si>
    <t xml:space="preserve"> 1 1105010 10 0000 120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</si>
  <si>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  а также средства  от продажи права на заключение договоров аренды указанных земельных участков</t>
  </si>
  <si>
    <t xml:space="preserve"> 1 1105030 00 0000 120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</si>
  <si>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федеральных автономных учреждений)</t>
  </si>
  <si>
    <t xml:space="preserve"> 1 1105035 05 0000 120</t>
  </si>
  <si>
    <t>Доходы от сдачи в аренду имущества, находящегося в оперативном управлении  органов управления  муниципальных районов и созданных ими учреждений ( за исключением имущества муниципальных автономных учреждений)</t>
  </si>
  <si>
    <t>000 1 11 08000 00 0000 120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</si>
  <si>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</si>
  <si>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1 11 08010 00 0000 120</t>
  </si>
  <si>
    <t>Доходы от распоряжения 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</si>
  <si>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>1 11 08013 03 0000 120</t>
  </si>
  <si>
    <t>Доходы от распоряжения  правами на результаты интеллектуальной деятельности военного, специального и двойного назначения, находящимися в муниципальной собственности</t>
  </si>
  <si>
    <t>1 11 08020 00 0000 120</t>
  </si>
  <si>
    <t>Доходы от распоряжения  правами на результаты научно-технической деятельности, находящимися в государственной и муниципальной собственности</t>
  </si>
  <si>
    <t>1 11 08023 03 0000 120</t>
  </si>
  <si>
    <t>Доходы от распоряжения  правами на результаты научно-технической деятельности, находящимися в  муниципальной собственности</t>
  </si>
  <si>
    <t>1 11 08030 00 0000 120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</si>
  <si>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</si>
  <si>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1 11 08033 03 0000 120</t>
  </si>
  <si>
    <t>Доходы от эксплуатации и использования имущества автомобильных дорог, находящихся в муниципальной собственности</t>
  </si>
  <si>
    <t>092 1 11 08040 00 0000 120</t>
  </si>
  <si>
    <t>Прочие поступления от использования имущества, находящегося в государственной и муниципальной собственности</t>
  </si>
  <si>
    <t>092 1 11 08043 03 0000 120</t>
  </si>
  <si>
    <t>Прочие поступления от использования имущества, находящегося в муниципальной собственности</t>
  </si>
  <si>
    <t xml:space="preserve"> 1 1200000 00 0000 000</t>
  </si>
  <si>
    <t>ПЛАТЕЖИ ПРИ ПОЛЬЗОВАНИИ ПРИРОДНЫМИ РЕСУРСАМИ</t>
  </si>
  <si>
    <t>498</t>
  </si>
  <si>
    <t xml:space="preserve"> 1 1201000 01 0000 120</t>
  </si>
  <si>
    <t>Плата за негативное воздействие на окружающую среду</t>
  </si>
  <si>
    <t>1 12 02100 00 0000 120</t>
  </si>
  <si>
    <t>Прочие платежи при пользовании недрами</t>
  </si>
  <si>
    <t>1 12 02103 01 0000 120</t>
  </si>
  <si>
    <t>Прочие платежи при пользовании недрами, зачисляемые в местные бюджеты</t>
  </si>
  <si>
    <t xml:space="preserve"> 1 1300000 00 0000 000</t>
  </si>
  <si>
    <t>ДОХОДЫ ОТ ОКАЗАНИЯ ПЛАТНЫХ УСЛУГ И КОМПЕНСАЦИИ ЗАТРАТ ГОСУДАРСТВА</t>
  </si>
  <si>
    <t>000 1 13 01000 00 0000 130</t>
  </si>
  <si>
    <t>Доходы от оказания услуг или компенсации затрат государства</t>
  </si>
  <si>
    <t>1 13 02000 00 0000 130</t>
  </si>
  <si>
    <t>Лицензионные сборы</t>
  </si>
  <si>
    <t xml:space="preserve"> 1 13 02020 00 0000 130</t>
  </si>
  <si>
    <t>Сборы за выдачу лицензий  на розничную продажу алкогольной продукции</t>
  </si>
  <si>
    <t xml:space="preserve"> 1 1302024 05 0000 130</t>
  </si>
  <si>
    <t>Сборы за выдачу  органами местного самоуправления муници пальных районов лицензий на розничную продажу алкогольной продукции</t>
  </si>
  <si>
    <t xml:space="preserve"> 1 1303000 00 0000 130</t>
  </si>
  <si>
    <t>Прочие доходы от оказания платных услуг и компенсации затрат государства</t>
  </si>
  <si>
    <t xml:space="preserve"> 1 1303050 05 0000 130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</si>
  <si>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</si>
  <si>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</si>
  <si>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</si>
  <si>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</si>
  <si>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</si>
  <si>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1 14 01030 03 0000 410</t>
  </si>
  <si>
    <t>Доходы местных бюджетов от продажи квартир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</si>
  <si>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</si>
  <si>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</si>
  <si>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</si>
  <si>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r>
      <t xml:space="preserve">000 1 14 02030 05 0000 </t>
    </r>
    <r>
      <rPr>
        <sz val="11"/>
        <color indexed="10"/>
        <rFont val="Times New Roman"/>
        <family val="1"/>
        <charset val="204"/>
      </rPr>
      <t>440</t>
    </r>
  </si>
  <si>
    <r>
      <t xml:space="preserve">Доходы от реализации имущества, находящегося в  собственности муниципальных районов (в части реализации </t>
    </r>
    <r>
      <rPr>
        <sz val="11"/>
        <color indexed="10"/>
        <rFont val="Times New Roman"/>
        <family val="1"/>
        <charset val="204"/>
      </rPr>
      <t>материальных запасов</t>
    </r>
    <r>
      <rPr>
        <sz val="11"/>
        <color indexed="8"/>
        <rFont val="Times New Roman"/>
        <family val="1"/>
        <charset val="204"/>
      </rPr>
      <t xml:space="preserve"> по указанному имуществу)</t>
    </r>
  </si>
  <si>
    <t>092 1 14 02031 03 0000 410</t>
  </si>
  <si>
    <t>Доходы от реализации имущества муниципальных унитарных предприятий (в части реализации основных средств по указанному имуществу)</t>
  </si>
  <si>
    <t>092 1 14 02031 03 0000 440</t>
  </si>
  <si>
    <t>Доходы от реализации имущества муниципальных унитарных предприятий (в части реализации материальных запасов по указанному имуществу)</t>
  </si>
  <si>
    <t>092 1 14 02032 03 0000 410</t>
  </si>
  <si>
    <t>Доходы местных бюджетов от реализации имущества, находящегося в оперативном управлении учреждений, находящихся в ведении органов местного самоуправления (в части реализации основных средств по указанному имуществу)</t>
  </si>
  <si>
    <t>092 1 14 02032 03 0000 440</t>
  </si>
  <si>
    <t>Доходы местных бюджетов от реализации имущества, находящегося в оперативном управлении учреждений, находящихся в ведении органов местного самоуправления (в части реализации материальных запасов по указанному имуществу)</t>
  </si>
  <si>
    <t>092 1 14 02033 03 0000 410</t>
  </si>
  <si>
    <t>Доходы от реализации иного имущества, находящегося в муниципальной собственности (в части реализации основных средств по указанному имуществу)</t>
  </si>
  <si>
    <t>092 1 14 02033 03 0000 440</t>
  </si>
  <si>
    <t>Доходы от реализации иного имущества, находящегося в муниципальной собственности (в части реализации материальных запасов по указанному имуществу)</t>
  </si>
  <si>
    <r>
      <t xml:space="preserve">000 1 14 03000 00 0000 </t>
    </r>
    <r>
      <rPr>
        <sz val="11"/>
        <color indexed="10"/>
        <rFont val="Times New Roman"/>
        <family val="1"/>
        <charset val="204"/>
      </rPr>
      <t>410</t>
    </r>
  </si>
  <si>
    <r>
      <t xml:space="preserve">Средства от распоряжения и реализации конфискованного и иного имущества, обращенного в доход государства (в части реализации </t>
    </r>
    <r>
      <rPr>
        <sz val="11"/>
        <color indexed="10"/>
        <rFont val="Times New Roman"/>
        <family val="1"/>
        <charset val="204"/>
      </rPr>
      <t>основных средств</t>
    </r>
    <r>
      <rPr>
        <sz val="11"/>
        <color indexed="8"/>
        <rFont val="Times New Roman"/>
        <family val="1"/>
        <charset val="204"/>
      </rPr>
      <t xml:space="preserve"> по указанному имуществу)</t>
    </r>
  </si>
  <si>
    <r>
      <t xml:space="preserve">000 1 14 03000 00 0000 </t>
    </r>
    <r>
      <rPr>
        <sz val="11"/>
        <color indexed="10"/>
        <rFont val="Times New Roman"/>
        <family val="1"/>
        <charset val="204"/>
      </rPr>
      <t>440</t>
    </r>
  </si>
  <si>
    <r>
      <t xml:space="preserve">Средства от распоряжения и реализации конфискованного и иного имущества, обращенного в доход государства (в части реализации </t>
    </r>
    <r>
      <rPr>
        <sz val="11"/>
        <color indexed="10"/>
        <rFont val="Times New Roman"/>
        <family val="1"/>
        <charset val="204"/>
      </rPr>
      <t>материальных запасов</t>
    </r>
    <r>
      <rPr>
        <sz val="11"/>
        <color indexed="8"/>
        <rFont val="Times New Roman"/>
        <family val="1"/>
        <charset val="204"/>
      </rPr>
      <t xml:space="preserve"> по указанному имуществу)</t>
    </r>
  </si>
  <si>
    <t xml:space="preserve"> 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</si>
  <si>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</si>
  <si>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</si>
  <si>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</si>
  <si>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000 1 14 04000 00 0000 420</t>
  </si>
  <si>
    <t>Доходы от продажи нематериальных активов</t>
  </si>
  <si>
    <t>092 1 14 04030 03 0000 420</t>
  </si>
  <si>
    <t>Доходы местных бюджетов от продажи нематериальных активов</t>
  </si>
  <si>
    <t xml:space="preserve"> 1 15 00000 00 0000 000</t>
  </si>
  <si>
    <t>АДМИНИСТРАТИВНЫЕ ПЛАТЕЖИ И СБОРЫ</t>
  </si>
  <si>
    <t>092 1 15 01000 00 0000 140</t>
  </si>
  <si>
    <t>Административные сборы</t>
  </si>
  <si>
    <t>092 1 15 01010 01 0000 140</t>
  </si>
  <si>
    <t>Исполнительский сбор</t>
  </si>
  <si>
    <t xml:space="preserve"> 1 1502000 00 0000 140</t>
  </si>
  <si>
    <t>Платежи, взимаемые государственными и муниципальными организациями за выполнение определенных функций</t>
  </si>
  <si>
    <t xml:space="preserve"> 1 1502050 05 0000 140</t>
  </si>
  <si>
    <t>Платежи, взимаемые   организациями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</si>
  <si>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</si>
  <si>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</si>
  <si>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1 16 03000 00 0000 140</t>
  </si>
  <si>
    <t>Денежные взыскания (штрафы) за нарушение законодательства о налогах и сборах</t>
  </si>
  <si>
    <t xml:space="preserve"> 1 16 03010 01 0000 140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</si>
  <si>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</t>
    </r>
    <r>
      <rPr>
        <vertAlign val="superscript"/>
        <sz val="11"/>
        <color indexed="8"/>
        <rFont val="Times New Roman"/>
        <family val="1"/>
        <charset val="204"/>
      </rPr>
      <t>1</t>
    </r>
    <r>
      <rPr>
        <sz val="11"/>
        <color indexed="8"/>
        <rFont val="Times New Roman"/>
        <family val="1"/>
        <charset val="204"/>
      </rPr>
      <t>, 132, 134,  135 и  135.</t>
    </r>
    <r>
      <rPr>
        <vertAlign val="superscript"/>
        <sz val="11"/>
        <color indexed="8"/>
        <rFont val="Times New Roman"/>
        <family val="1"/>
        <charset val="204"/>
      </rPr>
      <t>1</t>
    </r>
    <r>
      <rPr>
        <sz val="11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</si>
  <si>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182 1 16 03020 02 0000 140</t>
  </si>
  <si>
    <t>Денежные взыскания (штрафы) за нарушение законодательства о налогах и сборах, предусмотренные  статьей 129.2 Налогового кодекса Российской Федерации</t>
  </si>
  <si>
    <t xml:space="preserve">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</si>
  <si>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</si>
  <si>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</si>
  <si>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</si>
  <si>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</si>
  <si>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спирта,алкогольной, спиртсодержащей и табачной  продукции 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</si>
  <si>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</si>
  <si>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</si>
  <si>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1 16 25010 01 0000 140</t>
  </si>
  <si>
    <t>Денежные взыскания (штрафы) за нарушение  законодательства о недрах</t>
  </si>
  <si>
    <t xml:space="preserve"> 1 16 25030 01 0000 140</t>
  </si>
  <si>
    <t xml:space="preserve">Денежные взыскания (штрафы) за нарушение  законодательства об охране и использовании животного мира  </t>
  </si>
  <si>
    <t xml:space="preserve"> 1 16 25050  01 0000 140</t>
  </si>
  <si>
    <t>Денежные взыскания (штрафы) за нарушение законодательства в области охраны окружающей среды</t>
  </si>
  <si>
    <t xml:space="preserve"> 1 16 25060 01 0000 140</t>
  </si>
  <si>
    <t>Денежные взыскания (штрафы) за нарушение земельного законодательства</t>
  </si>
  <si>
    <t>141 1 16 27000 01 0000 140</t>
  </si>
  <si>
    <t>Денежные взыскания (штрафы) за нарушение федерального закона "О пожарной безопасности"</t>
  </si>
  <si>
    <t xml:space="preserve">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</si>
  <si>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</si>
  <si>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1 16 30000 01 0000 140</t>
  </si>
  <si>
    <t>Денежные взыскания (штрафы) за административные правонарушения в области дорожного движения</t>
  </si>
  <si>
    <t xml:space="preserve"> 1 16 33050 05 0000 140</t>
  </si>
  <si>
    <t>Денежные взыскания (штрафы) за нарушение  законодательства РФ о размещении заказов на поставки товаров, выполнение работ, оказание услуг для нужд муниципальных районов</t>
  </si>
  <si>
    <t xml:space="preserve">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</si>
  <si>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</si>
  <si>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 xml:space="preserve"> 1 1690050 05 0000 140</t>
  </si>
  <si>
    <t>177</t>
  </si>
  <si>
    <t xml:space="preserve"> 1 17 00000 00 0000 000</t>
  </si>
  <si>
    <t>ПРОЧИЕ НЕНАЛОГОВЫЕ ДОХОДЫ</t>
  </si>
  <si>
    <t>000 1 17 01000 00 0000 180</t>
  </si>
  <si>
    <t>Невыясненные поступления</t>
  </si>
  <si>
    <t>092 1 17 01030 03 0000 180</t>
  </si>
  <si>
    <t>Невыясненные поступления, зачисляемые в местные бюджеты</t>
  </si>
  <si>
    <t>092 1 17 02000 03 0000 120</t>
  </si>
  <si>
    <t>Возмещение потерь сельскохозяйственного производства, связанных с изъятием сельскохозяйственных угодий</t>
  </si>
  <si>
    <t xml:space="preserve"> 1 1705000 00 0000 180</t>
  </si>
  <si>
    <t>Прочие неналоговые доходы</t>
  </si>
  <si>
    <t xml:space="preserve"> 1 1705050 05 0000 180</t>
  </si>
  <si>
    <t>Прочие неналоговые доходы бюджетов муниципальных районов</t>
  </si>
  <si>
    <t xml:space="preserve"> 1 1900000 00 0000 000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</si>
  <si>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</si>
  <si>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1 1905000 05 0000 151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</si>
  <si>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</si>
  <si>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092 2 02 09000 00 0000 151</t>
  </si>
  <si>
    <t>Прочие безвозмездные поступления  от других бюджетов бюджетной системы</t>
  </si>
  <si>
    <t>092 2 02 09024 05 0000 151</t>
  </si>
  <si>
    <t>Прочие безвозмездные поступления  в бюджеты муниципальных районов от  бюджетов субъектов Российской Федерации</t>
  </si>
  <si>
    <t xml:space="preserve"> 2 0000000 00 0000 000</t>
  </si>
  <si>
    <t>БЕЗВОЗМЕЗДНЫЕ ПОСТУПЛЕНИЯ</t>
  </si>
  <si>
    <t>2 0200000 00 0000 000</t>
  </si>
  <si>
    <t>БЕЗВОЗМЕЗДНЫЕ ПОСТУПЛЕНИЯ ОТ ДРУГИХ БЮДЖЕТОВ БЮДЖЕТНОЙ СИСТЕМЫ РОССИЙСКОЙ ФЕДЕРАЦИИ</t>
  </si>
  <si>
    <t xml:space="preserve"> 2 0201000 00 0000 000</t>
  </si>
  <si>
    <t>2 0201001 05 0000 151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</si>
  <si>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</si>
  <si>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выравнивание бюджетной обеспеченности район</t>
  </si>
  <si>
    <t>Дотации  бюджетам муниципальных районов на выравнивание уровня бюджетной обеспеченности сельские поселения</t>
  </si>
  <si>
    <t xml:space="preserve"> 2 0201003 05 0000 151</t>
  </si>
  <si>
    <t>Дотации бюджетам муниципальных районов на поддержку мер по обеспечению сбалансированности бюджетов</t>
  </si>
  <si>
    <t xml:space="preserve"> 2 0202000 00 0000 000</t>
  </si>
  <si>
    <t>Субсидии бюджетам субъектов Российской Федерации и муниципальных образований (межбюджетные субсидии)</t>
  </si>
  <si>
    <t>Субсидии на реализацию РЦП "Жилище" на 2002-2010 годы"  подпрограмма "Обеспечение жильем молодых семей" (через Министерство образования, науки и молодежной политики РА)</t>
  </si>
  <si>
    <t xml:space="preserve"> 2 02 02077 05 0000 151</t>
  </si>
  <si>
    <t>Субсидии бюджетам муниципальных районов на реализацию федеральных целевых программ</t>
  </si>
  <si>
    <t xml:space="preserve"> 2 0202999 05 0000 151</t>
  </si>
  <si>
    <t>Прочие субсидии  бюджетам муниципальных районов</t>
  </si>
  <si>
    <t>092 2 02 02999 05 0000 151</t>
  </si>
  <si>
    <t>Субсидии на подпрограмму "Обеспечение земельных участков коммунальной инфраструктурой в целях жилищного строительства на территории Республики Алтай" РЦП "Жилище" на 2002-2010 годы" (софинансирование подготовки градостроительной документации)</t>
  </si>
  <si>
    <t>Субсидии на подготовку к отопительному сезону объектов ЖКХ (через Минрегин)</t>
  </si>
  <si>
    <t>Субсидии на благоустройство территорий сельских поселений, городского округа</t>
  </si>
  <si>
    <t>Субсидии на благоустройство территорий муниципальных образований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</si>
  <si>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</si>
  <si>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Субсидии на капитальный и текущий ремонт объектов социально-культурной сферы</t>
  </si>
  <si>
    <t>Субсидии на предоставление ежемесячной надбавки к заработной плате молодым специалистам в муниципальных образовательных учреждениях</t>
  </si>
  <si>
    <t xml:space="preserve">Субсидии   на комплектование книжных фондов библиотек муниципальных образований Республики Алтай </t>
  </si>
  <si>
    <t>Субсидии на реализацию респуликанской целевой программы "Развитие агропромышленного комплеса Республики Алтай на 2009-2012 годы" (через Министерство сельского хозяйства Республики Алтай), электороснабжение с.Онгудай</t>
  </si>
  <si>
    <t>Субсидии на реализацию респуликанской целевой программы "Развитие агропромышленного комплеса Республики Алтай на 2009-2012 годы" (через Министерство сельского хозяйства Республики Алтай), строительство водопровода  с.Онгудай</t>
  </si>
  <si>
    <t>Субсидии на реализацию региональной целевой программы "Жилище" на 2008-2010гг"подпрограмма "Обеспечение земельных участков коммунальной инфраструктуой на территории Республики Алтай"(Через Министерства регионального развития Республики Алтай) водопроводс.Кулада</t>
  </si>
  <si>
    <t xml:space="preserve"> 2 0203000 00 0000 000</t>
  </si>
  <si>
    <t>Субвенции  бюджетам субъектов Российской Федерации и мунициапальных образований</t>
  </si>
  <si>
    <t xml:space="preserve"> 2 0203001 05 0000 151</t>
  </si>
  <si>
    <t>Субвенции  бюджетам  муниципальных районов на оплату жилищно-коммунальных услуг отдельным категориям граждан</t>
  </si>
  <si>
    <t xml:space="preserve"> 2 0203002 05 0000 151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</si>
  <si>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</si>
  <si>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 xml:space="preserve"> 2 0203004 05 0000 151</t>
  </si>
  <si>
    <t>Субвенции бюджетам муниципальных районов на обеспечение мер социальной поддержки для лиц, награжденных знаками "Почетный донор СССР" , "Почетный донор России"</t>
  </si>
  <si>
    <t>092 2 02 03007 05 0000 151</t>
  </si>
  <si>
    <t>Субвенции  бюджетам 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(дополнению и изменению) списков кандидатов в   присяжные заседатели федер. судов общей юрисдикции в РФ</t>
  </si>
  <si>
    <t>092 2 02 02009 05 0000 151</t>
  </si>
  <si>
    <t>Субвенции  бюджетам  муниципальных районов.на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РФ</t>
  </si>
  <si>
    <t>2 0203012  05 0000 151</t>
  </si>
  <si>
    <t>Субвенции  бюджетам 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</si>
  <si>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2 0203013  05 0000 151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</si>
  <si>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</si>
  <si>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2 0203015 05 0000 151</t>
  </si>
  <si>
    <t>Субвенции бюджетам муниципальных районов на осуществление  первичного  воинскоого учета на территориях, где отсутствуют военные комиссариаты</t>
  </si>
  <si>
    <t>Средства  бюджета муниципального района,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</si>
  <si>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092 2 02 03020 05 0000 151</t>
  </si>
  <si>
    <t xml:space="preserve">Субвенции бюджетам муниципальных районов на  выплату единовременного  пособия при всех формах устройства детей, лишенных роди тельского попечения, в семью (через Мин. образ.,науки и мол.пол. РА) </t>
  </si>
  <si>
    <t xml:space="preserve"> 2 0203021 05 0000 151</t>
  </si>
  <si>
    <t xml:space="preserve">Субвенции бюджетам муниципальных районов на ежемесячное денежное вознаграждение  за классное руководство </t>
  </si>
  <si>
    <t xml:space="preserve"> 2 0203022 05 0000 151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</si>
  <si>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</si>
  <si>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2 0203024 05 0000 151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</si>
  <si>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</si>
  <si>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092 2 02 03024 05 0000 151</t>
  </si>
  <si>
    <t>Субвенции на реализацию Закона Республики Алтай "О наделении органов местного самоуправления в Республике Алтай отдельными государственными полномочиями по вопросам административного законодательства"</t>
  </si>
  <si>
    <t>Субвенции органам местного самоуправления муниципальных районов на осуществление государственных полномочий Республики Алтай по расчету и предоставлению дотации на выравнивание уровня бюджетной обеспеченности поселений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</si>
  <si>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</si>
  <si>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</si>
  <si>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на реализацию ведомственной целевой программы "Проведение ремонта аварийных объектов, находящихся в хозяйственном ведении предприятий жилищно-коммунального комплексаРА на 2007 год"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</si>
  <si>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</si>
  <si>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по образованию и организации деятельности муниципальных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</si>
  <si>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и управления охраной труда"</t>
  </si>
  <si>
    <t>Субвенции на осуществление государственных полномочий по лицензированию продажи алкогольной продукции</t>
  </si>
  <si>
    <t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 же дополнительного образования в общеобразовательных учреждениях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</si>
  <si>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</si>
  <si>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</si>
  <si>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</si>
  <si>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</si>
  <si>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</si>
  <si>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 на предоставление мер социальной  поддержки отдельным категориям ветеранов</t>
  </si>
  <si>
    <t>Субвенции  на осуществление  выплаты   ежемесячного пособия на ребенка</t>
  </si>
  <si>
    <t>Субвенции на предоставление мер социальной поддержки многодетным семьям</t>
  </si>
  <si>
    <t>Субвенции на осуществление  государственных полномочий по вопросам административного законодательства</t>
  </si>
  <si>
    <t>Субвенции на осуществление  назначения и выплаты доплат к пенсиям</t>
  </si>
  <si>
    <t xml:space="preserve"> 2 0203026 05 0000 151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</si>
  <si>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</si>
  <si>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2 0203027 05 0000 151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</si>
  <si>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</si>
  <si>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2 0202052 05 0000 151</t>
  </si>
  <si>
    <t>Субвенции бюджетам муниципальных районов на  внедрение инновационных образовательных программ в муниципальных общеобразовательных учреждениях</t>
  </si>
  <si>
    <t xml:space="preserve"> 2 0203029 05 0000 151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</si>
  <si>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 общеобразовательную программу дошкольного образования</t>
  </si>
  <si>
    <t xml:space="preserve"> 2 0203030 05 0000 151</t>
  </si>
  <si>
    <t>Сувенции бюджетам муниципальных районов на обеспечение жильем инвалидов войны и инвалидов боевых действий, участников Великой Отечественной войны , ветеранов боевых действий, военослужащих, проходивших военную службу в период с 22 июня 1941 года по 3 сентября 1945 года, граждан, награжденных знаком "Жителю блкадного Ленинграда", лиц, работавших на военных объектах в период Великой Отечечственной войны, членов семей погибших (умерших) инвалидов войны,участников Великой Отечественной войны, ветеранов боевых действий, инвалидов и семей, имеющих детей-инвалидов.</t>
  </si>
  <si>
    <t xml:space="preserve"> 2 0203033 05 0000 151</t>
  </si>
  <si>
    <t>Субвенции бюджетам муниципальных районов на оздоровление детей</t>
  </si>
  <si>
    <t xml:space="preserve"> 2 0203055 05 0000 151</t>
  </si>
  <si>
    <t>Субвенции на осуществление денежных выплат медицинскому персоналу фельдшерско-акушерских пунктов (заведующим фельдшерско-акушерскими пунктами, фельдшерам, акушеркам, медицинским сестрам, в том числе медицинским сестрам патронажным), врачам, фельдшерам (акушеркам), медицинским сестрам учреждений и подразделений скорой медицинской помощи муниципальной системы здравоохранения (через Министерство здравоохранения Республики Алтай)</t>
  </si>
  <si>
    <t xml:space="preserve">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</si>
  <si>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</si>
  <si>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2 18 05030 05 0000 151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</si>
  <si>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</si>
  <si>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 xml:space="preserve"> 2 19 05000 05 0000 151</t>
  </si>
  <si>
    <t>ВСЕГО ДОХОДОВ</t>
  </si>
  <si>
    <t>ДОХОДЫ без учета объема безвозмездных поступлений</t>
  </si>
  <si>
    <t>Остатки на 01.01.2011 год</t>
  </si>
  <si>
    <t>Целевые остатки на 01.01.2011год</t>
  </si>
  <si>
    <t>Остаток средств на 01.01.2011г. направленных на погашение дефицита бюджета</t>
  </si>
  <si>
    <t>ВСЕГО ДОХОДОВ и остатков</t>
  </si>
  <si>
    <t>ВСЕГО ПО МУНИЦИПАЛЬНОМУ ОБРАЗОВАНИЮ:</t>
  </si>
  <si>
    <t>Реконструкция  средней школы в с.Онгудай Онгдайского района РА (1 очередь строительства)</t>
  </si>
  <si>
    <t>РЦП "Демографическое развитие РА на 2010-2015 г.</t>
  </si>
  <si>
    <t>Реконструкция кинотеатра "Урсул" под сельский дом культуры в с.Онгудай</t>
  </si>
  <si>
    <t>2.4.</t>
  </si>
  <si>
    <t>Строительство полной средней школы на 260 учащихся с интернатом на 80 мест в с.Иня</t>
  </si>
  <si>
    <t>2.3.</t>
  </si>
  <si>
    <t>2.2.</t>
  </si>
  <si>
    <t>Реконструкция водопровода в с.Ело</t>
  </si>
  <si>
    <t>2.1.</t>
  </si>
  <si>
    <t>РЦП "Развитие агропромышленного комплекса РА на 2011-2017г"</t>
  </si>
  <si>
    <t>ФЦП  «Социальное развитие села »:</t>
  </si>
  <si>
    <t>Программная часть</t>
  </si>
  <si>
    <t>Корректировка рабочего проекта на реконструкцию общеобразовательной средней школы в с.Онгудай (1,2 очереди)</t>
  </si>
  <si>
    <t>1.10</t>
  </si>
  <si>
    <t>Экспертиза рабочего проекта на реконструкцию водопровода в с.Нижняя-Талда</t>
  </si>
  <si>
    <t>1.9.</t>
  </si>
  <si>
    <t>Экспертиза рабочего проекта на реконструкцию водопровода в с.Иня</t>
  </si>
  <si>
    <t>1.8.</t>
  </si>
  <si>
    <t>Экспертиза рабочего проекта на реконструкцию 1 го этапа 2 ой очереди общеобразовательной средней школы в с.Онгудай (нач.школа)</t>
  </si>
  <si>
    <t>1.7.</t>
  </si>
  <si>
    <t>Экспертиза рабочего проекта на строительство ВЛ-10,0 квт с ТП в с.Онгудай</t>
  </si>
  <si>
    <t>1.6.</t>
  </si>
  <si>
    <t>Разработка рабочего проекта на строительство ВЛ-10,0 квт с ТП в с.Онгудай</t>
  </si>
  <si>
    <t>Экспертиза рабочего проекта на строительство водопровода в с.Шашикман</t>
  </si>
  <si>
    <t>Разработка рабочего проекта на строительство водопровода в с.Шашикман</t>
  </si>
  <si>
    <t>Экспертиза рабочего проекта на строительство детского сада на 150 мест в с.Онгудай</t>
  </si>
  <si>
    <t>Разработка рабочего проекта на строительство детского сада на 150 мест в с.Онгудай</t>
  </si>
  <si>
    <t>Непрограммная часть</t>
  </si>
  <si>
    <t>местный бюджет</t>
  </si>
  <si>
    <t>республиканский  бюджет</t>
  </si>
  <si>
    <t>Инвестиции на 2011 год</t>
  </si>
  <si>
    <t>Всего на утверждение</t>
  </si>
  <si>
    <t>изменения (+,-)</t>
  </si>
  <si>
    <t>Федеральный бюджет (справочно)</t>
  </si>
  <si>
    <t>Всего, план</t>
  </si>
  <si>
    <t>Наименование объектов</t>
  </si>
  <si>
    <t>№п/п</t>
  </si>
  <si>
    <t>тыс.руб.</t>
  </si>
  <si>
    <t>на 2011 год</t>
  </si>
  <si>
    <t>Приложение 14</t>
  </si>
  <si>
    <t>4320203</t>
  </si>
  <si>
    <t>4320202</t>
  </si>
  <si>
    <t>Строительство водопровода в с.Шиба</t>
  </si>
  <si>
    <t xml:space="preserve"> Приложение 10</t>
  </si>
  <si>
    <t>федеральный бюджет</t>
  </si>
  <si>
    <t>федеральный  бюджет</t>
  </si>
  <si>
    <t>8100108</t>
  </si>
  <si>
    <t>6000200</t>
  </si>
  <si>
    <t>ФЦП "Социальное развитие села  до 2012г"</t>
  </si>
  <si>
    <t>5058502</t>
  </si>
  <si>
    <t>Субсидии на подготовку  к отопительному сезону объектов  жилищно-коммунального хозяйства</t>
  </si>
  <si>
    <t>Приложение 17</t>
  </si>
  <si>
    <t xml:space="preserve"> РАСПРЕДЕЛЕНИЕ  МЕЖБЮДЖЕТНЫХ ТРАНСФЕРТОВ  БЮДЖЕТАМ СЕЛЬСКИХ ПОСЕЛЕНИЙ  ИЗ БЮДЖЕТА МУНИЦИПАЛЬНОГО ОБРАЗОВАНИЯ "ОНГУДАЙСКИЙ РАЙОН" </t>
  </si>
  <si>
    <t xml:space="preserve">   на  2011 год</t>
  </si>
  <si>
    <t>(тыс.руб)</t>
  </si>
  <si>
    <t>Наименования межбюджетных трансфертов</t>
  </si>
  <si>
    <t>Всего</t>
  </si>
  <si>
    <t>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</si>
  <si>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</si>
  <si>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</si>
  <si>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</si>
  <si>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</si>
  <si>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</si>
  <si>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</si>
  <si>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</si>
  <si>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</si>
  <si>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</si>
  <si>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</si>
  <si>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>Б</t>
  </si>
  <si>
    <t>1</t>
  </si>
  <si>
    <t>Межбюджетные трансферты бюджетам сельских поселений из республиканского бюджета</t>
  </si>
  <si>
    <t>Дотации на выравнивание бюджетной обеспеченности поселений</t>
  </si>
  <si>
    <t>Субсидии на  благоустройство  территорий сельских поселений</t>
  </si>
  <si>
    <t xml:space="preserve">Субсидии на софинансирование  расходов на решение вопросов местного значения поселений, связанных с реализацией ФЗ "Об общих принципах организации местного самоуправления  в Российской Федерации" </t>
  </si>
  <si>
    <t xml:space="preserve">Субсидии на капитальный и текущий ремонт объектов социально- культурной сферы </t>
  </si>
  <si>
    <t>Субвенции на осуществление  первичного  воинского учета на территориях, где отсутствуют военные комиссариаты</t>
  </si>
  <si>
    <t>3</t>
  </si>
  <si>
    <t>Межбюджетные трансферты бюджетам сельских поселений бюджета муницпального района</t>
  </si>
  <si>
    <t>Дотация на выравнивание уровня бюджетной обеспеченности  из районного фонда  финансовой поддержки  поселений</t>
  </si>
  <si>
    <t>Итого межбюджетные трансферты бюджетам муниципальных образований</t>
  </si>
  <si>
    <t>3.3</t>
  </si>
  <si>
    <t>Повышение квалификации</t>
  </si>
  <si>
    <t>Повышение оплаты труда   работникам бюджетной  сферы</t>
  </si>
  <si>
    <t>Приложение 1</t>
  </si>
  <si>
    <t>Источники финансирования дефицита  бюджета  МО "Онгудайский район" на 2011 год</t>
  </si>
  <si>
    <t>Наименование источника</t>
  </si>
  <si>
    <t>Код бюджетной классификации</t>
  </si>
  <si>
    <t>Сумма, тыс. руб.</t>
  </si>
  <si>
    <t>Дефицит бюджета</t>
  </si>
  <si>
    <t>Источники внутреннего финансирования дефицита бюджета:</t>
  </si>
  <si>
    <t>000 00 00 00 00 00 0000 000</t>
  </si>
  <si>
    <t>Изменение остатков средств на счетах по учету средств бюджета</t>
  </si>
  <si>
    <t>092 01 05 00 00 00 0000 000</t>
  </si>
  <si>
    <t>Увеличение прочих остатков средств бюджетов</t>
  </si>
  <si>
    <t>092 01 05 02 00 00 0000 500</t>
  </si>
  <si>
    <t>Увеличение прочих остатков денежных средств бюджетов муниципальных районов</t>
  </si>
  <si>
    <t>092 01 05 02 01 05 0000 510</t>
  </si>
  <si>
    <t>Уменьшение прочих остатков средств бюджетов</t>
  </si>
  <si>
    <t>092 01 05 02 00 00 0000 600</t>
  </si>
  <si>
    <t>Уменьшение прочих остатков денежных средств бюджетов муниципальных районов</t>
  </si>
  <si>
    <t>092 01 05 02 01 05 0000 610</t>
  </si>
  <si>
    <t>Бюджетные кредиты от других бюджетов бюджетной системы Российской Федерации</t>
  </si>
  <si>
    <t>092 01 03 00 00 00 0000 000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</si>
  <si>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</si>
  <si>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</si>
  <si>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</si>
  <si>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092 01 03 00 00 05 0000 710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</si>
  <si>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</si>
  <si>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092 01 03 00 00 00 0000 800</t>
  </si>
  <si>
    <t>Погашение бюджетами муниципального района кредитов от других бюджетов бюджетной системы Российской Федерации в валюте Российской Федерации</t>
  </si>
  <si>
    <t>092 01 03 00 00 05 0000 810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</si>
  <si>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</si>
  <si>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</si>
  <si>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находящихся в государственной и муниципальной собственности</t>
  </si>
  <si>
    <t>166 01 06 01 00 00 0000 000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</si>
  <si>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</si>
  <si>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166 01 06 01 00 00 0000 630</t>
  </si>
  <si>
    <t>Средства от продажи акций и иных форм участия в капитале, находящихся в собственности муниципального района</t>
  </si>
  <si>
    <t>166 01 06 01 00 05 0000 630</t>
  </si>
  <si>
    <t>Бюджетные кредиты, предоставленные внутри страны в валюте Российской Федерации</t>
  </si>
  <si>
    <t>092 01 06 05 00 00 0000 000</t>
  </si>
  <si>
    <t>Возврат бюджетных кредитов, предоставленных внутри страны в валюте Российской Федерации</t>
  </si>
  <si>
    <t>092 01 06 05 00 00 0000 600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</si>
  <si>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</si>
  <si>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092 01 06 05 01 05 0000 640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</si>
  <si>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</si>
  <si>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092 01 06 05 02 05 0000 640</t>
  </si>
  <si>
    <t>Предоставление бюджетных кредитов внутри страны в валюте Российской Федерации</t>
  </si>
  <si>
    <t>092 01 06 05 00 00 0000 500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</si>
  <si>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</si>
  <si>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092 01 06 05 01 05 0000 540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</si>
  <si>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</si>
  <si>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092 01 06 05 02 05 0000 540</t>
  </si>
  <si>
    <t>из них целевых остатков на начало года</t>
  </si>
  <si>
    <t xml:space="preserve"> нецелевых остатков на начало года</t>
  </si>
  <si>
    <t xml:space="preserve"> 1 0807150 01 0000 110</t>
  </si>
  <si>
    <t>Государственная пошлина за выдачу разрешения на установку рекламной консрукции</t>
  </si>
  <si>
    <t>0960300</t>
  </si>
  <si>
    <t>Реализация мероприятий по внедрению стандартов и повышению доступности амбулаторной медицинской помощи в рамках региональной программы модернизации здравоохранения</t>
  </si>
  <si>
    <t>1020101</t>
  </si>
  <si>
    <t>РЦП "Жилище на 2011-2015годы" подпрограмма "Стимулитрование развития  жилищного строительства на территроии РА "</t>
  </si>
  <si>
    <t>1 14 02032  05 0000  410</t>
  </si>
  <si>
    <t xml:space="preserve"> 2 02 02080 05 0000 151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</si>
  <si>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</si>
  <si>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тыс. руб.</t>
  </si>
  <si>
    <t>Сумма</t>
  </si>
  <si>
    <t>3,289 было с плюсом по решению июня</t>
  </si>
  <si>
    <t>3,958 перепись убрать.</t>
  </si>
  <si>
    <t>0401</t>
  </si>
  <si>
    <t>Разработка рабочего проекта на реконструкцию здания  Отдела труда и социального развития в с.Онгудай</t>
  </si>
  <si>
    <t>4.1.</t>
  </si>
  <si>
    <t>Строительство ЦРБ с Онгудай Онгудайского района РА</t>
  </si>
  <si>
    <t xml:space="preserve">Региональная программа модернизации здравоохранения субъектов РФ и программы модернизации гос учреждений, оказывающих мед помощь </t>
  </si>
  <si>
    <t>тыс. рублей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</si>
  <si>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</si>
  <si>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</si>
  <si>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</si>
  <si>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2008 год , тыс.руб.</t>
  </si>
  <si>
    <t xml:space="preserve">2009 год по закону о бюджете </t>
  </si>
  <si>
    <t>Изменения 2009 год (+/-)</t>
  </si>
  <si>
    <t>2011 год</t>
  </si>
  <si>
    <t>раздел/ подраздел</t>
  </si>
  <si>
    <t>целевая статья</t>
  </si>
  <si>
    <t>вид расходов</t>
  </si>
  <si>
    <t>в том числе</t>
  </si>
  <si>
    <t>ФС</t>
  </si>
  <si>
    <t>РС</t>
  </si>
  <si>
    <t>Федераль-ные средства</t>
  </si>
  <si>
    <t>Республи-канские средства</t>
  </si>
  <si>
    <t>Местные средства</t>
  </si>
  <si>
    <t>Отдел образования Администрации района (аймака) муниципального образования "Онгудайский район"</t>
  </si>
  <si>
    <t>Содержание детей в семьях опекунов (попечителей) и приемных семьях, а так же  на оплату труда приемных родителей</t>
  </si>
  <si>
    <t>Закон Республики Алтай от 31.03.2008 №23-РЗ " О размере и порядке выплаты денежных средств на содержание  детей в семьях опекунов (попечителей) и приемных семьях, а  так же на оплату труда приемных родителей".Закон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</si>
  <si>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</si>
  <si>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</si>
  <si>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</si>
  <si>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Закон РА от 14.05.2007 №17-РЗ "О наделении органов местного самоуправления государственнми полномочиями РА по выплате компенсации части родительской платы за содержание детей в МОУ , реализующих основную общеобразовательную программу дошкольного образования"</t>
  </si>
  <si>
    <t xml:space="preserve">Итого по Отделу образования </t>
  </si>
  <si>
    <t xml:space="preserve">Доплаты к пенсиям государственных служащих субъектов Российской Федерации и Муниципальных образований </t>
  </si>
  <si>
    <t>Закон РА "О доплате к пенсии Республики Алтай" от 01.11.2001 г №25-28</t>
  </si>
  <si>
    <t>Отдел труда и социального развития Администрации района (аймака) муниципального образования "Онгудайский район"</t>
  </si>
  <si>
    <t>Федеральный закон от 12.01.1996 № 8-ФЗ "О погребении и похоронном деле"</t>
  </si>
  <si>
    <t>Статья 159 Жилищного кодекса РФ, постановление  Правительства РФ  от 14.12.2005г №941 " О предоставлении  субсидий на оплату жилого помещения и коммунальных услуг"</t>
  </si>
  <si>
    <t>Закон Республики Алтай от 11.10.2004 № 42-РЗ "О ветеранах труда Республики Алтай"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</si>
  <si>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</si>
  <si>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</si>
  <si>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</si>
  <si>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</si>
  <si>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</si>
  <si>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</si>
  <si>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Обеспечение мер социальной поддержки лиц, награжденных знаком "Почетный донор СССР", "Почетный донор России"</t>
  </si>
  <si>
    <t>Закон Российской Федерации  от 09.06.1993 №5142-1 "О донорстве крови и её компонентов"</t>
  </si>
  <si>
    <t>Закон Республики Алтай от 01.12.2004 № 60-РЗ "О ежемесячном пособии на ребенка"</t>
  </si>
  <si>
    <t>Оплата  жилищно-коммунальных услуг отдельным категориям граждан</t>
  </si>
  <si>
    <t>Федеральный закон от 12.01.1995 № 5-ФЗ "О ветеранах", Федеральный законот 24.11.1995 № 181-ФЗ "О социальной защите инвалидов в Российской
Федерации", Федеральный закон от 10.01.2002 № 2-ФЗ "О
социальных гарантиях гражданам, подвергшимся радиационному
воздействию вследствие ядерных испытаний на Семипалатинском полигоне",
Федеральный закон от 26.11.1998 № 175-ФЗ "О социальной защите граждан
Российской Федерации, подвергшихся воздействию радиации вследствие
аварии в 1957 году на ПО "Маяк" и сбросов радиоактивных отходов в реку
Теча", Закон Российской Федерации от 15.05.1991 № 1244-1 "О социальной
защите граждан, подвергшихся воздействию радиации вследствие
катастрофы на Чернобыльской АЭС", постановление Правительства
Республики Алтай от 15.03.2005 № 32 "О порядке предоставления мер
социальной поддержки по оплате жилья и коммунальных услуг отдельным
категориям граждан, проживающих на территории Республики Алтай"</t>
  </si>
  <si>
    <t>Обеспечение жильем инвалидов войны и инвалидов боевыхдействий, участников Великой Отечественной войны,ветеранов боевых действий,  военнослужащих,проходивших военную службу в период с 22 июня 1941года по 3 сентября 1945 года, граждан, награжденныхзнаком "Жителю блокадного Ленинграда", лиц,работавших на военных объектах в период Великой Отечественной войны, членов семей погибших (умерших)инвалидов войны, участников Великой Отечественной войны, ветеранов боевых действий, инвалидов и семей, имеющих детей -инвалидов</t>
  </si>
  <si>
    <t>Федеральный закон от 12.01.1995 № 5-ФЗ "О ветеранах", Федеральный закон
от 24.11.1995 № 181-ФЗ "О социальной защите инвалидов в Российской
Федерации"</t>
  </si>
  <si>
    <t>Итого по Отделу труда и социального развития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</si>
  <si>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</si>
  <si>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</si>
  <si>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Закон Республики Алтай от 18.04.2008 №30-РЗ " О респубиканской  целевой программе "Жилище" на 2008-2010 годы, подпрограмма "Обеспечение  жильем молодых семей"</t>
  </si>
  <si>
    <t>Социальные выплаты  на строительство  (приобретение) жилья гражданам Российской Федерации, проживающим в сельской  местности, в  том числе молодым семьям и молодым специалистам, проживающим и работающим  на селе  либо изъявивишим желание переехать на постоянное  место жительства в сельскую местность и работать там.</t>
  </si>
  <si>
    <t>Постановление Российской Федерации от 03.12.2002 №858 " О федеральной целевой программе "Социальное развитие села до 2012 года"</t>
  </si>
  <si>
    <t xml:space="preserve">Итого по Администрации района (аймака) </t>
  </si>
  <si>
    <t>4361500</t>
  </si>
  <si>
    <t>4361501</t>
  </si>
  <si>
    <t>0960100</t>
  </si>
  <si>
    <t>5220199</t>
  </si>
  <si>
    <t>099</t>
  </si>
  <si>
    <t>5100300</t>
  </si>
  <si>
    <t>7952025</t>
  </si>
  <si>
    <t>7952023</t>
  </si>
  <si>
    <t>Мероприятия в области</t>
  </si>
  <si>
    <t>4400200</t>
  </si>
  <si>
    <t>5053401</t>
  </si>
  <si>
    <t>3450000</t>
  </si>
  <si>
    <t>3450100</t>
  </si>
  <si>
    <t>0314</t>
  </si>
  <si>
    <t>Проведение противоаврийных мероприятий в общеобразовательных учреждениях</t>
  </si>
  <si>
    <t>Организация общественных работ безработных граждан</t>
  </si>
  <si>
    <t>Малое и среднее предпринимательство</t>
  </si>
  <si>
    <t>РП №Модернизация здравоохранения Республики  Алтай на 2011-2012 годы"</t>
  </si>
  <si>
    <t>ФЦП "Социальное развитие села до 2012года"</t>
  </si>
  <si>
    <t>Субсидии на обеспечение жильем молодых семей и молодых специалистов</t>
  </si>
  <si>
    <t xml:space="preserve">Субсидии на осуществление мероприятий
по обеспечению жильем граждан Российской Федерации,
проживающих в сельской местности
</t>
  </si>
  <si>
    <t>Другие вопросы в области национальной безопасности и правоохранительной деятельности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</si>
  <si>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</si>
  <si>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МЦП "Патриотическое воспитание граждан в Онгудайском районе  на 2011-2015 годы»"</t>
  </si>
  <si>
    <t>Приложение 20</t>
  </si>
  <si>
    <t>Программа внутренних заимствований муниципального образования "Онгудайский район" на 2011 год</t>
  </si>
  <si>
    <t>(тыс. рублей)</t>
  </si>
  <si>
    <t>Объем привлечения средств</t>
  </si>
  <si>
    <t>Объем средств, направляемых на погашение основной суммы долга</t>
  </si>
  <si>
    <t>Внутренние заимствования</t>
  </si>
  <si>
    <t>в том числе:</t>
  </si>
  <si>
    <t>Кредиты кредитных организаций в валюте Российской Федерации</t>
  </si>
  <si>
    <t>Задолженность бюджета муниципального образования "Онгудайский район" по переоформленной в государственный внутренний долг Российской Федерации под гарантии Правительства Республики Алтай задолженности сельскохозяйственных организаций всех организационно-правовых форм и других организаций потребительской кооперации 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кредитам, выданным в 1992-1994 годах и начисленным по ним процентам.</t>
  </si>
  <si>
    <t xml:space="preserve"> 2 02 02009 05 0000 151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</si>
  <si>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</si>
  <si>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 xml:space="preserve"> 2 0202085 05 0000 151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</si>
  <si>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</si>
  <si>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 xml:space="preserve"> 2 0202105 05 0000 151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</si>
  <si>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</si>
  <si>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Cубсидии на повышение оплаты труда работников органов местного самоуправления, оплата труда которых осуществляется на основе новых систем оплаты труда, а также  работников муниципальных учреждений в Республике Алтай</t>
  </si>
  <si>
    <t>Субвенции бюджетам муниципальных образований на реализации РЦП "Социальная адаптация граждан, освободившихся из мест лишения свободы"</t>
  </si>
  <si>
    <t xml:space="preserve"> 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</si>
  <si>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</si>
  <si>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202 04029 05 0000 151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</si>
  <si>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</si>
  <si>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 xml:space="preserve"> 202 04034 05 0000 151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</si>
  <si>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</si>
  <si>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 xml:space="preserve"> 2 02 02999 05 0000 151</t>
  </si>
  <si>
    <t xml:space="preserve"> 2 02 02025 05 0000 151</t>
  </si>
  <si>
    <t xml:space="preserve"> 2 02 03024 05 0000 151</t>
  </si>
  <si>
    <t>2 02 03024 05 0000 151</t>
  </si>
  <si>
    <t xml:space="preserve">РАСПРЕДЕЛЕНИЕ БЮДЖЕТНЫХ АССИГНОВАНИЙ НА ОСУЩЕСТВЛЕНИЕ  БЮДЖЕТНЫХ ИНВЕСТИЦИЙ  В ОБЪЕКТЫ  КАПИТАЛЬНОГО СТРОИТЕЛЬСТВА  МУНИЦИПАЛЬНОЙ СОБСТВЕННОСТИ                                                                         МУНИЦИПАЛЬНОГО ОБРАЗОВАНИЯ "ОНГУДАЙСКИЙ РАЙОН" </t>
  </si>
  <si>
    <t>Объем бюджетных ассигнований, направленных на исполнение публичных нормативных обязательств в 2011 году                                                по муниципальному образованию "Онгудайский район"</t>
  </si>
  <si>
    <t>к  решению "О бюджете муниципального образования "Онгудайский район" на 2011 год и на плановый период 2012-2013 годов" ( в редакции решения "О внесении изменений и дополнений в бюджет муниципального образования "Онгудайский район" на 2011 год и на плановый период 2012-2013 годов" от  04.03.2011г № 24-1, от22.04.2011  №25-5, от 10.06.2011г №26/2,от 06.10.2011г №28-1)</t>
  </si>
  <si>
    <t>к решению  "О бюджете муниципального образования "Онгудайский район" на 2011год и на плановый период 2012 и 2013 годов" ( в ред.реш.сессии от 04.03.2011г № 24-1, от22.04. 2011 №25-5, от 10.06.2011г №26/2, от 06.10.2011 г № 28-1)</t>
  </si>
  <si>
    <t>к решению "О бюджете муниципального образования "Онгудайский район" на 2011год и на плановый период 2012 и 2013 годов"( в ред.реш.сессии от 04.03.2011г №24-1, от 22.04.2011 № 25-5, от10.06.2011г № 26/2,от 06.10.2011 №28-1)</t>
  </si>
  <si>
    <t>7952026</t>
  </si>
  <si>
    <t>к решению "О бюджете муниципального образования "Онгудайский район" на 2011 год и на плановый период 2012- 2013 годов" ( в ред.реш.сессии от 04.03.2011г №24-1, от 22.04.2011г №25-5, от 10.06.2011г №26/2, от06.10.2011г № 28-1)</t>
  </si>
  <si>
    <t xml:space="preserve"> Приложение № 15</t>
  </si>
  <si>
    <t>к решению  "О бюджете муниципального образования "Онгудайский район" на 2011год и на плановый период 2012 и 2013 годов" ( в ред.реш.сессии от 04.03.2011г № 24-1, от  22.04. 2011 №25-5, от06.10.2011 №28-1)</t>
  </si>
  <si>
    <t>к решению " О бюджете муниципального образования "Онгудайский район" на 2011 год и на плановый период 2012 и 2013 годов" (в ред.решения сессии от 04.03.2011г № 24-1, от 10.06.2011г №26/2, от06.10.2011г №28-1)</t>
  </si>
  <si>
    <t>3.2.</t>
  </si>
  <si>
    <t>3.2.1.</t>
  </si>
  <si>
    <t>3.2.2.</t>
  </si>
  <si>
    <t>3.2.3</t>
  </si>
  <si>
    <t>3.2.4.</t>
  </si>
  <si>
    <t>3.2.5.</t>
  </si>
  <si>
    <t>3.2.6.</t>
  </si>
  <si>
    <t>4</t>
  </si>
  <si>
    <t xml:space="preserve">Субсидии на подготовку к отпительному сезону объектов жилищно-коммунального хозяйства </t>
  </si>
  <si>
    <t>МЦП «Оснащение многоквартирных домов коллективными (общедомовыми) приборами учета потребления коммунального ресурса на 2011-2013 годы»</t>
  </si>
  <si>
    <t>1.7</t>
  </si>
  <si>
    <t>Субсидии на организацию общественных работ безработных граждан</t>
  </si>
  <si>
    <t>На дополнительные расходы</t>
  </si>
  <si>
    <t>к решению  "О бюджете муниципального образования "Онгудайский район"на 2011 год и на плановый период 2012 и 2013 годов" ( в ред.реш.сессии от 03.03.2011г № , от 22.04.2011г №25-5, от 10.06.2011г № 26/2 , от 06.10.2011г№28-1)</t>
  </si>
</sst>
</file>

<file path=xl/styles.xml><?xml version="1.0" encoding="utf-8"?>
<styleSheet xmlns="http://schemas.openxmlformats.org/spreadsheetml/2006/main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_(&quot;$&quot;* #,##0.00_);_(&quot;$&quot;* \(#,##0.00\);_(&quot;$&quot;* &quot;-&quot;??_);_(@_)"/>
    <numFmt numFmtId="171" formatCode="_-* #,##0.0_р_._-;\-* #,##0.0_р_._-;_-* &quot;-&quot;??_р_._-;_-@_-"/>
    <numFmt numFmtId="172" formatCode="#,##0.00_ ;\-#,##0.00\ "/>
    <numFmt numFmtId="173" formatCode="#,##0.00000"/>
    <numFmt numFmtId="174" formatCode="_-* #,##0.000_р_._-;\-* #,##0.000_р_._-;_-* &quot;-&quot;??_р_._-;_-@_-"/>
    <numFmt numFmtId="175" formatCode="_-* #,##0.00000_р_._-;\-* #,##0.00000_р_._-;_-* &quot;-&quot;?????_р_._-;_-@_-"/>
    <numFmt numFmtId="176" formatCode="_-* #,##0.00_р_._-;\-* #,##0.00_р_._-;_-* &quot;-&quot;?????_р_._-;_-@_-"/>
  </numFmts>
  <fonts count="65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Arial"/>
      <family val="2"/>
      <charset val="204"/>
    </font>
    <font>
      <b/>
      <u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3"/>
      <name val="Times New Roman"/>
      <family val="1"/>
      <charset val="204"/>
    </font>
    <font>
      <b/>
      <sz val="11"/>
      <color indexed="4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48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 CE"/>
      <charset val="204"/>
    </font>
    <font>
      <b/>
      <sz val="10"/>
      <name val="Times New Roman CE"/>
      <family val="1"/>
      <charset val="238"/>
    </font>
    <font>
      <b/>
      <sz val="9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charset val="204"/>
    </font>
    <font>
      <sz val="9"/>
      <name val="Arial"/>
      <family val="2"/>
      <charset val="204"/>
    </font>
    <font>
      <b/>
      <sz val="9"/>
      <name val="Arial Cyr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i/>
      <sz val="8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b/>
      <sz val="11"/>
      <color rgb="FF00B0F0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0" fontId="35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9" fillId="0" borderId="0"/>
    <xf numFmtId="0" fontId="35" fillId="0" borderId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43" fontId="61" fillId="0" borderId="0" applyFont="0" applyFill="0" applyBorder="0" applyAlignment="0" applyProtection="0"/>
  </cellStyleXfs>
  <cellXfs count="996">
    <xf numFmtId="0" fontId="0" fillId="0" borderId="0" xfId="0"/>
    <xf numFmtId="0" fontId="14" fillId="0" borderId="0" xfId="3" applyFont="1" applyBorder="1"/>
    <xf numFmtId="0" fontId="14" fillId="0" borderId="0" xfId="3" applyFo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3" applyFont="1" applyBorder="1" applyAlignment="1">
      <alignment horizontal="center" wrapText="1"/>
    </xf>
    <xf numFmtId="0" fontId="14" fillId="0" borderId="0" xfId="3" applyFont="1" applyAlignment="1">
      <alignment wrapText="1"/>
    </xf>
    <xf numFmtId="2" fontId="14" fillId="0" borderId="1" xfId="3" applyNumberFormat="1" applyFont="1" applyBorder="1" applyAlignment="1">
      <alignment horizontal="center"/>
    </xf>
    <xf numFmtId="49" fontId="14" fillId="0" borderId="1" xfId="3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 wrapText="1"/>
    </xf>
    <xf numFmtId="2" fontId="14" fillId="0" borderId="0" xfId="3" applyNumberFormat="1" applyFont="1"/>
    <xf numFmtId="0" fontId="14" fillId="0" borderId="0" xfId="0" applyFont="1"/>
    <xf numFmtId="0" fontId="14" fillId="0" borderId="0" xfId="0" applyFont="1" applyFill="1"/>
    <xf numFmtId="0" fontId="14" fillId="0" borderId="0" xfId="0" applyFont="1" applyAlignment="1">
      <alignment vertical="top" wrapText="1"/>
    </xf>
    <xf numFmtId="167" fontId="14" fillId="0" borderId="0" xfId="0" applyNumberFormat="1" applyFont="1"/>
    <xf numFmtId="2" fontId="14" fillId="0" borderId="0" xfId="0" applyNumberFormat="1" applyFont="1"/>
    <xf numFmtId="0" fontId="20" fillId="0" borderId="13" xfId="0" applyFont="1" applyBorder="1" applyAlignment="1">
      <alignment horizontal="center" vertical="center" wrapText="1"/>
    </xf>
    <xf numFmtId="0" fontId="15" fillId="0" borderId="51" xfId="0" applyFont="1" applyFill="1" applyBorder="1"/>
    <xf numFmtId="0" fontId="15" fillId="0" borderId="5" xfId="0" applyFont="1" applyFill="1" applyBorder="1" applyAlignment="1">
      <alignment vertical="center"/>
    </xf>
    <xf numFmtId="0" fontId="21" fillId="0" borderId="17" xfId="0" applyFont="1" applyBorder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49" fontId="14" fillId="0" borderId="17" xfId="0" applyNumberFormat="1" applyFont="1" applyBorder="1"/>
    <xf numFmtId="166" fontId="14" fillId="0" borderId="27" xfId="0" applyNumberFormat="1" applyFont="1" applyBorder="1"/>
    <xf numFmtId="166" fontId="14" fillId="0" borderId="46" xfId="0" applyNumberFormat="1" applyFont="1" applyBorder="1"/>
    <xf numFmtId="2" fontId="21" fillId="0" borderId="25" xfId="0" applyNumberFormat="1" applyFont="1" applyBorder="1"/>
    <xf numFmtId="166" fontId="14" fillId="0" borderId="45" xfId="0" applyNumberFormat="1" applyFont="1" applyFill="1" applyBorder="1"/>
    <xf numFmtId="166" fontId="14" fillId="0" borderId="26" xfId="0" applyNumberFormat="1" applyFont="1" applyFill="1" applyBorder="1"/>
    <xf numFmtId="2" fontId="22" fillId="0" borderId="0" xfId="0" applyNumberFormat="1" applyFont="1"/>
    <xf numFmtId="0" fontId="23" fillId="0" borderId="18" xfId="0" applyFont="1" applyBorder="1"/>
    <xf numFmtId="49" fontId="23" fillId="0" borderId="18" xfId="0" applyNumberFormat="1" applyFont="1" applyBorder="1" applyAlignment="1">
      <alignment horizontal="center"/>
    </xf>
    <xf numFmtId="49" fontId="14" fillId="0" borderId="18" xfId="0" applyNumberFormat="1" applyFont="1" applyBorder="1"/>
    <xf numFmtId="165" fontId="23" fillId="0" borderId="9" xfId="0" applyNumberFormat="1" applyFont="1" applyBorder="1"/>
    <xf numFmtId="165" fontId="23" fillId="0" borderId="41" xfId="0" applyNumberFormat="1" applyFont="1" applyBorder="1"/>
    <xf numFmtId="2" fontId="23" fillId="0" borderId="29" xfId="0" applyNumberFormat="1" applyFont="1" applyBorder="1"/>
    <xf numFmtId="2" fontId="23" fillId="0" borderId="47" xfId="0" applyNumberFormat="1" applyFont="1" applyFill="1" applyBorder="1"/>
    <xf numFmtId="165" fontId="23" fillId="0" borderId="47" xfId="0" applyNumberFormat="1" applyFont="1" applyFill="1" applyBorder="1"/>
    <xf numFmtId="165" fontId="23" fillId="0" borderId="39" xfId="0" applyNumberFormat="1" applyFont="1" applyFill="1" applyBorder="1"/>
    <xf numFmtId="0" fontId="15" fillId="0" borderId="1" xfId="0" applyFont="1" applyBorder="1" applyAlignment="1">
      <alignment wrapText="1"/>
    </xf>
    <xf numFmtId="49" fontId="15" fillId="0" borderId="1" xfId="0" applyNumberFormat="1" applyFont="1" applyBorder="1"/>
    <xf numFmtId="49" fontId="14" fillId="0" borderId="1" xfId="0" applyNumberFormat="1" applyFont="1" applyBorder="1"/>
    <xf numFmtId="165" fontId="14" fillId="0" borderId="2" xfId="0" applyNumberFormat="1" applyFont="1" applyBorder="1"/>
    <xf numFmtId="165" fontId="14" fillId="0" borderId="31" xfId="0" applyNumberFormat="1" applyFont="1" applyBorder="1"/>
    <xf numFmtId="2" fontId="14" fillId="0" borderId="1" xfId="0" applyNumberFormat="1" applyFont="1" applyFill="1" applyBorder="1"/>
    <xf numFmtId="2" fontId="14" fillId="0" borderId="42" xfId="0" applyNumberFormat="1" applyFont="1" applyFill="1" applyBorder="1"/>
    <xf numFmtId="165" fontId="14" fillId="0" borderId="42" xfId="0" applyNumberFormat="1" applyFont="1" applyFill="1" applyBorder="1"/>
    <xf numFmtId="165" fontId="14" fillId="0" borderId="52" xfId="0" applyNumberFormat="1" applyFont="1" applyFill="1" applyBorder="1"/>
    <xf numFmtId="0" fontId="14" fillId="0" borderId="1" xfId="0" applyFont="1" applyBorder="1" applyAlignment="1">
      <alignment wrapText="1"/>
    </xf>
    <xf numFmtId="0" fontId="18" fillId="0" borderId="0" xfId="0" applyFont="1"/>
    <xf numFmtId="0" fontId="23" fillId="0" borderId="1" xfId="0" applyFont="1" applyBorder="1" applyAlignment="1">
      <alignment wrapText="1"/>
    </xf>
    <xf numFmtId="49" fontId="23" fillId="0" borderId="1" xfId="0" applyNumberFormat="1" applyFont="1" applyBorder="1"/>
    <xf numFmtId="165" fontId="23" fillId="0" borderId="2" xfId="0" applyNumberFormat="1" applyFont="1" applyBorder="1"/>
    <xf numFmtId="165" fontId="23" fillId="0" borderId="31" xfId="0" applyNumberFormat="1" applyFont="1" applyBorder="1"/>
    <xf numFmtId="2" fontId="23" fillId="0" borderId="31" xfId="0" applyNumberFormat="1" applyFont="1" applyFill="1" applyBorder="1"/>
    <xf numFmtId="2" fontId="23" fillId="0" borderId="42" xfId="0" applyNumberFormat="1" applyFont="1" applyFill="1" applyBorder="1"/>
    <xf numFmtId="165" fontId="23" fillId="0" borderId="42" xfId="0" applyNumberFormat="1" applyFont="1" applyFill="1" applyBorder="1"/>
    <xf numFmtId="165" fontId="23" fillId="0" borderId="52" xfId="0" applyNumberFormat="1" applyFont="1" applyFill="1" applyBorder="1"/>
    <xf numFmtId="0" fontId="14" fillId="3" borderId="1" xfId="0" applyFont="1" applyFill="1" applyBorder="1" applyAlignment="1">
      <alignment horizontal="justify" wrapText="1"/>
    </xf>
    <xf numFmtId="0" fontId="23" fillId="0" borderId="2" xfId="0" applyFont="1" applyBorder="1"/>
    <xf numFmtId="0" fontId="23" fillId="0" borderId="31" xfId="0" applyFont="1" applyBorder="1"/>
    <xf numFmtId="0" fontId="23" fillId="0" borderId="42" xfId="0" applyFont="1" applyFill="1" applyBorder="1"/>
    <xf numFmtId="0" fontId="23" fillId="0" borderId="52" xfId="0" applyFont="1" applyFill="1" applyBorder="1"/>
    <xf numFmtId="0" fontId="14" fillId="0" borderId="2" xfId="0" applyFont="1" applyBorder="1"/>
    <xf numFmtId="0" fontId="14" fillId="0" borderId="31" xfId="0" applyFont="1" applyBorder="1"/>
    <xf numFmtId="0" fontId="14" fillId="0" borderId="42" xfId="0" applyFont="1" applyFill="1" applyBorder="1"/>
    <xf numFmtId="0" fontId="14" fillId="0" borderId="52" xfId="0" applyFont="1" applyFill="1" applyBorder="1"/>
    <xf numFmtId="0" fontId="22" fillId="0" borderId="0" xfId="0" applyFont="1"/>
    <xf numFmtId="166" fontId="14" fillId="0" borderId="0" xfId="0" applyNumberFormat="1" applyFont="1"/>
    <xf numFmtId="0" fontId="15" fillId="0" borderId="2" xfId="0" applyFont="1" applyBorder="1"/>
    <xf numFmtId="0" fontId="18" fillId="0" borderId="1" xfId="4" applyFont="1" applyFill="1" applyBorder="1" applyAlignment="1">
      <alignment wrapText="1"/>
    </xf>
    <xf numFmtId="49" fontId="18" fillId="0" borderId="1" xfId="0" applyNumberFormat="1" applyFont="1" applyBorder="1"/>
    <xf numFmtId="0" fontId="18" fillId="0" borderId="2" xfId="0" applyFont="1" applyBorder="1"/>
    <xf numFmtId="165" fontId="18" fillId="0" borderId="31" xfId="0" applyNumberFormat="1" applyFont="1" applyBorder="1"/>
    <xf numFmtId="0" fontId="14" fillId="0" borderId="53" xfId="0" applyFont="1" applyFill="1" applyBorder="1"/>
    <xf numFmtId="165" fontId="14" fillId="0" borderId="54" xfId="0" applyNumberFormat="1" applyFont="1" applyFill="1" applyBorder="1"/>
    <xf numFmtId="0" fontId="15" fillId="0" borderId="18" xfId="0" applyFont="1" applyBorder="1" applyAlignment="1">
      <alignment wrapText="1"/>
    </xf>
    <xf numFmtId="49" fontId="15" fillId="0" borderId="18" xfId="0" applyNumberFormat="1" applyFont="1" applyBorder="1"/>
    <xf numFmtId="2" fontId="15" fillId="0" borderId="9" xfId="0" applyNumberFormat="1" applyFont="1" applyBorder="1"/>
    <xf numFmtId="2" fontId="15" fillId="0" borderId="29" xfId="0" applyNumberFormat="1" applyFont="1" applyBorder="1"/>
    <xf numFmtId="2" fontId="15" fillId="0" borderId="18" xfId="0" applyNumberFormat="1" applyFont="1" applyFill="1" applyBorder="1"/>
    <xf numFmtId="2" fontId="15" fillId="0" borderId="47" xfId="0" applyNumberFormat="1" applyFont="1" applyFill="1" applyBorder="1"/>
    <xf numFmtId="2" fontId="15" fillId="0" borderId="39" xfId="0" applyNumberFormat="1" applyFont="1" applyFill="1" applyBorder="1"/>
    <xf numFmtId="2" fontId="15" fillId="0" borderId="2" xfId="0" applyNumberFormat="1" applyFont="1" applyBorder="1"/>
    <xf numFmtId="2" fontId="15" fillId="0" borderId="31" xfId="0" applyNumberFormat="1" applyFont="1" applyBorder="1"/>
    <xf numFmtId="2" fontId="14" fillId="0" borderId="52" xfId="0" applyNumberFormat="1" applyFont="1" applyFill="1" applyBorder="1"/>
    <xf numFmtId="165" fontId="15" fillId="0" borderId="31" xfId="0" applyNumberFormat="1" applyFont="1" applyBorder="1"/>
    <xf numFmtId="0" fontId="22" fillId="4" borderId="0" xfId="0" applyFont="1" applyFill="1"/>
    <xf numFmtId="2" fontId="14" fillId="0" borderId="2" xfId="0" applyNumberFormat="1" applyFont="1" applyBorder="1"/>
    <xf numFmtId="2" fontId="14" fillId="0" borderId="31" xfId="0" applyNumberFormat="1" applyFont="1" applyBorder="1"/>
    <xf numFmtId="2" fontId="14" fillId="0" borderId="40" xfId="0" applyNumberFormat="1" applyFont="1" applyFill="1" applyBorder="1"/>
    <xf numFmtId="4" fontId="14" fillId="0" borderId="52" xfId="0" applyNumberFormat="1" applyFont="1" applyFill="1" applyBorder="1"/>
    <xf numFmtId="0" fontId="15" fillId="0" borderId="31" xfId="0" applyFont="1" applyBorder="1"/>
    <xf numFmtId="2" fontId="15" fillId="0" borderId="1" xfId="0" applyNumberFormat="1" applyFont="1" applyFill="1" applyBorder="1"/>
    <xf numFmtId="2" fontId="15" fillId="0" borderId="42" xfId="0" applyNumberFormat="1" applyFont="1" applyFill="1" applyBorder="1"/>
    <xf numFmtId="165" fontId="14" fillId="0" borderId="40" xfId="0" applyNumberFormat="1" applyFont="1" applyFill="1" applyBorder="1"/>
    <xf numFmtId="0" fontId="14" fillId="0" borderId="55" xfId="0" applyFont="1" applyBorder="1" applyAlignment="1">
      <alignment wrapText="1"/>
    </xf>
    <xf numFmtId="49" fontId="14" fillId="0" borderId="55" xfId="0" applyNumberFormat="1" applyFont="1" applyBorder="1"/>
    <xf numFmtId="0" fontId="14" fillId="0" borderId="35" xfId="0" applyFont="1" applyFill="1" applyBorder="1"/>
    <xf numFmtId="165" fontId="14" fillId="0" borderId="33" xfId="0" applyNumberFormat="1" applyFont="1" applyFill="1" applyBorder="1"/>
    <xf numFmtId="0" fontId="14" fillId="0" borderId="1" xfId="0" applyFont="1" applyFill="1" applyBorder="1" applyAlignment="1">
      <alignment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65" fontId="14" fillId="0" borderId="1" xfId="0" applyNumberFormat="1" applyFont="1" applyFill="1" applyBorder="1"/>
    <xf numFmtId="0" fontId="14" fillId="0" borderId="1" xfId="0" applyFont="1" applyFill="1" applyBorder="1"/>
    <xf numFmtId="49" fontId="14" fillId="0" borderId="42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165" fontId="18" fillId="0" borderId="1" xfId="0" applyNumberFormat="1" applyFont="1" applyFill="1" applyBorder="1"/>
    <xf numFmtId="0" fontId="18" fillId="0" borderId="1" xfId="0" applyFont="1" applyFill="1" applyBorder="1"/>
    <xf numFmtId="165" fontId="15" fillId="0" borderId="42" xfId="0" applyNumberFormat="1" applyFont="1" applyFill="1" applyBorder="1"/>
    <xf numFmtId="165" fontId="24" fillId="0" borderId="40" xfId="0" applyNumberFormat="1" applyFont="1" applyFill="1" applyBorder="1"/>
    <xf numFmtId="0" fontId="15" fillId="4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/>
    <xf numFmtId="0" fontId="14" fillId="0" borderId="0" xfId="0" applyFont="1" applyBorder="1"/>
    <xf numFmtId="0" fontId="24" fillId="0" borderId="40" xfId="0" applyFont="1" applyFill="1" applyBorder="1"/>
    <xf numFmtId="0" fontId="14" fillId="4" borderId="0" xfId="0" applyFont="1" applyFill="1" applyBorder="1"/>
    <xf numFmtId="0" fontId="14" fillId="0" borderId="0" xfId="0" applyFont="1" applyFill="1" applyBorder="1"/>
    <xf numFmtId="0" fontId="14" fillId="2" borderId="0" xfId="0" applyFont="1" applyFill="1" applyBorder="1"/>
    <xf numFmtId="165" fontId="24" fillId="0" borderId="43" xfId="0" applyNumberFormat="1" applyFont="1" applyFill="1" applyBorder="1"/>
    <xf numFmtId="165" fontId="14" fillId="0" borderId="0" xfId="0" applyNumberFormat="1" applyFont="1" applyFill="1" applyBorder="1"/>
    <xf numFmtId="165" fontId="14" fillId="0" borderId="2" xfId="0" applyNumberFormat="1" applyFont="1" applyFill="1" applyBorder="1"/>
    <xf numFmtId="0" fontId="14" fillId="0" borderId="12" xfId="0" applyFont="1" applyFill="1" applyBorder="1"/>
    <xf numFmtId="165" fontId="24" fillId="0" borderId="14" xfId="0" applyNumberFormat="1" applyFont="1" applyFill="1" applyBorder="1"/>
    <xf numFmtId="0" fontId="22" fillId="4" borderId="0" xfId="0" applyFont="1" applyFill="1" applyBorder="1"/>
    <xf numFmtId="0" fontId="14" fillId="0" borderId="56" xfId="0" applyFont="1" applyFill="1" applyBorder="1"/>
    <xf numFmtId="165" fontId="24" fillId="0" borderId="3" xfId="0" applyNumberFormat="1" applyFont="1" applyFill="1" applyBorder="1"/>
    <xf numFmtId="0" fontId="18" fillId="0" borderId="1" xfId="0" applyFont="1" applyBorder="1" applyAlignment="1">
      <alignment wrapText="1"/>
    </xf>
    <xf numFmtId="49" fontId="14" fillId="0" borderId="55" xfId="0" applyNumberFormat="1" applyFont="1" applyBorder="1" applyAlignment="1">
      <alignment horizontal="center"/>
    </xf>
    <xf numFmtId="49" fontId="14" fillId="0" borderId="53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0" fontId="14" fillId="0" borderId="55" xfId="0" applyFont="1" applyBorder="1" applyAlignment="1">
      <alignment horizontal="center" wrapText="1"/>
    </xf>
    <xf numFmtId="165" fontId="18" fillId="0" borderId="55" xfId="0" applyNumberFormat="1" applyFont="1" applyFill="1" applyBorder="1"/>
    <xf numFmtId="0" fontId="18" fillId="0" borderId="35" xfId="0" applyFont="1" applyFill="1" applyBorder="1"/>
    <xf numFmtId="49" fontId="21" fillId="0" borderId="17" xfId="0" applyNumberFormat="1" applyFont="1" applyBorder="1"/>
    <xf numFmtId="2" fontId="21" fillId="0" borderId="27" xfId="0" applyNumberFormat="1" applyFont="1" applyBorder="1"/>
    <xf numFmtId="2" fontId="21" fillId="0" borderId="56" xfId="0" applyNumberFormat="1" applyFont="1" applyFill="1" applyBorder="1"/>
    <xf numFmtId="2" fontId="21" fillId="0" borderId="37" xfId="0" applyNumberFormat="1" applyFont="1" applyFill="1" applyBorder="1"/>
    <xf numFmtId="166" fontId="22" fillId="0" borderId="0" xfId="0" applyNumberFormat="1" applyFont="1"/>
    <xf numFmtId="0" fontId="23" fillId="0" borderId="18" xfId="0" applyFont="1" applyBorder="1" applyAlignment="1">
      <alignment wrapText="1"/>
    </xf>
    <xf numFmtId="49" fontId="23" fillId="0" borderId="18" xfId="0" applyNumberFormat="1" applyFont="1" applyBorder="1"/>
    <xf numFmtId="2" fontId="23" fillId="0" borderId="9" xfId="0" applyNumberFormat="1" applyFont="1" applyBorder="1"/>
    <xf numFmtId="2" fontId="23" fillId="0" borderId="39" xfId="0" applyNumberFormat="1" applyFont="1" applyFill="1" applyBorder="1"/>
    <xf numFmtId="0" fontId="14" fillId="0" borderId="1" xfId="0" applyFont="1" applyBorder="1" applyAlignment="1">
      <alignment horizontal="justify" vertical="top" wrapText="1"/>
    </xf>
    <xf numFmtId="2" fontId="14" fillId="0" borderId="2" xfId="0" applyNumberFormat="1" applyFont="1" applyFill="1" applyBorder="1"/>
    <xf numFmtId="2" fontId="23" fillId="0" borderId="31" xfId="0" applyNumberFormat="1" applyFont="1" applyBorder="1"/>
    <xf numFmtId="2" fontId="23" fillId="0" borderId="2" xfId="0" applyNumberFormat="1" applyFont="1" applyBorder="1"/>
    <xf numFmtId="2" fontId="23" fillId="0" borderId="52" xfId="0" applyNumberFormat="1" applyFont="1" applyFill="1" applyBorder="1"/>
    <xf numFmtId="0" fontId="15" fillId="0" borderId="42" xfId="0" applyFont="1" applyFill="1" applyBorder="1"/>
    <xf numFmtId="0" fontId="15" fillId="0" borderId="52" xfId="0" applyFont="1" applyFill="1" applyBorder="1"/>
    <xf numFmtId="165" fontId="14" fillId="0" borderId="0" xfId="0" applyNumberFormat="1" applyFont="1"/>
    <xf numFmtId="2" fontId="15" fillId="0" borderId="52" xfId="0" applyNumberFormat="1" applyFont="1" applyFill="1" applyBorder="1"/>
    <xf numFmtId="0" fontId="18" fillId="0" borderId="42" xfId="0" applyFont="1" applyFill="1" applyBorder="1"/>
    <xf numFmtId="4" fontId="14" fillId="0" borderId="1" xfId="0" applyNumberFormat="1" applyFont="1" applyBorder="1" applyAlignment="1">
      <alignment horizontal="justify" vertical="top" wrapText="1"/>
    </xf>
    <xf numFmtId="0" fontId="25" fillId="0" borderId="57" xfId="0" applyFont="1" applyBorder="1" applyAlignment="1">
      <alignment wrapText="1"/>
    </xf>
    <xf numFmtId="49" fontId="25" fillId="0" borderId="20" xfId="0" applyNumberFormat="1" applyFont="1" applyBorder="1" applyAlignment="1">
      <alignment wrapText="1"/>
    </xf>
    <xf numFmtId="49" fontId="25" fillId="0" borderId="47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 wrapText="1"/>
    </xf>
    <xf numFmtId="0" fontId="25" fillId="0" borderId="58" xfId="0" applyFont="1" applyBorder="1" applyAlignment="1">
      <alignment wrapText="1"/>
    </xf>
    <xf numFmtId="49" fontId="25" fillId="0" borderId="6" xfId="0" applyNumberFormat="1" applyFont="1" applyBorder="1" applyAlignment="1">
      <alignment wrapText="1"/>
    </xf>
    <xf numFmtId="0" fontId="18" fillId="0" borderId="31" xfId="0" applyFont="1" applyBorder="1"/>
    <xf numFmtId="0" fontId="14" fillId="4" borderId="0" xfId="0" applyFont="1" applyFill="1"/>
    <xf numFmtId="0" fontId="14" fillId="0" borderId="1" xfId="0" applyFont="1" applyBorder="1" applyAlignment="1">
      <alignment wrapText="1" shrinkToFit="1"/>
    </xf>
    <xf numFmtId="0" fontId="14" fillId="0" borderId="14" xfId="0" applyFont="1" applyBorder="1"/>
    <xf numFmtId="165" fontId="14" fillId="0" borderId="44" xfId="0" applyNumberFormat="1" applyFont="1" applyBorder="1"/>
    <xf numFmtId="165" fontId="14" fillId="0" borderId="11" xfId="0" applyNumberFormat="1" applyFont="1" applyFill="1" applyBorder="1"/>
    <xf numFmtId="0" fontId="21" fillId="0" borderId="17" xfId="0" applyFont="1" applyBorder="1" applyAlignment="1">
      <alignment horizontal="center" wrapText="1"/>
    </xf>
    <xf numFmtId="4" fontId="21" fillId="0" borderId="21" xfId="0" applyNumberFormat="1" applyFont="1" applyBorder="1"/>
    <xf numFmtId="4" fontId="21" fillId="0" borderId="45" xfId="0" applyNumberFormat="1" applyFont="1" applyFill="1" applyBorder="1"/>
    <xf numFmtId="4" fontId="21" fillId="0" borderId="26" xfId="0" applyNumberFormat="1" applyFont="1" applyFill="1" applyBorder="1"/>
    <xf numFmtId="0" fontId="23" fillId="0" borderId="9" xfId="0" applyFont="1" applyBorder="1"/>
    <xf numFmtId="0" fontId="23" fillId="0" borderId="29" xfId="0" applyFont="1" applyBorder="1"/>
    <xf numFmtId="0" fontId="23" fillId="0" borderId="47" xfId="0" applyFont="1" applyFill="1" applyBorder="1"/>
    <xf numFmtId="0" fontId="23" fillId="0" borderId="39" xfId="0" applyFont="1" applyFill="1" applyBorder="1"/>
    <xf numFmtId="4" fontId="14" fillId="0" borderId="0" xfId="0" applyNumberFormat="1" applyFont="1"/>
    <xf numFmtId="0" fontId="15" fillId="0" borderId="1" xfId="3" applyFont="1" applyBorder="1" applyAlignment="1">
      <alignment horizontal="left" wrapText="1"/>
    </xf>
    <xf numFmtId="165" fontId="15" fillId="0" borderId="2" xfId="0" applyNumberFormat="1" applyFont="1" applyBorder="1"/>
    <xf numFmtId="0" fontId="14" fillId="0" borderId="1" xfId="3" applyFont="1" applyBorder="1" applyAlignment="1">
      <alignment horizontal="left" wrapText="1"/>
    </xf>
    <xf numFmtId="0" fontId="14" fillId="0" borderId="1" xfId="4" applyFont="1" applyBorder="1" applyAlignment="1">
      <alignment wrapText="1"/>
    </xf>
    <xf numFmtId="0" fontId="15" fillId="0" borderId="1" xfId="4" applyFont="1" applyBorder="1" applyAlignment="1">
      <alignment wrapText="1"/>
    </xf>
    <xf numFmtId="0" fontId="15" fillId="0" borderId="0" xfId="0" applyFont="1"/>
    <xf numFmtId="49" fontId="14" fillId="0" borderId="42" xfId="0" applyNumberFormat="1" applyFont="1" applyBorder="1"/>
    <xf numFmtId="0" fontId="23" fillId="0" borderId="1" xfId="4" applyFont="1" applyFill="1" applyBorder="1" applyAlignment="1">
      <alignment wrapText="1"/>
    </xf>
    <xf numFmtId="49" fontId="23" fillId="0" borderId="42" xfId="0" applyNumberFormat="1" applyFont="1" applyFill="1" applyBorder="1"/>
    <xf numFmtId="49" fontId="23" fillId="0" borderId="1" xfId="0" applyNumberFormat="1" applyFont="1" applyFill="1" applyBorder="1"/>
    <xf numFmtId="0" fontId="23" fillId="0" borderId="2" xfId="0" applyFont="1" applyFill="1" applyBorder="1"/>
    <xf numFmtId="0" fontId="23" fillId="0" borderId="31" xfId="0" applyFont="1" applyFill="1" applyBorder="1"/>
    <xf numFmtId="0" fontId="25" fillId="0" borderId="1" xfId="3" applyFont="1" applyBorder="1" applyAlignment="1">
      <alignment horizontal="left" wrapText="1"/>
    </xf>
    <xf numFmtId="0" fontId="14" fillId="0" borderId="18" xfId="4" applyFont="1" applyBorder="1" applyAlignment="1">
      <alignment wrapText="1"/>
    </xf>
    <xf numFmtId="0" fontId="14" fillId="0" borderId="18" xfId="0" applyFont="1" applyFill="1" applyBorder="1"/>
    <xf numFmtId="165" fontId="14" fillId="0" borderId="39" xfId="0" applyNumberFormat="1" applyFont="1" applyFill="1" applyBorder="1"/>
    <xf numFmtId="0" fontId="14" fillId="0" borderId="9" xfId="0" applyFont="1" applyBorder="1"/>
    <xf numFmtId="165" fontId="14" fillId="0" borderId="29" xfId="0" applyNumberFormat="1" applyFont="1" applyBorder="1"/>
    <xf numFmtId="0" fontId="14" fillId="0" borderId="47" xfId="0" applyFont="1" applyFill="1" applyBorder="1"/>
    <xf numFmtId="0" fontId="26" fillId="0" borderId="18" xfId="3" applyFont="1" applyBorder="1" applyAlignment="1">
      <alignment horizontal="left" wrapText="1"/>
    </xf>
    <xf numFmtId="0" fontId="27" fillId="0" borderId="1" xfId="3" applyFont="1" applyBorder="1" applyAlignment="1">
      <alignment horizontal="left" wrapText="1"/>
    </xf>
    <xf numFmtId="49" fontId="15" fillId="0" borderId="13" xfId="0" applyNumberFormat="1" applyFont="1" applyBorder="1"/>
    <xf numFmtId="0" fontId="15" fillId="0" borderId="14" xfId="0" applyFont="1" applyBorder="1"/>
    <xf numFmtId="0" fontId="15" fillId="0" borderId="44" xfId="0" applyFont="1" applyBorder="1"/>
    <xf numFmtId="0" fontId="14" fillId="0" borderId="29" xfId="0" applyFont="1" applyBorder="1"/>
    <xf numFmtId="0" fontId="7" fillId="0" borderId="1" xfId="0" applyFont="1" applyBorder="1" applyAlignment="1">
      <alignment wrapText="1"/>
    </xf>
    <xf numFmtId="0" fontId="25" fillId="0" borderId="13" xfId="3" applyFont="1" applyBorder="1" applyAlignment="1">
      <alignment horizontal="left" wrapText="1"/>
    </xf>
    <xf numFmtId="49" fontId="14" fillId="0" borderId="13" xfId="0" applyNumberFormat="1" applyFont="1" applyBorder="1"/>
    <xf numFmtId="0" fontId="27" fillId="0" borderId="1" xfId="3" applyFont="1" applyBorder="1" applyAlignment="1">
      <alignment wrapText="1"/>
    </xf>
    <xf numFmtId="165" fontId="15" fillId="0" borderId="52" xfId="0" applyNumberFormat="1" applyFont="1" applyFill="1" applyBorder="1"/>
    <xf numFmtId="0" fontId="25" fillId="0" borderId="1" xfId="3" applyFont="1" applyBorder="1" applyAlignment="1">
      <alignment wrapText="1"/>
    </xf>
    <xf numFmtId="0" fontId="14" fillId="0" borderId="1" xfId="3" applyFont="1" applyBorder="1" applyAlignment="1">
      <alignment wrapText="1"/>
    </xf>
    <xf numFmtId="0" fontId="28" fillId="0" borderId="0" xfId="0" applyFont="1"/>
    <xf numFmtId="0" fontId="7" fillId="0" borderId="1" xfId="0" applyFont="1" applyBorder="1" applyAlignment="1">
      <alignment horizontal="left" wrapText="1"/>
    </xf>
    <xf numFmtId="49" fontId="14" fillId="0" borderId="1" xfId="0" applyNumberFormat="1" applyFont="1" applyFill="1" applyBorder="1"/>
    <xf numFmtId="0" fontId="14" fillId="0" borderId="2" xfId="0" applyFont="1" applyFill="1" applyBorder="1"/>
    <xf numFmtId="0" fontId="14" fillId="0" borderId="31" xfId="0" applyFont="1" applyFill="1" applyBorder="1"/>
    <xf numFmtId="0" fontId="25" fillId="0" borderId="55" xfId="3" applyFont="1" applyBorder="1" applyAlignment="1">
      <alignment horizontal="left" wrapText="1"/>
    </xf>
    <xf numFmtId="165" fontId="14" fillId="0" borderId="31" xfId="0" applyNumberFormat="1" applyFont="1" applyFill="1" applyBorder="1"/>
    <xf numFmtId="49" fontId="26" fillId="0" borderId="1" xfId="0" applyNumberFormat="1" applyFont="1" applyBorder="1"/>
    <xf numFmtId="4" fontId="26" fillId="0" borderId="1" xfId="0" applyNumberFormat="1" applyFont="1" applyBorder="1"/>
    <xf numFmtId="4" fontId="26" fillId="0" borderId="2" xfId="0" applyNumberFormat="1" applyFont="1" applyBorder="1"/>
    <xf numFmtId="2" fontId="26" fillId="0" borderId="31" xfId="0" applyNumberFormat="1" applyFont="1" applyFill="1" applyBorder="1"/>
    <xf numFmtId="4" fontId="14" fillId="0" borderId="42" xfId="0" applyNumberFormat="1" applyFont="1" applyFill="1" applyBorder="1"/>
    <xf numFmtId="4" fontId="15" fillId="0" borderId="1" xfId="0" applyNumberFormat="1" applyFont="1" applyBorder="1"/>
    <xf numFmtId="4" fontId="15" fillId="0" borderId="2" xfId="0" applyNumberFormat="1" applyFont="1" applyBorder="1"/>
    <xf numFmtId="164" fontId="14" fillId="0" borderId="42" xfId="0" applyNumberFormat="1" applyFont="1" applyFill="1" applyBorder="1"/>
    <xf numFmtId="4" fontId="14" fillId="0" borderId="1" xfId="0" applyNumberFormat="1" applyFont="1" applyFill="1" applyBorder="1"/>
    <xf numFmtId="4" fontId="14" fillId="0" borderId="2" xfId="0" applyNumberFormat="1" applyFont="1" applyFill="1" applyBorder="1"/>
    <xf numFmtId="0" fontId="25" fillId="5" borderId="1" xfId="0" applyFont="1" applyFill="1" applyBorder="1" applyAlignment="1">
      <alignment wrapText="1"/>
    </xf>
    <xf numFmtId="49" fontId="14" fillId="5" borderId="42" xfId="0" applyNumberFormat="1" applyFont="1" applyFill="1" applyBorder="1"/>
    <xf numFmtId="49" fontId="14" fillId="5" borderId="1" xfId="0" applyNumberFormat="1" applyFont="1" applyFill="1" applyBorder="1"/>
    <xf numFmtId="4" fontId="14" fillId="5" borderId="1" xfId="0" applyNumberFormat="1" applyFont="1" applyFill="1" applyBorder="1"/>
    <xf numFmtId="4" fontId="14" fillId="5" borderId="2" xfId="0" applyNumberFormat="1" applyFont="1" applyFill="1" applyBorder="1"/>
    <xf numFmtId="0" fontId="26" fillId="0" borderId="1" xfId="4" applyFont="1" applyBorder="1"/>
    <xf numFmtId="0" fontId="25" fillId="0" borderId="1" xfId="4" applyFont="1" applyBorder="1" applyAlignment="1">
      <alignment wrapText="1"/>
    </xf>
    <xf numFmtId="166" fontId="29" fillId="0" borderId="0" xfId="0" applyNumberFormat="1" applyFont="1"/>
    <xf numFmtId="0" fontId="26" fillId="0" borderId="1" xfId="4" applyFont="1" applyBorder="1" applyAlignment="1">
      <alignment wrapText="1"/>
    </xf>
    <xf numFmtId="0" fontId="26" fillId="0" borderId="2" xfId="0" applyFont="1" applyBorder="1"/>
    <xf numFmtId="165" fontId="26" fillId="0" borderId="31" xfId="0" applyNumberFormat="1" applyFont="1" applyBorder="1"/>
    <xf numFmtId="2" fontId="26" fillId="0" borderId="40" xfId="0" applyNumberFormat="1" applyFont="1" applyFill="1" applyBorder="1"/>
    <xf numFmtId="0" fontId="18" fillId="0" borderId="1" xfId="3" applyFont="1" applyBorder="1" applyAlignment="1">
      <alignment horizontal="left" wrapText="1"/>
    </xf>
    <xf numFmtId="0" fontId="14" fillId="0" borderId="1" xfId="4" applyFont="1" applyFill="1" applyBorder="1" applyAlignment="1">
      <alignment wrapText="1"/>
    </xf>
    <xf numFmtId="0" fontId="15" fillId="0" borderId="1" xfId="4" applyFont="1" applyFill="1" applyBorder="1" applyAlignment="1">
      <alignment wrapText="1"/>
    </xf>
    <xf numFmtId="2" fontId="15" fillId="0" borderId="0" xfId="0" applyNumberFormat="1" applyFont="1"/>
    <xf numFmtId="0" fontId="14" fillId="0" borderId="55" xfId="4" applyFont="1" applyFill="1" applyBorder="1" applyAlignment="1">
      <alignment wrapText="1"/>
    </xf>
    <xf numFmtId="0" fontId="14" fillId="0" borderId="35" xfId="0" applyFont="1" applyBorder="1"/>
    <xf numFmtId="0" fontId="14" fillId="0" borderId="1" xfId="0" applyFont="1" applyBorder="1"/>
    <xf numFmtId="0" fontId="26" fillId="0" borderId="1" xfId="4" applyFont="1" applyFill="1" applyBorder="1" applyAlignment="1">
      <alignment wrapText="1"/>
    </xf>
    <xf numFmtId="49" fontId="30" fillId="0" borderId="1" xfId="0" applyNumberFormat="1" applyFont="1" applyBorder="1"/>
    <xf numFmtId="165" fontId="30" fillId="0" borderId="31" xfId="0" applyNumberFormat="1" applyFont="1" applyBorder="1"/>
    <xf numFmtId="165" fontId="30" fillId="0" borderId="2" xfId="0" applyNumberFormat="1" applyFont="1" applyBorder="1"/>
    <xf numFmtId="0" fontId="14" fillId="0" borderId="8" xfId="0" applyFont="1" applyFill="1" applyBorder="1"/>
    <xf numFmtId="165" fontId="14" fillId="0" borderId="47" xfId="0" applyNumberFormat="1" applyFont="1" applyFill="1" applyBorder="1"/>
    <xf numFmtId="2" fontId="23" fillId="0" borderId="40" xfId="0" applyNumberFormat="1" applyFont="1" applyFill="1" applyBorder="1"/>
    <xf numFmtId="49" fontId="14" fillId="0" borderId="18" xfId="0" applyNumberFormat="1" applyFont="1" applyFill="1" applyBorder="1"/>
    <xf numFmtId="0" fontId="18" fillId="0" borderId="2" xfId="0" applyFont="1" applyFill="1" applyBorder="1"/>
    <xf numFmtId="165" fontId="18" fillId="0" borderId="31" xfId="0" applyNumberFormat="1" applyFont="1" applyFill="1" applyBorder="1"/>
    <xf numFmtId="165" fontId="14" fillId="0" borderId="59" xfId="0" applyNumberFormat="1" applyFont="1" applyFill="1" applyBorder="1"/>
    <xf numFmtId="0" fontId="18" fillId="0" borderId="15" xfId="0" applyFont="1" applyFill="1" applyBorder="1"/>
    <xf numFmtId="165" fontId="18" fillId="0" borderId="24" xfId="0" applyNumberFormat="1" applyFont="1" applyFill="1" applyBorder="1"/>
    <xf numFmtId="2" fontId="21" fillId="0" borderId="23" xfId="0" applyNumberFormat="1" applyFont="1" applyBorder="1"/>
    <xf numFmtId="2" fontId="21" fillId="0" borderId="21" xfId="0" applyNumberFormat="1" applyFont="1" applyBorder="1"/>
    <xf numFmtId="0" fontId="26" fillId="0" borderId="18" xfId="4" applyFont="1" applyFill="1" applyBorder="1"/>
    <xf numFmtId="165" fontId="23" fillId="0" borderId="29" xfId="0" applyNumberFormat="1" applyFont="1" applyBorder="1"/>
    <xf numFmtId="0" fontId="14" fillId="0" borderId="1" xfId="4" applyFont="1" applyFill="1" applyBorder="1"/>
    <xf numFmtId="0" fontId="27" fillId="0" borderId="1" xfId="4" applyFont="1" applyBorder="1" applyAlignment="1">
      <alignment wrapText="1"/>
    </xf>
    <xf numFmtId="168" fontId="14" fillId="0" borderId="0" xfId="0" applyNumberFormat="1" applyFont="1"/>
    <xf numFmtId="0" fontId="31" fillId="0" borderId="1" xfId="0" applyFont="1" applyBorder="1" applyAlignment="1">
      <alignment wrapText="1"/>
    </xf>
    <xf numFmtId="0" fontId="21" fillId="0" borderId="22" xfId="0" applyFont="1" applyBorder="1" applyAlignment="1">
      <alignment horizontal="center" wrapText="1"/>
    </xf>
    <xf numFmtId="49" fontId="21" fillId="0" borderId="22" xfId="0" applyNumberFormat="1" applyFont="1" applyBorder="1"/>
    <xf numFmtId="0" fontId="21" fillId="6" borderId="17" xfId="0" applyFont="1" applyFill="1" applyBorder="1" applyAlignment="1">
      <alignment horizontal="center" wrapText="1"/>
    </xf>
    <xf numFmtId="49" fontId="21" fillId="6" borderId="17" xfId="0" applyNumberFormat="1" applyFont="1" applyFill="1" applyBorder="1"/>
    <xf numFmtId="2" fontId="21" fillId="6" borderId="21" xfId="0" applyNumberFormat="1" applyFont="1" applyFill="1" applyBorder="1"/>
    <xf numFmtId="166" fontId="21" fillId="6" borderId="23" xfId="0" applyNumberFormat="1" applyFont="1" applyFill="1" applyBorder="1"/>
    <xf numFmtId="166" fontId="21" fillId="0" borderId="56" xfId="0" applyNumberFormat="1" applyFont="1" applyFill="1" applyBorder="1"/>
    <xf numFmtId="2" fontId="14" fillId="6" borderId="0" xfId="0" applyNumberFormat="1" applyFont="1" applyFill="1"/>
    <xf numFmtId="2" fontId="23" fillId="0" borderId="0" xfId="0" applyNumberFormat="1" applyFont="1"/>
    <xf numFmtId="0" fontId="23" fillId="0" borderId="0" xfId="0" applyFont="1"/>
    <xf numFmtId="168" fontId="22" fillId="4" borderId="0" xfId="0" applyNumberFormat="1" applyFont="1" applyFill="1"/>
    <xf numFmtId="169" fontId="14" fillId="0" borderId="0" xfId="0" applyNumberFormat="1" applyFont="1"/>
    <xf numFmtId="0" fontId="32" fillId="0" borderId="1" xfId="3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Fill="1" applyBorder="1"/>
    <xf numFmtId="49" fontId="27" fillId="0" borderId="1" xfId="0" applyNumberFormat="1" applyFont="1" applyBorder="1"/>
    <xf numFmtId="165" fontId="14" fillId="0" borderId="53" xfId="0" applyNumberFormat="1" applyFont="1" applyFill="1" applyBorder="1"/>
    <xf numFmtId="49" fontId="25" fillId="0" borderId="1" xfId="0" applyNumberFormat="1" applyFont="1" applyBorder="1"/>
    <xf numFmtId="49" fontId="21" fillId="0" borderId="1" xfId="0" applyNumberFormat="1" applyFont="1" applyFill="1" applyBorder="1"/>
    <xf numFmtId="0" fontId="15" fillId="0" borderId="1" xfId="3" applyFont="1" applyFill="1" applyBorder="1" applyAlignment="1">
      <alignment horizontal="left" wrapText="1"/>
    </xf>
    <xf numFmtId="49" fontId="15" fillId="0" borderId="1" xfId="0" applyNumberFormat="1" applyFont="1" applyFill="1" applyBorder="1"/>
    <xf numFmtId="0" fontId="15" fillId="0" borderId="2" xfId="0" applyFont="1" applyFill="1" applyBorder="1"/>
    <xf numFmtId="0" fontId="15" fillId="0" borderId="31" xfId="0" applyFont="1" applyFill="1" applyBorder="1"/>
    <xf numFmtId="0" fontId="14" fillId="0" borderId="1" xfId="0" applyFont="1" applyFill="1" applyBorder="1" applyAlignment="1">
      <alignment horizontal="justify" vertical="top" wrapText="1"/>
    </xf>
    <xf numFmtId="0" fontId="14" fillId="0" borderId="1" xfId="3" applyFont="1" applyFill="1" applyBorder="1" applyAlignment="1">
      <alignment horizontal="left" wrapText="1"/>
    </xf>
    <xf numFmtId="0" fontId="23" fillId="0" borderId="1" xfId="3" applyFont="1" applyBorder="1" applyAlignment="1">
      <alignment horizontal="left" wrapText="1"/>
    </xf>
    <xf numFmtId="0" fontId="26" fillId="0" borderId="1" xfId="3" applyFont="1" applyBorder="1" applyAlignment="1">
      <alignment horizontal="left" wrapText="1"/>
    </xf>
    <xf numFmtId="0" fontId="25" fillId="0" borderId="60" xfId="0" applyFont="1" applyBorder="1" applyAlignment="1">
      <alignment wrapText="1"/>
    </xf>
    <xf numFmtId="0" fontId="14" fillId="0" borderId="40" xfId="0" applyFont="1" applyBorder="1"/>
    <xf numFmtId="0" fontId="27" fillId="0" borderId="1" xfId="3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21" fillId="0" borderId="0" xfId="0" applyFont="1"/>
    <xf numFmtId="0" fontId="25" fillId="0" borderId="61" xfId="0" applyFont="1" applyBorder="1" applyAlignment="1">
      <alignment wrapText="1"/>
    </xf>
    <xf numFmtId="49" fontId="25" fillId="0" borderId="1" xfId="3" applyNumberFormat="1" applyFont="1" applyBorder="1" applyAlignment="1">
      <alignment horizontal="left" wrapText="1"/>
    </xf>
    <xf numFmtId="0" fontId="26" fillId="0" borderId="1" xfId="3" applyFont="1" applyFill="1" applyBorder="1" applyAlignment="1">
      <alignment horizontal="left"/>
    </xf>
    <xf numFmtId="0" fontId="27" fillId="0" borderId="1" xfId="0" applyFont="1" applyBorder="1" applyAlignment="1">
      <alignment wrapText="1"/>
    </xf>
    <xf numFmtId="49" fontId="15" fillId="0" borderId="42" xfId="0" applyNumberFormat="1" applyFont="1" applyBorder="1"/>
    <xf numFmtId="4" fontId="15" fillId="0" borderId="42" xfId="0" applyNumberFormat="1" applyFont="1" applyFill="1" applyBorder="1"/>
    <xf numFmtId="4" fontId="15" fillId="0" borderId="52" xfId="0" applyNumberFormat="1" applyFont="1" applyFill="1" applyBorder="1"/>
    <xf numFmtId="4" fontId="14" fillId="0" borderId="1" xfId="0" applyNumberFormat="1" applyFont="1" applyBorder="1"/>
    <xf numFmtId="4" fontId="14" fillId="0" borderId="2" xfId="0" applyNumberFormat="1" applyFont="1" applyBorder="1"/>
    <xf numFmtId="4" fontId="14" fillId="0" borderId="40" xfId="0" applyNumberFormat="1" applyFont="1" applyBorder="1"/>
    <xf numFmtId="0" fontId="33" fillId="0" borderId="2" xfId="0" applyFont="1" applyBorder="1"/>
    <xf numFmtId="0" fontId="33" fillId="0" borderId="31" xfId="0" applyFont="1" applyBorder="1"/>
    <xf numFmtId="0" fontId="33" fillId="0" borderId="42" xfId="0" applyFont="1" applyFill="1" applyBorder="1"/>
    <xf numFmtId="0" fontId="33" fillId="0" borderId="52" xfId="0" applyFont="1" applyFill="1" applyBorder="1"/>
    <xf numFmtId="0" fontId="18" fillId="0" borderId="55" xfId="3" applyFont="1" applyBorder="1" applyAlignment="1">
      <alignment horizontal="left" wrapText="1"/>
    </xf>
    <xf numFmtId="49" fontId="18" fillId="0" borderId="55" xfId="0" applyNumberFormat="1" applyFont="1" applyBorder="1"/>
    <xf numFmtId="0" fontId="18" fillId="0" borderId="14" xfId="0" applyFont="1" applyBorder="1"/>
    <xf numFmtId="165" fontId="18" fillId="0" borderId="44" xfId="0" applyNumberFormat="1" applyFont="1" applyBorder="1"/>
    <xf numFmtId="0" fontId="14" fillId="0" borderId="55" xfId="3" applyFont="1" applyBorder="1" applyAlignment="1">
      <alignment horizontal="left" wrapText="1"/>
    </xf>
    <xf numFmtId="166" fontId="14" fillId="0" borderId="12" xfId="0" applyNumberFormat="1" applyFont="1" applyFill="1" applyBorder="1"/>
    <xf numFmtId="0" fontId="26" fillId="0" borderId="55" xfId="3" applyFont="1" applyBorder="1" applyAlignment="1">
      <alignment horizontal="left" wrapText="1"/>
    </xf>
    <xf numFmtId="49" fontId="26" fillId="0" borderId="55" xfId="0" applyNumberFormat="1" applyFont="1" applyBorder="1"/>
    <xf numFmtId="0" fontId="26" fillId="0" borderId="35" xfId="0" applyFont="1" applyBorder="1"/>
    <xf numFmtId="165" fontId="26" fillId="0" borderId="33" xfId="0" applyNumberFormat="1" applyFont="1" applyBorder="1"/>
    <xf numFmtId="166" fontId="14" fillId="0" borderId="56" xfId="0" applyNumberFormat="1" applyFont="1" applyFill="1" applyBorder="1"/>
    <xf numFmtId="165" fontId="14" fillId="0" borderId="37" xfId="0" applyNumberFormat="1" applyFont="1" applyFill="1" applyBorder="1"/>
    <xf numFmtId="0" fontId="21" fillId="0" borderId="17" xfId="0" applyFont="1" applyBorder="1" applyAlignment="1">
      <alignment wrapText="1"/>
    </xf>
    <xf numFmtId="164" fontId="14" fillId="0" borderId="1" xfId="0" applyNumberFormat="1" applyFont="1" applyBorder="1"/>
    <xf numFmtId="164" fontId="14" fillId="0" borderId="2" xfId="0" applyNumberFormat="1" applyFont="1" applyBorder="1"/>
    <xf numFmtId="1" fontId="14" fillId="0" borderId="42" xfId="0" applyNumberFormat="1" applyFont="1" applyFill="1" applyBorder="1"/>
    <xf numFmtId="165" fontId="14" fillId="0" borderId="33" xfId="0" applyNumberFormat="1" applyFont="1" applyBorder="1"/>
    <xf numFmtId="165" fontId="14" fillId="0" borderId="35" xfId="0" applyNumberFormat="1" applyFont="1" applyBorder="1"/>
    <xf numFmtId="0" fontId="14" fillId="0" borderId="3" xfId="0" applyFont="1" applyFill="1" applyBorder="1"/>
    <xf numFmtId="2" fontId="21" fillId="0" borderId="28" xfId="0" applyNumberFormat="1" applyFont="1" applyFill="1" applyBorder="1"/>
    <xf numFmtId="166" fontId="21" fillId="0" borderId="0" xfId="0" applyNumberFormat="1" applyFont="1"/>
    <xf numFmtId="166" fontId="14" fillId="0" borderId="0" xfId="0" applyNumberFormat="1" applyFont="1" applyFill="1"/>
    <xf numFmtId="49" fontId="23" fillId="0" borderId="16" xfId="0" applyNumberFormat="1" applyFont="1" applyBorder="1" applyAlignment="1">
      <alignment horizontal="center"/>
    </xf>
    <xf numFmtId="0" fontId="23" fillId="0" borderId="17" xfId="0" applyFont="1" applyBorder="1"/>
    <xf numFmtId="2" fontId="23" fillId="0" borderId="17" xfId="0" applyNumberFormat="1" applyFont="1" applyBorder="1"/>
    <xf numFmtId="2" fontId="23" fillId="0" borderId="17" xfId="0" applyNumberFormat="1" applyFont="1" applyFill="1" applyBorder="1"/>
    <xf numFmtId="0" fontId="23" fillId="0" borderId="17" xfId="0" applyFont="1" applyFill="1" applyBorder="1"/>
    <xf numFmtId="0" fontId="15" fillId="0" borderId="18" xfId="0" applyFont="1" applyBorder="1"/>
    <xf numFmtId="0" fontId="15" fillId="0" borderId="18" xfId="0" applyFont="1" applyFill="1" applyBorder="1"/>
    <xf numFmtId="0" fontId="15" fillId="0" borderId="1" xfId="0" applyFont="1" applyBorder="1"/>
    <xf numFmtId="0" fontId="15" fillId="0" borderId="1" xfId="0" applyFont="1" applyFill="1" applyBorder="1"/>
    <xf numFmtId="2" fontId="15" fillId="0" borderId="1" xfId="0" applyNumberFormat="1" applyFont="1" applyBorder="1"/>
    <xf numFmtId="165" fontId="15" fillId="0" borderId="1" xfId="0" applyNumberFormat="1" applyFont="1" applyBorder="1"/>
    <xf numFmtId="165" fontId="15" fillId="0" borderId="1" xfId="0" applyNumberFormat="1" applyFont="1" applyFill="1" applyBorder="1"/>
    <xf numFmtId="49" fontId="21" fillId="0" borderId="1" xfId="0" applyNumberFormat="1" applyFont="1" applyBorder="1"/>
    <xf numFmtId="0" fontId="21" fillId="0" borderId="1" xfId="0" applyFont="1" applyBorder="1"/>
    <xf numFmtId="2" fontId="21" fillId="0" borderId="1" xfId="0" applyNumberFormat="1" applyFont="1" applyBorder="1"/>
    <xf numFmtId="49" fontId="15" fillId="0" borderId="55" xfId="0" applyNumberFormat="1" applyFont="1" applyBorder="1"/>
    <xf numFmtId="0" fontId="15" fillId="0" borderId="55" xfId="0" applyFont="1" applyBorder="1"/>
    <xf numFmtId="2" fontId="15" fillId="0" borderId="55" xfId="0" applyNumberFormat="1" applyFont="1" applyBorder="1"/>
    <xf numFmtId="2" fontId="15" fillId="0" borderId="55" xfId="0" applyNumberFormat="1" applyFont="1" applyFill="1" applyBorder="1"/>
    <xf numFmtId="0" fontId="15" fillId="0" borderId="55" xfId="0" applyFont="1" applyFill="1" applyBorder="1"/>
    <xf numFmtId="49" fontId="26" fillId="0" borderId="16" xfId="0" applyNumberFormat="1" applyFont="1" applyBorder="1"/>
    <xf numFmtId="0" fontId="26" fillId="0" borderId="17" xfId="0" applyFont="1" applyBorder="1"/>
    <xf numFmtId="0" fontId="15" fillId="0" borderId="8" xfId="0" applyFont="1" applyFill="1" applyBorder="1"/>
    <xf numFmtId="2" fontId="15" fillId="0" borderId="7" xfId="0" applyNumberFormat="1" applyFont="1" applyFill="1" applyBorder="1"/>
    <xf numFmtId="49" fontId="15" fillId="0" borderId="7" xfId="0" applyNumberFormat="1" applyFont="1" applyBorder="1"/>
    <xf numFmtId="0" fontId="15" fillId="0" borderId="7" xfId="0" applyFont="1" applyBorder="1"/>
    <xf numFmtId="0" fontId="15" fillId="0" borderId="7" xfId="0" applyFont="1" applyFill="1" applyBorder="1"/>
    <xf numFmtId="0" fontId="15" fillId="0" borderId="17" xfId="0" applyFont="1" applyBorder="1"/>
    <xf numFmtId="2" fontId="15" fillId="0" borderId="45" xfId="0" applyNumberFormat="1" applyFont="1" applyFill="1" applyBorder="1"/>
    <xf numFmtId="2" fontId="15" fillId="0" borderId="17" xfId="0" applyNumberFormat="1" applyFont="1" applyFill="1" applyBorder="1"/>
    <xf numFmtId="2" fontId="15" fillId="0" borderId="18" xfId="0" applyNumberFormat="1" applyFont="1" applyBorder="1"/>
    <xf numFmtId="0" fontId="15" fillId="0" borderId="17" xfId="0" applyFont="1" applyFill="1" applyBorder="1"/>
    <xf numFmtId="165" fontId="15" fillId="0" borderId="18" xfId="0" applyNumberFormat="1" applyFont="1" applyBorder="1"/>
    <xf numFmtId="165" fontId="15" fillId="0" borderId="7" xfId="0" applyNumberFormat="1" applyFont="1" applyBorder="1"/>
    <xf numFmtId="165" fontId="15" fillId="0" borderId="7" xfId="0" applyNumberFormat="1" applyFont="1" applyFill="1" applyBorder="1"/>
    <xf numFmtId="49" fontId="23" fillId="0" borderId="16" xfId="0" applyNumberFormat="1" applyFont="1" applyFill="1" applyBorder="1" applyAlignment="1">
      <alignment horizontal="center"/>
    </xf>
    <xf numFmtId="4" fontId="15" fillId="0" borderId="17" xfId="0" applyNumberFormat="1" applyFont="1" applyBorder="1"/>
    <xf numFmtId="4" fontId="15" fillId="0" borderId="17" xfId="0" applyNumberFormat="1" applyFont="1" applyFill="1" applyBorder="1"/>
    <xf numFmtId="4" fontId="15" fillId="0" borderId="18" xfId="0" applyNumberFormat="1" applyFont="1" applyBorder="1"/>
    <xf numFmtId="4" fontId="15" fillId="0" borderId="18" xfId="0" applyNumberFormat="1" applyFont="1" applyFill="1" applyBorder="1"/>
    <xf numFmtId="165" fontId="15" fillId="0" borderId="17" xfId="0" applyNumberFormat="1" applyFont="1" applyBorder="1"/>
    <xf numFmtId="49" fontId="21" fillId="0" borderId="55" xfId="0" applyNumberFormat="1" applyFont="1" applyBorder="1"/>
    <xf numFmtId="0" fontId="21" fillId="0" borderId="55" xfId="0" applyFont="1" applyBorder="1"/>
    <xf numFmtId="2" fontId="21" fillId="0" borderId="55" xfId="0" applyNumberFormat="1" applyFont="1" applyBorder="1"/>
    <xf numFmtId="165" fontId="15" fillId="0" borderId="17" xfId="0" applyNumberFormat="1" applyFont="1" applyFill="1" applyBorder="1"/>
    <xf numFmtId="2" fontId="15" fillId="0" borderId="17" xfId="0" applyNumberFormat="1" applyFont="1" applyBorder="1"/>
    <xf numFmtId="0" fontId="23" fillId="0" borderId="16" xfId="0" applyFont="1" applyBorder="1" applyAlignment="1">
      <alignment horizontal="left"/>
    </xf>
    <xf numFmtId="0" fontId="26" fillId="0" borderId="16" xfId="0" applyFont="1" applyBorder="1" applyAlignment="1">
      <alignment horizontal="center"/>
    </xf>
    <xf numFmtId="49" fontId="14" fillId="0" borderId="16" xfId="0" applyNumberFormat="1" applyFont="1" applyBorder="1"/>
    <xf numFmtId="49" fontId="14" fillId="0" borderId="0" xfId="0" applyNumberFormat="1" applyFont="1"/>
    <xf numFmtId="0" fontId="15" fillId="0" borderId="0" xfId="0" applyFont="1" applyFill="1"/>
    <xf numFmtId="43" fontId="14" fillId="0" borderId="1" xfId="6" applyNumberFormat="1" applyFont="1" applyFill="1" applyBorder="1" applyAlignment="1">
      <alignment horizontal="center" vertical="top" wrapText="1"/>
    </xf>
    <xf numFmtId="43" fontId="14" fillId="0" borderId="1" xfId="6" applyFont="1" applyFill="1" applyBorder="1" applyAlignment="1">
      <alignment horizontal="center" vertical="top" wrapText="1"/>
    </xf>
    <xf numFmtId="43" fontId="14" fillId="0" borderId="0" xfId="6" applyNumberFormat="1" applyFont="1" applyFill="1" applyBorder="1" applyAlignment="1">
      <alignment horizontal="center" vertical="top" wrapText="1"/>
    </xf>
    <xf numFmtId="43" fontId="9" fillId="0" borderId="1" xfId="6" applyFont="1" applyBorder="1" applyAlignment="1">
      <alignment horizontal="center" vertical="center"/>
    </xf>
    <xf numFmtId="43" fontId="14" fillId="3" borderId="1" xfId="6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6" fillId="0" borderId="0" xfId="7" applyFont="1" applyBorder="1" applyAlignment="1">
      <alignment horizontal="left"/>
    </xf>
    <xf numFmtId="0" fontId="13" fillId="0" borderId="0" xfId="7" applyFont="1" applyBorder="1" applyAlignment="1">
      <alignment horizontal="center"/>
    </xf>
    <xf numFmtId="0" fontId="24" fillId="0" borderId="55" xfId="0" applyFont="1" applyBorder="1" applyAlignment="1">
      <alignment vertical="top" wrapText="1"/>
    </xf>
    <xf numFmtId="0" fontId="10" fillId="0" borderId="33" xfId="7" applyFont="1" applyBorder="1" applyAlignment="1">
      <alignment horizontal="center"/>
    </xf>
    <xf numFmtId="0" fontId="38" fillId="0" borderId="55" xfId="0" applyFont="1" applyBorder="1" applyAlignment="1">
      <alignment vertical="top" wrapText="1"/>
    </xf>
    <xf numFmtId="0" fontId="10" fillId="0" borderId="31" xfId="7" applyFont="1" applyBorder="1" applyAlignment="1">
      <alignment horizontal="center"/>
    </xf>
    <xf numFmtId="0" fontId="39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39" fillId="0" borderId="55" xfId="7" applyFont="1" applyBorder="1" applyAlignment="1">
      <alignment horizontal="left" vertical="center" wrapText="1"/>
    </xf>
    <xf numFmtId="49" fontId="10" fillId="0" borderId="31" xfId="7" applyNumberFormat="1" applyFont="1" applyBorder="1" applyAlignment="1">
      <alignment horizontal="center"/>
    </xf>
    <xf numFmtId="43" fontId="39" fillId="0" borderId="1" xfId="8" applyFont="1" applyFill="1" applyBorder="1" applyAlignment="1">
      <alignment horizontal="left" wrapText="1"/>
    </xf>
    <xf numFmtId="0" fontId="10" fillId="0" borderId="20" xfId="7" applyFont="1" applyBorder="1" applyAlignment="1">
      <alignment horizontal="center"/>
    </xf>
    <xf numFmtId="0" fontId="7" fillId="0" borderId="0" xfId="0" applyFont="1"/>
    <xf numFmtId="0" fontId="17" fillId="0" borderId="1" xfId="9" applyFont="1" applyBorder="1" applyAlignment="1">
      <alignment horizontal="center" wrapText="1"/>
    </xf>
    <xf numFmtId="0" fontId="8" fillId="0" borderId="20" xfId="7" applyFont="1" applyBorder="1" applyAlignment="1">
      <alignment horizontal="center"/>
    </xf>
    <xf numFmtId="49" fontId="10" fillId="0" borderId="34" xfId="7" applyNumberFormat="1" applyFont="1" applyBorder="1" applyAlignment="1">
      <alignment horizontal="center" vertical="center" wrapText="1"/>
    </xf>
    <xf numFmtId="0" fontId="10" fillId="0" borderId="34" xfId="7" applyFont="1" applyBorder="1" applyAlignment="1">
      <alignment horizontal="center" vertical="center" wrapText="1"/>
    </xf>
    <xf numFmtId="0" fontId="39" fillId="0" borderId="55" xfId="7" applyFont="1" applyFill="1" applyBorder="1" applyAlignment="1">
      <alignment horizontal="left" vertical="center" wrapText="1"/>
    </xf>
    <xf numFmtId="0" fontId="6" fillId="0" borderId="55" xfId="7" applyFont="1" applyBorder="1" applyAlignment="1">
      <alignment horizontal="center" vertical="center" wrapText="1"/>
    </xf>
    <xf numFmtId="0" fontId="9" fillId="0" borderId="0" xfId="7" applyAlignment="1"/>
    <xf numFmtId="0" fontId="10" fillId="0" borderId="0" xfId="7" applyFont="1" applyAlignment="1">
      <alignment horizontal="center"/>
    </xf>
    <xf numFmtId="0" fontId="10" fillId="0" borderId="0" xfId="7" applyFont="1" applyAlignment="1">
      <alignment horizontal="center" wrapText="1"/>
    </xf>
    <xf numFmtId="0" fontId="6" fillId="0" borderId="0" xfId="7" applyFont="1" applyAlignment="1">
      <alignment horizontal="center"/>
    </xf>
    <xf numFmtId="0" fontId="43" fillId="0" borderId="0" xfId="7" applyFont="1" applyAlignment="1">
      <alignment horizontal="center"/>
    </xf>
    <xf numFmtId="0" fontId="14" fillId="0" borderId="40" xfId="0" applyFont="1" applyFill="1" applyBorder="1"/>
    <xf numFmtId="0" fontId="18" fillId="0" borderId="1" xfId="3" applyFont="1" applyBorder="1" applyAlignment="1">
      <alignment wrapText="1"/>
    </xf>
    <xf numFmtId="0" fontId="15" fillId="0" borderId="1" xfId="3" applyFont="1" applyBorder="1" applyAlignment="1">
      <alignment wrapText="1"/>
    </xf>
    <xf numFmtId="2" fontId="15" fillId="0" borderId="1" xfId="3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center"/>
    </xf>
    <xf numFmtId="2" fontId="15" fillId="0" borderId="1" xfId="3" applyNumberFormat="1" applyFont="1" applyBorder="1"/>
    <xf numFmtId="0" fontId="17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11" applyFill="1" applyBorder="1"/>
    <xf numFmtId="49" fontId="8" fillId="0" borderId="0" xfId="11" applyNumberFormat="1" applyFont="1" applyFill="1" applyBorder="1" applyAlignment="1">
      <alignment horizontal="center" vertical="center"/>
    </xf>
    <xf numFmtId="0" fontId="8" fillId="0" borderId="0" xfId="11" applyFont="1" applyFill="1" applyBorder="1"/>
    <xf numFmtId="166" fontId="8" fillId="0" borderId="0" xfId="11" applyNumberFormat="1" applyFont="1" applyFill="1" applyBorder="1"/>
    <xf numFmtId="0" fontId="7" fillId="0" borderId="0" xfId="11" applyFont="1" applyFill="1" applyBorder="1" applyAlignment="1"/>
    <xf numFmtId="0" fontId="9" fillId="0" borderId="0" xfId="13" applyAlignment="1">
      <alignment horizontal="left" vertical="center"/>
    </xf>
    <xf numFmtId="0" fontId="8" fillId="0" borderId="0" xfId="14" applyFont="1" applyAlignment="1">
      <alignment wrapText="1"/>
    </xf>
    <xf numFmtId="0" fontId="11" fillId="0" borderId="0" xfId="11" applyFont="1" applyFill="1" applyBorder="1"/>
    <xf numFmtId="0" fontId="46" fillId="0" borderId="0" xfId="12" applyFont="1" applyFill="1" applyBorder="1" applyAlignment="1">
      <alignment horizontal="center" vertical="top"/>
    </xf>
    <xf numFmtId="0" fontId="47" fillId="0" borderId="0" xfId="11" applyFont="1" applyFill="1" applyBorder="1" applyAlignment="1"/>
    <xf numFmtId="166" fontId="47" fillId="0" borderId="0" xfId="11" applyNumberFormat="1" applyFont="1" applyFill="1" applyBorder="1" applyAlignment="1"/>
    <xf numFmtId="0" fontId="7" fillId="0" borderId="3" xfId="11" applyFont="1" applyFill="1" applyBorder="1"/>
    <xf numFmtId="0" fontId="7" fillId="0" borderId="0" xfId="12"/>
    <xf numFmtId="49" fontId="11" fillId="0" borderId="4" xfId="12" applyNumberFormat="1" applyFont="1" applyBorder="1"/>
    <xf numFmtId="49" fontId="13" fillId="0" borderId="6" xfId="12" applyNumberFormat="1" applyFont="1" applyBorder="1"/>
    <xf numFmtId="0" fontId="13" fillId="0" borderId="7" xfId="12" applyFont="1" applyBorder="1" applyAlignment="1">
      <alignment horizontal="center" vertical="top"/>
    </xf>
    <xf numFmtId="0" fontId="13" fillId="0" borderId="8" xfId="12" applyFont="1" applyBorder="1" applyAlignment="1">
      <alignment horizontal="justify" vertical="top"/>
    </xf>
    <xf numFmtId="0" fontId="13" fillId="0" borderId="9" xfId="12" applyFont="1" applyBorder="1" applyAlignment="1">
      <alignment horizontal="justify" vertical="top"/>
    </xf>
    <xf numFmtId="0" fontId="13" fillId="0" borderId="1" xfId="12" applyFont="1" applyBorder="1" applyAlignment="1">
      <alignment horizontal="justify" vertical="top"/>
    </xf>
    <xf numFmtId="49" fontId="45" fillId="0" borderId="10" xfId="12" applyNumberFormat="1" applyFont="1" applyBorder="1"/>
    <xf numFmtId="0" fontId="11" fillId="0" borderId="11" xfId="12" applyFont="1" applyBorder="1" applyAlignment="1">
      <alignment horizontal="center"/>
    </xf>
    <xf numFmtId="0" fontId="11" fillId="0" borderId="13" xfId="12" applyFont="1" applyBorder="1" applyAlignment="1">
      <alignment horizontal="center"/>
    </xf>
    <xf numFmtId="0" fontId="45" fillId="0" borderId="13" xfId="12" applyFont="1" applyBorder="1" applyAlignment="1">
      <alignment horizontal="center"/>
    </xf>
    <xf numFmtId="0" fontId="7" fillId="0" borderId="14" xfId="12" applyBorder="1"/>
    <xf numFmtId="0" fontId="14" fillId="2" borderId="8" xfId="11" applyFont="1" applyFill="1" applyBorder="1"/>
    <xf numFmtId="0" fontId="14" fillId="2" borderId="15" xfId="11" applyFont="1" applyFill="1" applyBorder="1"/>
    <xf numFmtId="49" fontId="15" fillId="2" borderId="16" xfId="11" applyNumberFormat="1" applyFont="1" applyFill="1" applyBorder="1" applyAlignment="1">
      <alignment horizontal="center" vertical="center"/>
    </xf>
    <xf numFmtId="0" fontId="15" fillId="2" borderId="17" xfId="11" applyFont="1" applyFill="1" applyBorder="1" applyAlignment="1">
      <alignment horizontal="justify" vertical="center" wrapText="1"/>
    </xf>
    <xf numFmtId="171" fontId="14" fillId="2" borderId="0" xfId="11" applyNumberFormat="1" applyFont="1" applyFill="1" applyBorder="1"/>
    <xf numFmtId="0" fontId="14" fillId="2" borderId="0" xfId="11" applyFont="1" applyFill="1" applyBorder="1"/>
    <xf numFmtId="0" fontId="14" fillId="2" borderId="7" xfId="11" applyFont="1" applyFill="1" applyBorder="1"/>
    <xf numFmtId="49" fontId="45" fillId="0" borderId="66" xfId="12" applyNumberFormat="1" applyFont="1" applyBorder="1"/>
    <xf numFmtId="0" fontId="9" fillId="0" borderId="67" xfId="13" applyFont="1" applyBorder="1" applyAlignment="1">
      <alignment wrapText="1"/>
    </xf>
    <xf numFmtId="165" fontId="7" fillId="0" borderId="0" xfId="12" applyNumberFormat="1"/>
    <xf numFmtId="49" fontId="45" fillId="0" borderId="6" xfId="12" applyNumberFormat="1" applyFont="1" applyBorder="1"/>
    <xf numFmtId="0" fontId="45" fillId="0" borderId="18" xfId="12" applyFont="1" applyBorder="1" applyAlignment="1">
      <alignment horizontal="justify"/>
    </xf>
    <xf numFmtId="49" fontId="45" fillId="0" borderId="20" xfId="12" applyNumberFormat="1" applyFont="1" applyBorder="1"/>
    <xf numFmtId="0" fontId="9" fillId="0" borderId="1" xfId="13" applyBorder="1" applyAlignment="1">
      <alignment wrapText="1"/>
    </xf>
    <xf numFmtId="49" fontId="49" fillId="0" borderId="20" xfId="12" applyNumberFormat="1" applyFont="1" applyFill="1" applyBorder="1"/>
    <xf numFmtId="0" fontId="45" fillId="0" borderId="1" xfId="12" applyFont="1" applyFill="1" applyBorder="1" applyAlignment="1">
      <alignment horizontal="justify" wrapText="1"/>
    </xf>
    <xf numFmtId="49" fontId="45" fillId="0" borderId="21" xfId="12" applyNumberFormat="1" applyFont="1" applyBorder="1"/>
    <xf numFmtId="0" fontId="7" fillId="0" borderId="69" xfId="11" applyFill="1" applyBorder="1"/>
    <xf numFmtId="0" fontId="7" fillId="0" borderId="23" xfId="11" applyFill="1" applyBorder="1"/>
    <xf numFmtId="49" fontId="15" fillId="2" borderId="69" xfId="11" applyNumberFormat="1" applyFont="1" applyFill="1" applyBorder="1" applyAlignment="1">
      <alignment horizontal="center" vertical="center"/>
    </xf>
    <xf numFmtId="0" fontId="15" fillId="2" borderId="22" xfId="11" applyFont="1" applyFill="1" applyBorder="1" applyAlignment="1">
      <alignment horizontal="justify" vertical="center" wrapText="1"/>
    </xf>
    <xf numFmtId="0" fontId="7" fillId="0" borderId="22" xfId="11" applyFill="1" applyBorder="1"/>
    <xf numFmtId="49" fontId="49" fillId="0" borderId="70" xfId="12" applyNumberFormat="1" applyFont="1" applyBorder="1"/>
    <xf numFmtId="0" fontId="45" fillId="0" borderId="66" xfId="12" applyFont="1" applyBorder="1" applyAlignment="1">
      <alignment horizontal="justify" wrapText="1"/>
    </xf>
    <xf numFmtId="1" fontId="7" fillId="0" borderId="0" xfId="12" applyNumberFormat="1"/>
    <xf numFmtId="0" fontId="7" fillId="0" borderId="8" xfId="11" applyFill="1" applyBorder="1"/>
    <xf numFmtId="0" fontId="7" fillId="0" borderId="15" xfId="11" applyFill="1" applyBorder="1"/>
    <xf numFmtId="49" fontId="7" fillId="0" borderId="6" xfId="11" applyNumberFormat="1" applyFont="1" applyFill="1" applyBorder="1" applyAlignment="1">
      <alignment horizontal="center" vertical="center"/>
    </xf>
    <xf numFmtId="0" fontId="7" fillId="0" borderId="7" xfId="11" applyFill="1" applyBorder="1"/>
    <xf numFmtId="49" fontId="7" fillId="0" borderId="20" xfId="11" applyNumberFormat="1" applyFont="1" applyFill="1" applyBorder="1" applyAlignment="1">
      <alignment horizontal="center" vertical="center"/>
    </xf>
    <xf numFmtId="0" fontId="14" fillId="0" borderId="1" xfId="11" applyFont="1" applyFill="1" applyBorder="1" applyAlignment="1">
      <alignment horizontal="justify" vertical="center" wrapText="1"/>
    </xf>
    <xf numFmtId="1" fontId="15" fillId="2" borderId="17" xfId="11" applyNumberFormat="1" applyFont="1" applyFill="1" applyBorder="1" applyAlignment="1" applyProtection="1">
      <alignment horizontal="justify" vertical="center"/>
      <protection locked="0"/>
    </xf>
    <xf numFmtId="165" fontId="14" fillId="2" borderId="0" xfId="11" applyNumberFormat="1" applyFont="1" applyFill="1" applyBorder="1"/>
    <xf numFmtId="0" fontId="7" fillId="0" borderId="0" xfId="11" applyFill="1"/>
    <xf numFmtId="0" fontId="7" fillId="0" borderId="24" xfId="11" applyFont="1" applyFill="1" applyBorder="1" applyAlignment="1">
      <alignment horizontal="center" vertical="center"/>
    </xf>
    <xf numFmtId="0" fontId="8" fillId="0" borderId="24" xfId="11" applyFont="1" applyFill="1" applyBorder="1"/>
    <xf numFmtId="166" fontId="8" fillId="0" borderId="24" xfId="11" applyNumberFormat="1" applyFont="1" applyFill="1" applyBorder="1"/>
    <xf numFmtId="0" fontId="7" fillId="0" borderId="0" xfId="11" applyFont="1" applyFill="1"/>
    <xf numFmtId="49" fontId="49" fillId="0" borderId="29" xfId="12" applyNumberFormat="1" applyFont="1" applyBorder="1"/>
    <xf numFmtId="0" fontId="45" fillId="0" borderId="1" xfId="12" applyFont="1" applyBorder="1" applyAlignment="1">
      <alignment horizontal="justify" wrapText="1"/>
    </xf>
    <xf numFmtId="2" fontId="51" fillId="0" borderId="0" xfId="0" applyNumberFormat="1" applyFont="1" applyAlignment="1">
      <alignment vertical="center" wrapText="1"/>
    </xf>
    <xf numFmtId="0" fontId="51" fillId="0" borderId="0" xfId="0" applyFont="1"/>
    <xf numFmtId="0" fontId="51" fillId="0" borderId="0" xfId="0" applyFont="1" applyBorder="1"/>
    <xf numFmtId="4" fontId="51" fillId="0" borderId="0" xfId="0" applyNumberFormat="1" applyFont="1" applyAlignment="1">
      <alignment wrapText="1"/>
    </xf>
    <xf numFmtId="0" fontId="51" fillId="0" borderId="0" xfId="0" applyFont="1" applyAlignment="1">
      <alignment horizontal="center"/>
    </xf>
    <xf numFmtId="4" fontId="51" fillId="0" borderId="0" xfId="0" applyNumberFormat="1" applyFont="1" applyAlignment="1">
      <alignment horizontal="center" wrapText="1"/>
    </xf>
    <xf numFmtId="2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 horizontal="center"/>
    </xf>
    <xf numFmtId="2" fontId="42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center" vertical="center"/>
    </xf>
    <xf numFmtId="4" fontId="42" fillId="0" borderId="2" xfId="0" applyNumberFormat="1" applyFont="1" applyBorder="1" applyAlignment="1">
      <alignment horizontal="center" vertical="center"/>
    </xf>
    <xf numFmtId="4" fontId="42" fillId="0" borderId="1" xfId="0" applyNumberFormat="1" applyFont="1" applyBorder="1" applyAlignment="1">
      <alignment horizontal="center"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horizontal="center" vertical="center" wrapText="1"/>
    </xf>
    <xf numFmtId="4" fontId="53" fillId="0" borderId="1" xfId="0" applyNumberFormat="1" applyFont="1" applyBorder="1" applyAlignment="1">
      <alignment horizontal="center" vertical="center" wrapText="1"/>
    </xf>
    <xf numFmtId="4" fontId="53" fillId="0" borderId="2" xfId="0" applyNumberFormat="1" applyFont="1" applyBorder="1" applyAlignment="1">
      <alignment horizontal="center" vertical="center" wrapText="1"/>
    </xf>
    <xf numFmtId="2" fontId="51" fillId="0" borderId="1" xfId="0" applyNumberFormat="1" applyFont="1" applyBorder="1" applyAlignment="1">
      <alignment vertical="center" wrapText="1"/>
    </xf>
    <xf numFmtId="2" fontId="51" fillId="0" borderId="1" xfId="0" applyNumberFormat="1" applyFont="1" applyBorder="1" applyAlignment="1">
      <alignment horizontal="center" vertical="center" wrapText="1"/>
    </xf>
    <xf numFmtId="4" fontId="51" fillId="0" borderId="1" xfId="0" applyNumberFormat="1" applyFont="1" applyBorder="1" applyAlignment="1">
      <alignment horizontal="center" vertical="center" wrapText="1"/>
    </xf>
    <xf numFmtId="4" fontId="51" fillId="0" borderId="2" xfId="0" applyNumberFormat="1" applyFont="1" applyBorder="1" applyAlignment="1">
      <alignment horizontal="center" vertical="center" wrapText="1"/>
    </xf>
    <xf numFmtId="4" fontId="51" fillId="0" borderId="0" xfId="0" applyNumberFormat="1" applyFont="1"/>
    <xf numFmtId="4" fontId="51" fillId="0" borderId="0" xfId="0" applyNumberFormat="1" applyFont="1" applyAlignment="1">
      <alignment horizontal="center"/>
    </xf>
    <xf numFmtId="2" fontId="53" fillId="0" borderId="1" xfId="0" applyNumberFormat="1" applyFont="1" applyBorder="1" applyAlignment="1">
      <alignment horizontal="center" vertical="center"/>
    </xf>
    <xf numFmtId="2" fontId="55" fillId="0" borderId="1" xfId="0" applyNumberFormat="1" applyFont="1" applyBorder="1" applyAlignment="1">
      <alignment vertical="center" wrapText="1"/>
    </xf>
    <xf numFmtId="172" fontId="14" fillId="0" borderId="1" xfId="6" applyNumberFormat="1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 wrapText="1"/>
    </xf>
    <xf numFmtId="166" fontId="14" fillId="0" borderId="71" xfId="0" applyNumberFormat="1" applyFont="1" applyBorder="1"/>
    <xf numFmtId="165" fontId="23" fillId="0" borderId="30" xfId="0" applyNumberFormat="1" applyFont="1" applyBorder="1"/>
    <xf numFmtId="165" fontId="14" fillId="0" borderId="40" xfId="0" applyNumberFormat="1" applyFont="1" applyBorder="1"/>
    <xf numFmtId="165" fontId="23" fillId="0" borderId="40" xfId="0" applyNumberFormat="1" applyFont="1" applyBorder="1"/>
    <xf numFmtId="0" fontId="23" fillId="0" borderId="40" xfId="0" applyFont="1" applyBorder="1"/>
    <xf numFmtId="0" fontId="15" fillId="0" borderId="40" xfId="0" applyFont="1" applyBorder="1"/>
    <xf numFmtId="0" fontId="18" fillId="0" borderId="40" xfId="0" applyFont="1" applyBorder="1"/>
    <xf numFmtId="2" fontId="15" fillId="0" borderId="30" xfId="0" applyNumberFormat="1" applyFont="1" applyBorder="1"/>
    <xf numFmtId="2" fontId="15" fillId="0" borderId="40" xfId="0" applyNumberFormat="1" applyFont="1" applyBorder="1"/>
    <xf numFmtId="2" fontId="14" fillId="0" borderId="40" xfId="0" applyNumberFormat="1" applyFont="1" applyBorder="1"/>
    <xf numFmtId="0" fontId="14" fillId="0" borderId="43" xfId="0" applyFont="1" applyFill="1" applyBorder="1"/>
    <xf numFmtId="49" fontId="18" fillId="0" borderId="42" xfId="0" applyNumberFormat="1" applyFont="1" applyBorder="1" applyAlignment="1">
      <alignment horizontal="center"/>
    </xf>
    <xf numFmtId="0" fontId="18" fillId="0" borderId="53" xfId="0" applyFont="1" applyFill="1" applyBorder="1"/>
    <xf numFmtId="2" fontId="21" fillId="0" borderId="71" xfId="0" applyNumberFormat="1" applyFont="1" applyBorder="1"/>
    <xf numFmtId="2" fontId="23" fillId="0" borderId="30" xfId="0" applyNumberFormat="1" applyFont="1" applyBorder="1"/>
    <xf numFmtId="0" fontId="14" fillId="0" borderId="65" xfId="0" applyFont="1" applyBorder="1"/>
    <xf numFmtId="0" fontId="21" fillId="0" borderId="3" xfId="0" applyFont="1" applyBorder="1"/>
    <xf numFmtId="0" fontId="23" fillId="0" borderId="30" xfId="0" applyFont="1" applyBorder="1"/>
    <xf numFmtId="0" fontId="23" fillId="0" borderId="40" xfId="0" applyFont="1" applyFill="1" applyBorder="1"/>
    <xf numFmtId="0" fontId="14" fillId="0" borderId="30" xfId="0" applyFont="1" applyBorder="1"/>
    <xf numFmtId="0" fontId="15" fillId="0" borderId="65" xfId="0" applyFont="1" applyBorder="1"/>
    <xf numFmtId="4" fontId="26" fillId="0" borderId="42" xfId="0" applyNumberFormat="1" applyFont="1" applyBorder="1"/>
    <xf numFmtId="4" fontId="15" fillId="0" borderId="42" xfId="0" applyNumberFormat="1" applyFont="1" applyBorder="1"/>
    <xf numFmtId="4" fontId="14" fillId="0" borderId="42" xfId="0" applyNumberFormat="1" applyFont="1" applyBorder="1"/>
    <xf numFmtId="4" fontId="14" fillId="5" borderId="42" xfId="0" applyNumberFormat="1" applyFont="1" applyFill="1" applyBorder="1"/>
    <xf numFmtId="165" fontId="15" fillId="0" borderId="40" xfId="0" applyNumberFormat="1" applyFont="1" applyBorder="1"/>
    <xf numFmtId="0" fontId="26" fillId="0" borderId="40" xfId="0" applyFont="1" applyBorder="1"/>
    <xf numFmtId="0" fontId="14" fillId="0" borderId="43" xfId="0" applyFont="1" applyBorder="1"/>
    <xf numFmtId="0" fontId="30" fillId="0" borderId="40" xfId="0" applyFont="1" applyBorder="1"/>
    <xf numFmtId="0" fontId="18" fillId="0" borderId="40" xfId="0" applyFont="1" applyFill="1" applyBorder="1"/>
    <xf numFmtId="0" fontId="18" fillId="0" borderId="0" xfId="0" applyFont="1" applyFill="1" applyBorder="1"/>
    <xf numFmtId="2" fontId="21" fillId="0" borderId="3" xfId="0" applyNumberFormat="1" applyFont="1" applyBorder="1"/>
    <xf numFmtId="2" fontId="23" fillId="0" borderId="40" xfId="0" applyNumberFormat="1" applyFont="1" applyBorder="1"/>
    <xf numFmtId="2" fontId="21" fillId="6" borderId="3" xfId="0" applyNumberFormat="1" applyFont="1" applyFill="1" applyBorder="1"/>
    <xf numFmtId="0" fontId="15" fillId="0" borderId="40" xfId="0" applyFont="1" applyFill="1" applyBorder="1"/>
    <xf numFmtId="0" fontId="33" fillId="0" borderId="40" xfId="0" applyFont="1" applyBorder="1"/>
    <xf numFmtId="0" fontId="18" fillId="0" borderId="65" xfId="0" applyFont="1" applyBorder="1"/>
    <xf numFmtId="0" fontId="26" fillId="0" borderId="43" xfId="0" applyFont="1" applyBorder="1"/>
    <xf numFmtId="0" fontId="15" fillId="0" borderId="38" xfId="0" applyFont="1" applyBorder="1" applyAlignment="1">
      <alignment horizontal="center" vertical="center" wrapText="1"/>
    </xf>
    <xf numFmtId="49" fontId="14" fillId="0" borderId="28" xfId="0" applyNumberFormat="1" applyFont="1" applyBorder="1"/>
    <xf numFmtId="49" fontId="14" fillId="0" borderId="68" xfId="0" applyNumberFormat="1" applyFont="1" applyBorder="1"/>
    <xf numFmtId="49" fontId="14" fillId="0" borderId="32" xfId="0" applyNumberFormat="1" applyFont="1" applyBorder="1"/>
    <xf numFmtId="49" fontId="18" fillId="0" borderId="32" xfId="0" applyNumberFormat="1" applyFont="1" applyBorder="1"/>
    <xf numFmtId="49" fontId="15" fillId="0" borderId="32" xfId="0" applyNumberFormat="1" applyFont="1" applyBorder="1"/>
    <xf numFmtId="49" fontId="14" fillId="0" borderId="73" xfId="0" applyNumberFormat="1" applyFont="1" applyBorder="1"/>
    <xf numFmtId="49" fontId="14" fillId="0" borderId="32" xfId="0" applyNumberFormat="1" applyFont="1" applyBorder="1" applyAlignment="1">
      <alignment horizontal="center"/>
    </xf>
    <xf numFmtId="49" fontId="14" fillId="0" borderId="73" xfId="0" applyNumberFormat="1" applyFont="1" applyBorder="1" applyAlignment="1">
      <alignment horizontal="center"/>
    </xf>
    <xf numFmtId="49" fontId="21" fillId="0" borderId="28" xfId="0" applyNumberFormat="1" applyFont="1" applyBorder="1"/>
    <xf numFmtId="49" fontId="15" fillId="0" borderId="68" xfId="0" applyNumberFormat="1" applyFont="1" applyBorder="1"/>
    <xf numFmtId="49" fontId="23" fillId="0" borderId="32" xfId="0" applyNumberFormat="1" applyFont="1" applyBorder="1"/>
    <xf numFmtId="49" fontId="25" fillId="0" borderId="32" xfId="0" applyNumberFormat="1" applyFont="1" applyBorder="1" applyAlignment="1">
      <alignment horizontal="center"/>
    </xf>
    <xf numFmtId="49" fontId="23" fillId="0" borderId="32" xfId="0" applyNumberFormat="1" applyFont="1" applyFill="1" applyBorder="1"/>
    <xf numFmtId="49" fontId="15" fillId="0" borderId="38" xfId="0" applyNumberFormat="1" applyFont="1" applyBorder="1"/>
    <xf numFmtId="49" fontId="14" fillId="0" borderId="38" xfId="0" applyNumberFormat="1" applyFont="1" applyBorder="1"/>
    <xf numFmtId="49" fontId="23" fillId="0" borderId="68" xfId="0" applyNumberFormat="1" applyFont="1" applyBorder="1"/>
    <xf numFmtId="49" fontId="14" fillId="0" borderId="32" xfId="0" applyNumberFormat="1" applyFont="1" applyFill="1" applyBorder="1"/>
    <xf numFmtId="49" fontId="26" fillId="0" borderId="32" xfId="0" applyNumberFormat="1" applyFont="1" applyBorder="1"/>
    <xf numFmtId="49" fontId="14" fillId="5" borderId="32" xfId="0" applyNumberFormat="1" applyFont="1" applyFill="1" applyBorder="1"/>
    <xf numFmtId="49" fontId="30" fillId="0" borderId="32" xfId="0" applyNumberFormat="1" applyFont="1" applyBorder="1"/>
    <xf numFmtId="49" fontId="18" fillId="0" borderId="32" xfId="0" applyNumberFormat="1" applyFont="1" applyFill="1" applyBorder="1"/>
    <xf numFmtId="49" fontId="21" fillId="0" borderId="36" xfId="0" applyNumberFormat="1" applyFont="1" applyBorder="1"/>
    <xf numFmtId="49" fontId="21" fillId="6" borderId="28" xfId="0" applyNumberFormat="1" applyFont="1" applyFill="1" applyBorder="1"/>
    <xf numFmtId="49" fontId="27" fillId="0" borderId="32" xfId="0" applyNumberFormat="1" applyFont="1" applyBorder="1"/>
    <xf numFmtId="49" fontId="25" fillId="0" borderId="32" xfId="0" applyNumberFormat="1" applyFont="1" applyBorder="1"/>
    <xf numFmtId="49" fontId="15" fillId="0" borderId="32" xfId="0" applyNumberFormat="1" applyFont="1" applyFill="1" applyBorder="1"/>
    <xf numFmtId="49" fontId="18" fillId="0" borderId="73" xfId="0" applyNumberFormat="1" applyFont="1" applyBorder="1"/>
    <xf numFmtId="49" fontId="26" fillId="0" borderId="73" xfId="0" applyNumberFormat="1" applyFont="1" applyBorder="1"/>
    <xf numFmtId="166" fontId="21" fillId="0" borderId="71" xfId="0" applyNumberFormat="1" applyFont="1" applyFill="1" applyBorder="1"/>
    <xf numFmtId="0" fontId="7" fillId="0" borderId="5" xfId="0" applyFont="1" applyBorder="1" applyAlignment="1">
      <alignment horizontal="left" vertical="top" wrapText="1"/>
    </xf>
    <xf numFmtId="0" fontId="14" fillId="0" borderId="57" xfId="0" applyFont="1" applyFill="1" applyBorder="1" applyAlignment="1">
      <alignment wrapText="1"/>
    </xf>
    <xf numFmtId="0" fontId="25" fillId="0" borderId="32" xfId="0" applyFont="1" applyBorder="1" applyAlignment="1">
      <alignment wrapText="1"/>
    </xf>
    <xf numFmtId="0" fontId="21" fillId="0" borderId="19" xfId="0" applyFont="1" applyBorder="1" applyAlignment="1">
      <alignment horizontal="center"/>
    </xf>
    <xf numFmtId="49" fontId="21" fillId="0" borderId="19" xfId="0" applyNumberFormat="1" applyFont="1" applyBorder="1"/>
    <xf numFmtId="49" fontId="21" fillId="0" borderId="49" xfId="0" applyNumberFormat="1" applyFont="1" applyBorder="1"/>
    <xf numFmtId="166" fontId="21" fillId="0" borderId="64" xfId="0" applyNumberFormat="1" applyFont="1" applyBorder="1"/>
    <xf numFmtId="2" fontId="21" fillId="0" borderId="49" xfId="0" applyNumberFormat="1" applyFont="1" applyBorder="1"/>
    <xf numFmtId="166" fontId="21" fillId="0" borderId="67" xfId="0" applyNumberFormat="1" applyFont="1" applyBorder="1"/>
    <xf numFmtId="43" fontId="15" fillId="2" borderId="17" xfId="16" applyNumberFormat="1" applyFont="1" applyFill="1" applyBorder="1" applyAlignment="1" applyProtection="1">
      <alignment vertical="center" wrapText="1"/>
      <protection locked="0"/>
    </xf>
    <xf numFmtId="43" fontId="16" fillId="0" borderId="18" xfId="12" applyNumberFormat="1" applyFont="1" applyBorder="1" applyAlignment="1">
      <alignment horizontal="center"/>
    </xf>
    <xf numFmtId="43" fontId="45" fillId="0" borderId="19" xfId="12" applyNumberFormat="1" applyFont="1" applyBorder="1" applyAlignment="1">
      <alignment horizontal="center"/>
    </xf>
    <xf numFmtId="43" fontId="45" fillId="3" borderId="19" xfId="12" applyNumberFormat="1" applyFont="1" applyFill="1" applyBorder="1" applyAlignment="1">
      <alignment horizontal="center"/>
    </xf>
    <xf numFmtId="43" fontId="7" fillId="3" borderId="7" xfId="12" applyNumberFormat="1" applyFill="1" applyBorder="1" applyAlignment="1">
      <alignment horizontal="center"/>
    </xf>
    <xf numFmtId="43" fontId="7" fillId="0" borderId="18" xfId="12" applyNumberFormat="1" applyBorder="1"/>
    <xf numFmtId="43" fontId="45" fillId="0" borderId="18" xfId="12" applyNumberFormat="1" applyFont="1" applyBorder="1" applyAlignment="1">
      <alignment horizontal="center"/>
    </xf>
    <xf numFmtId="43" fontId="45" fillId="3" borderId="18" xfId="12" applyNumberFormat="1" applyFont="1" applyFill="1" applyBorder="1" applyAlignment="1">
      <alignment horizontal="center"/>
    </xf>
    <xf numFmtId="43" fontId="7" fillId="3" borderId="1" xfId="12" applyNumberFormat="1" applyFill="1" applyBorder="1" applyAlignment="1">
      <alignment horizontal="center"/>
    </xf>
    <xf numFmtId="43" fontId="7" fillId="0" borderId="1" xfId="12" applyNumberFormat="1" applyBorder="1"/>
    <xf numFmtId="43" fontId="45" fillId="0" borderId="1" xfId="12" applyNumberFormat="1" applyFont="1" applyFill="1" applyBorder="1" applyAlignment="1">
      <alignment horizontal="center"/>
    </xf>
    <xf numFmtId="43" fontId="7" fillId="0" borderId="1" xfId="12" applyNumberFormat="1" applyFill="1" applyBorder="1" applyAlignment="1">
      <alignment horizontal="center"/>
    </xf>
    <xf numFmtId="43" fontId="7" fillId="0" borderId="1" xfId="12" applyNumberFormat="1" applyFill="1" applyBorder="1"/>
    <xf numFmtId="43" fontId="35" fillId="0" borderId="1" xfId="12" applyNumberFormat="1" applyFont="1" applyFill="1" applyBorder="1" applyAlignment="1">
      <alignment horizontal="center"/>
    </xf>
    <xf numFmtId="43" fontId="45" fillId="0" borderId="22" xfId="12" applyNumberFormat="1" applyFont="1" applyFill="1" applyBorder="1" applyAlignment="1">
      <alignment horizontal="center"/>
    </xf>
    <xf numFmtId="43" fontId="7" fillId="0" borderId="22" xfId="12" applyNumberFormat="1" applyFill="1" applyBorder="1" applyAlignment="1">
      <alignment horizontal="center"/>
    </xf>
    <xf numFmtId="43" fontId="15" fillId="2" borderId="17" xfId="11" applyNumberFormat="1" applyFont="1" applyFill="1" applyBorder="1" applyAlignment="1">
      <alignment horizontal="center" vertical="center" wrapText="1"/>
    </xf>
    <xf numFmtId="43" fontId="9" fillId="0" borderId="19" xfId="12" applyNumberFormat="1" applyFont="1" applyBorder="1" applyAlignment="1">
      <alignment horizontal="center"/>
    </xf>
    <xf numFmtId="43" fontId="50" fillId="3" borderId="19" xfId="12" applyNumberFormat="1" applyFont="1" applyFill="1" applyBorder="1" applyAlignment="1">
      <alignment horizontal="center"/>
    </xf>
    <xf numFmtId="43" fontId="9" fillId="3" borderId="19" xfId="12" applyNumberFormat="1" applyFont="1" applyFill="1" applyBorder="1" applyAlignment="1">
      <alignment horizontal="center"/>
    </xf>
    <xf numFmtId="43" fontId="9" fillId="0" borderId="18" xfId="12" applyNumberFormat="1" applyFont="1" applyBorder="1" applyAlignment="1">
      <alignment horizontal="center"/>
    </xf>
    <xf numFmtId="43" fontId="50" fillId="3" borderId="18" xfId="12" applyNumberFormat="1" applyFont="1" applyFill="1" applyBorder="1" applyAlignment="1">
      <alignment horizontal="center"/>
    </xf>
    <xf numFmtId="43" fontId="9" fillId="3" borderId="18" xfId="12" applyNumberFormat="1" applyFont="1" applyFill="1" applyBorder="1" applyAlignment="1">
      <alignment horizontal="center"/>
    </xf>
    <xf numFmtId="43" fontId="7" fillId="0" borderId="18" xfId="16" applyNumberFormat="1" applyFont="1" applyFill="1" applyBorder="1" applyAlignment="1" applyProtection="1">
      <alignment horizontal="center" vertical="center" wrapText="1"/>
      <protection locked="0"/>
    </xf>
    <xf numFmtId="43" fontId="7" fillId="0" borderId="18" xfId="16" applyNumberFormat="1" applyFont="1" applyFill="1" applyBorder="1" applyAlignment="1">
      <alignment horizontal="center"/>
    </xf>
    <xf numFmtId="43" fontId="7" fillId="0" borderId="1" xfId="11" applyNumberFormat="1" applyFill="1" applyBorder="1"/>
    <xf numFmtId="43" fontId="7" fillId="0" borderId="1" xfId="16" applyNumberFormat="1" applyFont="1" applyFill="1" applyBorder="1" applyAlignment="1" applyProtection="1">
      <alignment horizontal="center" vertical="center" wrapText="1"/>
      <protection locked="0"/>
    </xf>
    <xf numFmtId="43" fontId="45" fillId="0" borderId="7" xfId="16" applyNumberFormat="1" applyFont="1" applyFill="1" applyBorder="1" applyAlignment="1">
      <alignment horizontal="center"/>
    </xf>
    <xf numFmtId="43" fontId="15" fillId="2" borderId="17" xfId="11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/>
    <xf numFmtId="168" fontId="14" fillId="0" borderId="31" xfId="0" applyNumberFormat="1" applyFont="1" applyFill="1" applyBorder="1"/>
    <xf numFmtId="168" fontId="23" fillId="0" borderId="1" xfId="0" applyNumberFormat="1" applyFont="1" applyFill="1" applyBorder="1"/>
    <xf numFmtId="168" fontId="15" fillId="0" borderId="31" xfId="0" applyNumberFormat="1" applyFont="1" applyFill="1" applyBorder="1"/>
    <xf numFmtId="168" fontId="26" fillId="0" borderId="1" xfId="0" applyNumberFormat="1" applyFont="1" applyFill="1" applyBorder="1"/>
    <xf numFmtId="168" fontId="15" fillId="0" borderId="18" xfId="0" applyNumberFormat="1" applyFont="1" applyBorder="1"/>
    <xf numFmtId="0" fontId="29" fillId="0" borderId="1" xfId="3" applyFont="1" applyBorder="1" applyAlignment="1">
      <alignment horizontal="left" wrapText="1"/>
    </xf>
    <xf numFmtId="49" fontId="29" fillId="0" borderId="1" xfId="0" applyNumberFormat="1" applyFont="1" applyBorder="1"/>
    <xf numFmtId="49" fontId="29" fillId="0" borderId="32" xfId="0" applyNumberFormat="1" applyFont="1" applyBorder="1"/>
    <xf numFmtId="0" fontId="29" fillId="0" borderId="40" xfId="0" applyFont="1" applyBorder="1"/>
    <xf numFmtId="165" fontId="29" fillId="0" borderId="31" xfId="0" applyNumberFormat="1" applyFont="1" applyBorder="1"/>
    <xf numFmtId="0" fontId="29" fillId="0" borderId="2" xfId="0" applyFont="1" applyBorder="1"/>
    <xf numFmtId="0" fontId="29" fillId="0" borderId="42" xfId="0" applyFont="1" applyFill="1" applyBorder="1"/>
    <xf numFmtId="165" fontId="29" fillId="0" borderId="52" xfId="0" applyNumberFormat="1" applyFont="1" applyFill="1" applyBorder="1"/>
    <xf numFmtId="0" fontId="29" fillId="0" borderId="0" xfId="0" applyFont="1"/>
    <xf numFmtId="0" fontId="56" fillId="0" borderId="0" xfId="0" applyFont="1"/>
    <xf numFmtId="2" fontId="56" fillId="0" borderId="0" xfId="0" applyNumberFormat="1" applyFont="1"/>
    <xf numFmtId="49" fontId="23" fillId="0" borderId="4" xfId="3" applyNumberFormat="1" applyFont="1" applyBorder="1" applyAlignment="1">
      <alignment horizontal="center"/>
    </xf>
    <xf numFmtId="0" fontId="15" fillId="0" borderId="50" xfId="0" applyFont="1" applyBorder="1"/>
    <xf numFmtId="49" fontId="23" fillId="0" borderId="1" xfId="3" applyNumberFormat="1" applyFont="1" applyBorder="1" applyAlignment="1">
      <alignment horizontal="center"/>
    </xf>
    <xf numFmtId="4" fontId="40" fillId="3" borderId="53" xfId="7" applyNumberFormat="1" applyFont="1" applyFill="1" applyBorder="1" applyAlignment="1">
      <alignment horizontal="center" vertical="center" wrapText="1"/>
    </xf>
    <xf numFmtId="4" fontId="38" fillId="0" borderId="53" xfId="7" applyNumberFormat="1" applyFont="1" applyFill="1" applyBorder="1" applyAlignment="1">
      <alignment horizontal="center" vertical="center" wrapText="1"/>
    </xf>
    <xf numFmtId="4" fontId="38" fillId="3" borderId="53" xfId="7" applyNumberFormat="1" applyFont="1" applyFill="1" applyBorder="1" applyAlignment="1">
      <alignment horizontal="center" vertical="center" wrapText="1"/>
    </xf>
    <xf numFmtId="4" fontId="24" fillId="0" borderId="42" xfId="7" applyNumberFormat="1" applyFont="1" applyBorder="1"/>
    <xf numFmtId="4" fontId="24" fillId="0" borderId="1" xfId="0" applyNumberFormat="1" applyFont="1" applyBorder="1" applyAlignment="1">
      <alignment horizontal="center" wrapText="1"/>
    </xf>
    <xf numFmtId="4" fontId="38" fillId="0" borderId="1" xfId="0" applyNumberFormat="1" applyFont="1" applyBorder="1" applyAlignment="1">
      <alignment horizontal="center" wrapText="1"/>
    </xf>
    <xf numFmtId="4" fontId="24" fillId="0" borderId="55" xfId="0" applyNumberFormat="1" applyFont="1" applyBorder="1" applyAlignment="1">
      <alignment horizontal="center" wrapText="1"/>
    </xf>
    <xf numFmtId="4" fontId="24" fillId="0" borderId="28" xfId="0" applyNumberFormat="1" applyFont="1" applyBorder="1" applyAlignment="1">
      <alignment horizontal="center" wrapText="1"/>
    </xf>
    <xf numFmtId="173" fontId="9" fillId="0" borderId="0" xfId="7" applyNumberFormat="1" applyFont="1" applyAlignment="1">
      <alignment wrapText="1"/>
    </xf>
    <xf numFmtId="173" fontId="0" fillId="0" borderId="0" xfId="0" applyNumberFormat="1" applyAlignment="1"/>
    <xf numFmtId="173" fontId="0" fillId="0" borderId="0" xfId="0" applyNumberFormat="1"/>
    <xf numFmtId="173" fontId="10" fillId="0" borderId="0" xfId="7" applyNumberFormat="1" applyFont="1" applyAlignment="1">
      <alignment vertical="top" wrapText="1"/>
    </xf>
    <xf numFmtId="173" fontId="11" fillId="0" borderId="0" xfId="7" applyNumberFormat="1" applyFont="1" applyBorder="1" applyAlignment="1">
      <alignment vertical="top" wrapText="1"/>
    </xf>
    <xf numFmtId="173" fontId="17" fillId="0" borderId="65" xfId="0" applyNumberFormat="1" applyFont="1" applyBorder="1" applyAlignment="1">
      <alignment horizontal="center" wrapText="1"/>
    </xf>
    <xf numFmtId="173" fontId="41" fillId="0" borderId="13" xfId="7" applyNumberFormat="1" applyFont="1" applyBorder="1" applyAlignment="1">
      <alignment horizontal="center" vertical="center" wrapText="1"/>
    </xf>
    <xf numFmtId="173" fontId="16" fillId="0" borderId="0" xfId="7" applyNumberFormat="1" applyFont="1" applyBorder="1"/>
    <xf numFmtId="4" fontId="40" fillId="0" borderId="53" xfId="7" applyNumberFormat="1" applyFont="1" applyBorder="1" applyAlignment="1">
      <alignment horizontal="center" vertical="center" wrapText="1"/>
    </xf>
    <xf numFmtId="4" fontId="0" fillId="0" borderId="42" xfId="0" applyNumberFormat="1" applyBorder="1"/>
    <xf numFmtId="4" fontId="0" fillId="0" borderId="53" xfId="0" applyNumberFormat="1" applyBorder="1"/>
    <xf numFmtId="4" fontId="38" fillId="0" borderId="53" xfId="7" applyNumberFormat="1" applyFont="1" applyBorder="1" applyAlignment="1">
      <alignment horizontal="center" vertical="center" wrapText="1"/>
    </xf>
    <xf numFmtId="4" fontId="36" fillId="0" borderId="55" xfId="0" applyNumberFormat="1" applyFont="1" applyBorder="1" applyAlignment="1">
      <alignment horizontal="center" wrapText="1"/>
    </xf>
    <xf numFmtId="4" fontId="24" fillId="0" borderId="26" xfId="0" applyNumberFormat="1" applyFont="1" applyBorder="1" applyAlignment="1">
      <alignment horizontal="center" wrapText="1"/>
    </xf>
    <xf numFmtId="4" fontId="24" fillId="0" borderId="17" xfId="0" applyNumberFormat="1" applyFont="1" applyBorder="1" applyAlignment="1">
      <alignment horizontal="center" wrapText="1"/>
    </xf>
    <xf numFmtId="16" fontId="10" fillId="0" borderId="33" xfId="7" applyNumberFormat="1" applyFont="1" applyBorder="1" applyAlignment="1">
      <alignment horizontal="center"/>
    </xf>
    <xf numFmtId="0" fontId="17" fillId="0" borderId="1" xfId="0" applyFont="1" applyBorder="1" applyAlignment="1">
      <alignment horizontal="left" wrapText="1"/>
    </xf>
    <xf numFmtId="4" fontId="38" fillId="0" borderId="53" xfId="7" applyNumberFormat="1" applyFont="1" applyFill="1" applyBorder="1" applyAlignment="1">
      <alignment horizontal="center" wrapText="1"/>
    </xf>
    <xf numFmtId="0" fontId="15" fillId="0" borderId="1" xfId="0" applyFont="1" applyBorder="1"/>
    <xf numFmtId="0" fontId="36" fillId="0" borderId="0" xfId="5" applyFont="1"/>
    <xf numFmtId="0" fontId="57" fillId="0" borderId="0" xfId="5" applyFont="1"/>
    <xf numFmtId="0" fontId="9" fillId="0" borderId="0" xfId="5"/>
    <xf numFmtId="49" fontId="57" fillId="0" borderId="0" xfId="5" applyNumberFormat="1" applyFont="1" applyAlignment="1">
      <alignment horizontal="right"/>
    </xf>
    <xf numFmtId="49" fontId="36" fillId="0" borderId="0" xfId="5" applyNumberFormat="1" applyFont="1" applyAlignment="1">
      <alignment horizontal="right"/>
    </xf>
    <xf numFmtId="0" fontId="24" fillId="0" borderId="1" xfId="5" applyFont="1" applyFill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center" wrapText="1"/>
    </xf>
    <xf numFmtId="0" fontId="9" fillId="0" borderId="1" xfId="5" applyFill="1" applyBorder="1" applyAlignment="1">
      <alignment horizontal="center"/>
    </xf>
    <xf numFmtId="49" fontId="24" fillId="0" borderId="1" xfId="5" applyNumberFormat="1" applyFont="1" applyBorder="1" applyAlignment="1">
      <alignment horizontal="center"/>
    </xf>
    <xf numFmtId="0" fontId="24" fillId="0" borderId="1" xfId="5" applyFont="1" applyBorder="1" applyAlignment="1">
      <alignment horizontal="center"/>
    </xf>
    <xf numFmtId="0" fontId="24" fillId="0" borderId="1" xfId="5" applyFont="1" applyBorder="1" applyAlignment="1">
      <alignment vertical="top" wrapText="1"/>
    </xf>
    <xf numFmtId="0" fontId="36" fillId="0" borderId="1" xfId="5" applyFont="1" applyBorder="1" applyAlignment="1">
      <alignment horizontal="justify" vertical="center"/>
    </xf>
    <xf numFmtId="0" fontId="36" fillId="0" borderId="1" xfId="5" applyFont="1" applyBorder="1" applyAlignment="1">
      <alignment horizontal="justify" vertical="center" wrapText="1"/>
    </xf>
    <xf numFmtId="49" fontId="36" fillId="0" borderId="1" xfId="5" applyNumberFormat="1" applyFont="1" applyBorder="1" applyAlignment="1">
      <alignment horizontal="right"/>
    </xf>
    <xf numFmtId="43" fontId="36" fillId="0" borderId="1" xfId="5" applyNumberFormat="1" applyFont="1" applyBorder="1"/>
    <xf numFmtId="171" fontId="36" fillId="0" borderId="1" xfId="5" applyNumberFormat="1" applyFont="1" applyBorder="1" applyAlignment="1">
      <alignment wrapText="1"/>
    </xf>
    <xf numFmtId="171" fontId="36" fillId="0" borderId="1" xfId="5" applyNumberFormat="1" applyFont="1" applyFill="1" applyBorder="1" applyAlignment="1">
      <alignment horizontal="center" wrapText="1"/>
    </xf>
    <xf numFmtId="0" fontId="36" fillId="0" borderId="1" xfId="5" applyFont="1" applyFill="1" applyBorder="1" applyAlignment="1">
      <alignment horizontal="justify" vertical="center" wrapText="1"/>
    </xf>
    <xf numFmtId="43" fontId="36" fillId="0" borderId="1" xfId="6" applyNumberFormat="1" applyFont="1" applyFill="1" applyBorder="1"/>
    <xf numFmtId="43" fontId="36" fillId="0" borderId="1" xfId="5" applyNumberFormat="1" applyFont="1" applyFill="1" applyBorder="1"/>
    <xf numFmtId="0" fontId="9" fillId="0" borderId="0" xfId="5" applyFill="1"/>
    <xf numFmtId="0" fontId="24" fillId="0" borderId="1" xfId="5" applyFont="1" applyBorder="1" applyAlignment="1">
      <alignment horizontal="justify" vertical="center"/>
    </xf>
    <xf numFmtId="49" fontId="24" fillId="0" borderId="1" xfId="5" applyNumberFormat="1" applyFont="1" applyBorder="1" applyAlignment="1">
      <alignment horizontal="right"/>
    </xf>
    <xf numFmtId="43" fontId="24" fillId="0" borderId="1" xfId="5" applyNumberFormat="1" applyFont="1" applyBorder="1"/>
    <xf numFmtId="171" fontId="24" fillId="0" borderId="1" xfId="5" applyNumberFormat="1" applyFont="1" applyBorder="1" applyAlignment="1">
      <alignment wrapText="1"/>
    </xf>
    <xf numFmtId="171" fontId="24" fillId="0" borderId="1" xfId="5" applyNumberFormat="1" applyFont="1" applyFill="1" applyBorder="1" applyAlignment="1">
      <alignment horizontal="center" wrapText="1"/>
    </xf>
    <xf numFmtId="0" fontId="6" fillId="0" borderId="1" xfId="5" applyFont="1" applyFill="1" applyBorder="1" applyAlignment="1">
      <alignment horizontal="center"/>
    </xf>
    <xf numFmtId="0" fontId="6" fillId="0" borderId="0" xfId="5" applyFont="1"/>
    <xf numFmtId="0" fontId="36" fillId="0" borderId="1" xfId="5" applyFont="1" applyBorder="1" applyAlignment="1">
      <alignment vertical="center" wrapText="1"/>
    </xf>
    <xf numFmtId="0" fontId="36" fillId="0" borderId="1" xfId="5" applyFont="1" applyBorder="1" applyAlignment="1">
      <alignment vertical="top" wrapText="1"/>
    </xf>
    <xf numFmtId="49" fontId="36" fillId="3" borderId="1" xfId="5" applyNumberFormat="1" applyFont="1" applyFill="1" applyBorder="1" applyAlignment="1">
      <alignment horizontal="right"/>
    </xf>
    <xf numFmtId="1" fontId="36" fillId="0" borderId="1" xfId="5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5" applyFont="1" applyFill="1"/>
    <xf numFmtId="0" fontId="36" fillId="0" borderId="1" xfId="5" applyFont="1" applyFill="1" applyBorder="1" applyAlignment="1">
      <alignment horizontal="center"/>
    </xf>
    <xf numFmtId="0" fontId="59" fillId="0" borderId="1" xfId="5" applyFont="1" applyFill="1" applyBorder="1" applyAlignment="1">
      <alignment horizontal="center"/>
    </xf>
    <xf numFmtId="0" fontId="24" fillId="0" borderId="1" xfId="5" applyFont="1" applyBorder="1" applyAlignment="1">
      <alignment vertical="top"/>
    </xf>
    <xf numFmtId="43" fontId="24" fillId="0" borderId="1" xfId="6" applyNumberFormat="1" applyFont="1" applyBorder="1"/>
    <xf numFmtId="174" fontId="24" fillId="0" borderId="1" xfId="5" applyNumberFormat="1" applyFont="1" applyFill="1" applyBorder="1" applyAlignment="1">
      <alignment horizontal="center" wrapText="1"/>
    </xf>
    <xf numFmtId="165" fontId="9" fillId="0" borderId="1" xfId="5" applyNumberFormat="1" applyFill="1" applyBorder="1" applyAlignment="1">
      <alignment horizontal="center"/>
    </xf>
    <xf numFmtId="43" fontId="24" fillId="0" borderId="1" xfId="5" applyNumberFormat="1" applyFont="1" applyBorder="1" applyAlignment="1">
      <alignment horizontal="right"/>
    </xf>
    <xf numFmtId="0" fontId="24" fillId="0" borderId="0" xfId="5" applyFont="1" applyAlignment="1">
      <alignment horizontal="center" vertical="center"/>
    </xf>
    <xf numFmtId="0" fontId="24" fillId="0" borderId="1" xfId="5" applyFont="1" applyBorder="1" applyAlignment="1">
      <alignment horizontal="center" vertical="center"/>
    </xf>
    <xf numFmtId="171" fontId="24" fillId="0" borderId="1" xfId="5" applyNumberFormat="1" applyFont="1" applyBorder="1" applyAlignment="1">
      <alignment horizontal="center"/>
    </xf>
    <xf numFmtId="0" fontId="24" fillId="0" borderId="0" xfId="5" applyFont="1" applyAlignment="1">
      <alignment horizontal="center"/>
    </xf>
    <xf numFmtId="0" fontId="9" fillId="0" borderId="0" xfId="5" applyAlignment="1">
      <alignment vertical="center"/>
    </xf>
    <xf numFmtId="171" fontId="9" fillId="0" borderId="0" xfId="5" applyNumberFormat="1"/>
    <xf numFmtId="164" fontId="14" fillId="0" borderId="40" xfId="0" applyNumberFormat="1" applyFont="1" applyBorder="1"/>
    <xf numFmtId="0" fontId="60" fillId="0" borderId="1" xfId="3" applyFont="1" applyFill="1" applyBorder="1" applyAlignment="1">
      <alignment horizontal="left" wrapText="1"/>
    </xf>
    <xf numFmtId="49" fontId="60" fillId="0" borderId="1" xfId="0" applyNumberFormat="1" applyFont="1" applyFill="1" applyBorder="1"/>
    <xf numFmtId="49" fontId="60" fillId="0" borderId="32" xfId="0" applyNumberFormat="1" applyFont="1" applyFill="1" applyBorder="1"/>
    <xf numFmtId="0" fontId="60" fillId="0" borderId="40" xfId="0" applyFont="1" applyFill="1" applyBorder="1"/>
    <xf numFmtId="164" fontId="60" fillId="0" borderId="40" xfId="0" applyNumberFormat="1" applyFont="1" applyFill="1" applyBorder="1"/>
    <xf numFmtId="168" fontId="60" fillId="0" borderId="31" xfId="0" applyNumberFormat="1" applyFont="1" applyFill="1" applyBorder="1"/>
    <xf numFmtId="0" fontId="60" fillId="0" borderId="0" xfId="0" applyFont="1" applyFill="1"/>
    <xf numFmtId="2" fontId="60" fillId="0" borderId="0" xfId="0" applyNumberFormat="1" applyFont="1" applyFill="1"/>
    <xf numFmtId="49" fontId="15" fillId="0" borderId="8" xfId="0" applyNumberFormat="1" applyFont="1" applyBorder="1"/>
    <xf numFmtId="49" fontId="35" fillId="0" borderId="0" xfId="0" applyNumberFormat="1" applyFont="1" applyAlignment="1">
      <alignment horizontal="left" wrapText="1"/>
    </xf>
    <xf numFmtId="2" fontId="14" fillId="0" borderId="0" xfId="0" applyNumberFormat="1" applyFont="1" applyFill="1"/>
    <xf numFmtId="2" fontId="14" fillId="0" borderId="0" xfId="0" applyNumberFormat="1" applyFont="1" applyAlignment="1">
      <alignment vertical="top" wrapText="1"/>
    </xf>
    <xf numFmtId="2" fontId="21" fillId="0" borderId="17" xfId="0" applyNumberFormat="1" applyFont="1" applyFill="1" applyBorder="1"/>
    <xf numFmtId="2" fontId="21" fillId="0" borderId="45" xfId="0" applyNumberFormat="1" applyFont="1" applyFill="1" applyBorder="1"/>
    <xf numFmtId="2" fontId="23" fillId="0" borderId="18" xfId="0" applyNumberFormat="1" applyFont="1" applyFill="1" applyBorder="1"/>
    <xf numFmtId="2" fontId="14" fillId="0" borderId="31" xfId="0" applyNumberFormat="1" applyFont="1" applyFill="1" applyBorder="1"/>
    <xf numFmtId="2" fontId="23" fillId="0" borderId="1" xfId="0" applyNumberFormat="1" applyFont="1" applyFill="1" applyBorder="1"/>
    <xf numFmtId="2" fontId="18" fillId="0" borderId="42" xfId="0" applyNumberFormat="1" applyFont="1" applyFill="1" applyBorder="1"/>
    <xf numFmtId="2" fontId="18" fillId="0" borderId="31" xfId="0" applyNumberFormat="1" applyFont="1" applyFill="1" applyBorder="1"/>
    <xf numFmtId="2" fontId="18" fillId="0" borderId="1" xfId="0" applyNumberFormat="1" applyFont="1" applyFill="1" applyBorder="1"/>
    <xf numFmtId="2" fontId="15" fillId="0" borderId="29" xfId="0" applyNumberFormat="1" applyFont="1" applyFill="1" applyBorder="1"/>
    <xf numFmtId="2" fontId="15" fillId="0" borderId="31" xfId="0" applyNumberFormat="1" applyFont="1" applyFill="1" applyBorder="1"/>
    <xf numFmtId="2" fontId="14" fillId="0" borderId="33" xfId="0" applyNumberFormat="1" applyFont="1" applyFill="1" applyBorder="1"/>
    <xf numFmtId="2" fontId="14" fillId="0" borderId="55" xfId="0" applyNumberFormat="1" applyFont="1" applyFill="1" applyBorder="1"/>
    <xf numFmtId="2" fontId="14" fillId="0" borderId="53" xfId="0" applyNumberFormat="1" applyFont="1" applyFill="1" applyBorder="1"/>
    <xf numFmtId="2" fontId="21" fillId="0" borderId="25" xfId="0" applyNumberFormat="1" applyFont="1" applyFill="1" applyBorder="1"/>
    <xf numFmtId="2" fontId="23" fillId="0" borderId="29" xfId="0" applyNumberFormat="1" applyFont="1" applyFill="1" applyBorder="1"/>
    <xf numFmtId="2" fontId="14" fillId="0" borderId="1" xfId="0" applyNumberFormat="1" applyFont="1" applyFill="1" applyBorder="1" applyAlignment="1">
      <alignment horizontal="center"/>
    </xf>
    <xf numFmtId="2" fontId="14" fillId="0" borderId="44" xfId="0" applyNumberFormat="1" applyFont="1" applyFill="1" applyBorder="1"/>
    <xf numFmtId="2" fontId="14" fillId="0" borderId="13" xfId="0" applyNumberFormat="1" applyFont="1" applyFill="1" applyBorder="1"/>
    <xf numFmtId="2" fontId="14" fillId="0" borderId="12" xfId="0" applyNumberFormat="1" applyFont="1" applyFill="1" applyBorder="1"/>
    <xf numFmtId="2" fontId="21" fillId="0" borderId="16" xfId="0" applyNumberFormat="1" applyFont="1" applyFill="1" applyBorder="1"/>
    <xf numFmtId="2" fontId="23" fillId="0" borderId="6" xfId="0" applyNumberFormat="1" applyFont="1" applyFill="1" applyBorder="1"/>
    <xf numFmtId="2" fontId="29" fillId="0" borderId="31" xfId="0" applyNumberFormat="1" applyFont="1" applyFill="1" applyBorder="1"/>
    <xf numFmtId="2" fontId="29" fillId="0" borderId="1" xfId="0" applyNumberFormat="1" applyFont="1" applyFill="1" applyBorder="1"/>
    <xf numFmtId="2" fontId="29" fillId="0" borderId="42" xfId="0" applyNumberFormat="1" applyFont="1" applyFill="1" applyBorder="1"/>
    <xf numFmtId="2" fontId="14" fillId="0" borderId="18" xfId="0" applyNumberFormat="1" applyFont="1" applyFill="1" applyBorder="1"/>
    <xf numFmtId="2" fontId="14" fillId="0" borderId="47" xfId="0" applyNumberFormat="1" applyFont="1" applyFill="1" applyBorder="1"/>
    <xf numFmtId="2" fontId="14" fillId="0" borderId="29" xfId="0" applyNumberFormat="1" applyFont="1" applyFill="1" applyBorder="1"/>
    <xf numFmtId="2" fontId="15" fillId="0" borderId="44" xfId="0" applyNumberFormat="1" applyFont="1" applyFill="1" applyBorder="1"/>
    <xf numFmtId="2" fontId="15" fillId="0" borderId="13" xfId="0" applyNumberFormat="1" applyFont="1" applyFill="1" applyBorder="1"/>
    <xf numFmtId="2" fontId="15" fillId="0" borderId="12" xfId="0" applyNumberFormat="1" applyFont="1" applyFill="1" applyBorder="1"/>
    <xf numFmtId="2" fontId="26" fillId="0" borderId="1" xfId="0" applyNumberFormat="1" applyFont="1" applyFill="1" applyBorder="1"/>
    <xf numFmtId="2" fontId="26" fillId="0" borderId="42" xfId="0" applyNumberFormat="1" applyFont="1" applyFill="1" applyBorder="1"/>
    <xf numFmtId="2" fontId="14" fillId="5" borderId="31" xfId="0" applyNumberFormat="1" applyFont="1" applyFill="1" applyBorder="1"/>
    <xf numFmtId="2" fontId="14" fillId="5" borderId="1" xfId="0" applyNumberFormat="1" applyFont="1" applyFill="1" applyBorder="1"/>
    <xf numFmtId="2" fontId="14" fillId="5" borderId="42" xfId="0" applyNumberFormat="1" applyFont="1" applyFill="1" applyBorder="1"/>
    <xf numFmtId="2" fontId="14" fillId="0" borderId="20" xfId="0" applyNumberFormat="1" applyFont="1" applyFill="1" applyBorder="1"/>
    <xf numFmtId="2" fontId="14" fillId="0" borderId="24" xfId="0" applyNumberFormat="1" applyFont="1" applyFill="1" applyBorder="1"/>
    <xf numFmtId="2" fontId="14" fillId="0" borderId="7" xfId="0" applyNumberFormat="1" applyFont="1" applyFill="1" applyBorder="1"/>
    <xf numFmtId="2" fontId="14" fillId="0" borderId="8" xfId="0" applyNumberFormat="1" applyFont="1" applyFill="1" applyBorder="1"/>
    <xf numFmtId="2" fontId="21" fillId="0" borderId="21" xfId="0" applyNumberFormat="1" applyFont="1" applyFill="1" applyBorder="1"/>
    <xf numFmtId="2" fontId="21" fillId="0" borderId="22" xfId="0" applyNumberFormat="1" applyFont="1" applyFill="1" applyBorder="1"/>
    <xf numFmtId="2" fontId="21" fillId="6" borderId="25" xfId="0" applyNumberFormat="1" applyFont="1" applyFill="1" applyBorder="1"/>
    <xf numFmtId="2" fontId="15" fillId="0" borderId="40" xfId="0" applyNumberFormat="1" applyFont="1" applyFill="1" applyBorder="1"/>
    <xf numFmtId="2" fontId="33" fillId="0" borderId="31" xfId="0" applyNumberFormat="1" applyFont="1" applyFill="1" applyBorder="1"/>
    <xf numFmtId="2" fontId="33" fillId="0" borderId="1" xfId="0" applyNumberFormat="1" applyFont="1" applyFill="1" applyBorder="1"/>
    <xf numFmtId="2" fontId="26" fillId="0" borderId="30" xfId="0" applyNumberFormat="1" applyFont="1" applyFill="1" applyBorder="1"/>
    <xf numFmtId="2" fontId="26" fillId="0" borderId="18" xfId="0" applyNumberFormat="1" applyFont="1" applyFill="1" applyBorder="1"/>
    <xf numFmtId="2" fontId="26" fillId="0" borderId="47" xfId="0" applyNumberFormat="1" applyFont="1" applyFill="1" applyBorder="1"/>
    <xf numFmtId="2" fontId="60" fillId="0" borderId="31" xfId="0" applyNumberFormat="1" applyFont="1" applyFill="1" applyBorder="1"/>
    <xf numFmtId="2" fontId="26" fillId="0" borderId="33" xfId="0" applyNumberFormat="1" applyFont="1" applyFill="1" applyBorder="1"/>
    <xf numFmtId="2" fontId="26" fillId="0" borderId="55" xfId="0" applyNumberFormat="1" applyFont="1" applyFill="1" applyBorder="1"/>
    <xf numFmtId="2" fontId="26" fillId="0" borderId="53" xfId="0" applyNumberFormat="1" applyFont="1" applyFill="1" applyBorder="1"/>
    <xf numFmtId="2" fontId="21" fillId="0" borderId="41" xfId="0" applyNumberFormat="1" applyFont="1" applyFill="1" applyBorder="1"/>
    <xf numFmtId="2" fontId="21" fillId="0" borderId="9" xfId="0" applyNumberFormat="1" applyFont="1" applyFill="1" applyBorder="1"/>
    <xf numFmtId="2" fontId="21" fillId="0" borderId="18" xfId="0" applyNumberFormat="1" applyFont="1" applyFill="1" applyBorder="1"/>
    <xf numFmtId="2" fontId="21" fillId="0" borderId="1" xfId="0" applyNumberFormat="1" applyFont="1" applyFill="1" applyBorder="1"/>
    <xf numFmtId="2" fontId="26" fillId="0" borderId="17" xfId="0" applyNumberFormat="1" applyFont="1" applyBorder="1"/>
    <xf numFmtId="2" fontId="26" fillId="0" borderId="17" xfId="0" applyNumberFormat="1" applyFont="1" applyFill="1" applyBorder="1"/>
    <xf numFmtId="2" fontId="26" fillId="0" borderId="28" xfId="0" applyNumberFormat="1" applyFont="1" applyFill="1" applyBorder="1"/>
    <xf numFmtId="2" fontId="15" fillId="0" borderId="7" xfId="0" applyNumberFormat="1" applyFont="1" applyBorder="1"/>
    <xf numFmtId="2" fontId="26" fillId="0" borderId="50" xfId="0" applyNumberFormat="1" applyFont="1" applyFill="1" applyBorder="1"/>
    <xf numFmtId="2" fontId="26" fillId="0" borderId="28" xfId="0" applyNumberFormat="1" applyFont="1" applyBorder="1"/>
    <xf numFmtId="2" fontId="34" fillId="0" borderId="17" xfId="0" applyNumberFormat="1" applyFont="1" applyBorder="1"/>
    <xf numFmtId="2" fontId="15" fillId="0" borderId="0" xfId="0" applyNumberFormat="1" applyFont="1" applyFill="1"/>
    <xf numFmtId="2" fontId="14" fillId="0" borderId="30" xfId="0" applyNumberFormat="1" applyFont="1" applyFill="1" applyBorder="1"/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/>
    <xf numFmtId="4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6" fillId="0" borderId="0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Border="1"/>
    <xf numFmtId="0" fontId="25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43" fontId="0" fillId="0" borderId="0" xfId="0" applyNumberFormat="1" applyAlignment="1">
      <alignment horizontal="center"/>
    </xf>
    <xf numFmtId="43" fontId="14" fillId="0" borderId="0" xfId="0" applyNumberFormat="1" applyFont="1"/>
    <xf numFmtId="0" fontId="14" fillId="0" borderId="1" xfId="0" applyFont="1" applyFill="1" applyBorder="1" applyAlignment="1">
      <alignment horizontal="center" vertical="top" wrapText="1"/>
    </xf>
    <xf numFmtId="174" fontId="14" fillId="0" borderId="1" xfId="6" applyNumberFormat="1" applyFont="1" applyFill="1" applyBorder="1" applyAlignment="1">
      <alignment horizontal="center" vertical="top" wrapText="1"/>
    </xf>
    <xf numFmtId="43" fontId="14" fillId="0" borderId="0" xfId="0" applyNumberFormat="1" applyFont="1" applyBorder="1"/>
    <xf numFmtId="0" fontId="9" fillId="0" borderId="1" xfId="0" applyFont="1" applyBorder="1"/>
    <xf numFmtId="43" fontId="0" fillId="0" borderId="0" xfId="0" applyNumberFormat="1"/>
    <xf numFmtId="175" fontId="0" fillId="0" borderId="0" xfId="0" applyNumberFormat="1"/>
    <xf numFmtId="0" fontId="0" fillId="0" borderId="1" xfId="0" applyBorder="1" applyAlignment="1">
      <alignment vertical="top" wrapText="1"/>
    </xf>
    <xf numFmtId="176" fontId="62" fillId="8" borderId="0" xfId="0" applyNumberFormat="1" applyFont="1" applyFill="1"/>
    <xf numFmtId="0" fontId="5" fillId="0" borderId="0" xfId="0" applyFont="1" applyAlignment="1"/>
    <xf numFmtId="43" fontId="1" fillId="0" borderId="0" xfId="6" applyFont="1" applyAlignment="1">
      <alignment horizontal="center" vertical="center"/>
    </xf>
    <xf numFmtId="43" fontId="14" fillId="3" borderId="1" xfId="22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center" wrapText="1"/>
    </xf>
    <xf numFmtId="43" fontId="14" fillId="0" borderId="1" xfId="6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/>
    <xf numFmtId="2" fontId="60" fillId="0" borderId="1" xfId="0" applyNumberFormat="1" applyFont="1" applyFill="1" applyBorder="1"/>
    <xf numFmtId="2" fontId="21" fillId="0" borderId="46" xfId="0" applyNumberFormat="1" applyFont="1" applyFill="1" applyBorder="1"/>
    <xf numFmtId="168" fontId="60" fillId="0" borderId="40" xfId="0" applyNumberFormat="1" applyFont="1" applyFill="1" applyBorder="1"/>
    <xf numFmtId="168" fontId="15" fillId="0" borderId="40" xfId="0" applyNumberFormat="1" applyFont="1" applyFill="1" applyBorder="1"/>
    <xf numFmtId="2" fontId="23" fillId="0" borderId="2" xfId="0" applyNumberFormat="1" applyFont="1" applyFill="1" applyBorder="1"/>
    <xf numFmtId="168" fontId="14" fillId="0" borderId="40" xfId="0" applyNumberFormat="1" applyFont="1" applyFill="1" applyBorder="1"/>
    <xf numFmtId="2" fontId="21" fillId="6" borderId="27" xfId="0" applyNumberFormat="1" applyFont="1" applyFill="1" applyBorder="1"/>
    <xf numFmtId="2" fontId="21" fillId="6" borderId="46" xfId="0" applyNumberFormat="1" applyFont="1" applyFill="1" applyBorder="1"/>
    <xf numFmtId="2" fontId="15" fillId="0" borderId="1" xfId="0" applyNumberFormat="1" applyFont="1" applyFill="1" applyBorder="1"/>
    <xf numFmtId="0" fontId="46" fillId="0" borderId="0" xfId="12" applyFont="1" applyFill="1" applyBorder="1" applyAlignment="1">
      <alignment horizontal="center" vertical="top" wrapText="1"/>
    </xf>
    <xf numFmtId="0" fontId="46" fillId="0" borderId="0" xfId="12" applyFont="1" applyFill="1" applyBorder="1" applyAlignment="1">
      <alignment horizontal="center" vertical="center" wrapText="1"/>
    </xf>
    <xf numFmtId="0" fontId="35" fillId="0" borderId="0" xfId="15" applyAlignment="1">
      <alignment horizontal="center" wrapText="1"/>
    </xf>
    <xf numFmtId="0" fontId="64" fillId="0" borderId="7" xfId="0" applyFont="1" applyBorder="1" applyAlignment="1">
      <alignment horizontal="center" vertical="center" wrapText="1"/>
    </xf>
    <xf numFmtId="0" fontId="64" fillId="0" borderId="72" xfId="0" applyFont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 wrapText="1"/>
    </xf>
    <xf numFmtId="0" fontId="64" fillId="0" borderId="7" xfId="0" applyFont="1" applyBorder="1" applyAlignment="1">
      <alignment vertical="center"/>
    </xf>
    <xf numFmtId="0" fontId="64" fillId="0" borderId="15" xfId="0" applyFont="1" applyBorder="1"/>
    <xf numFmtId="49" fontId="64" fillId="0" borderId="4" xfId="0" applyNumberFormat="1" applyFont="1" applyBorder="1" applyAlignment="1">
      <alignment horizontal="center" vertical="center"/>
    </xf>
    <xf numFmtId="49" fontId="64" fillId="0" borderId="50" xfId="0" applyNumberFormat="1" applyFont="1" applyFill="1" applyBorder="1" applyAlignment="1">
      <alignment horizontal="center"/>
    </xf>
    <xf numFmtId="49" fontId="64" fillId="0" borderId="50" xfId="0" applyNumberFormat="1" applyFont="1" applyFill="1" applyBorder="1" applyAlignment="1">
      <alignment horizontal="center" vertical="center"/>
    </xf>
    <xf numFmtId="0" fontId="7" fillId="0" borderId="0" xfId="12" applyFont="1" applyFill="1"/>
    <xf numFmtId="49" fontId="49" fillId="0" borderId="29" xfId="12" applyNumberFormat="1" applyFont="1" applyFill="1" applyBorder="1"/>
    <xf numFmtId="43" fontId="9" fillId="0" borderId="18" xfId="12" applyNumberFormat="1" applyFont="1" applyFill="1" applyBorder="1" applyAlignment="1">
      <alignment horizontal="center"/>
    </xf>
    <xf numFmtId="43" fontId="7" fillId="0" borderId="1" xfId="12" applyNumberFormat="1" applyFont="1" applyFill="1" applyBorder="1"/>
    <xf numFmtId="1" fontId="7" fillId="0" borderId="0" xfId="12" applyNumberFormat="1" applyFont="1" applyFill="1"/>
    <xf numFmtId="2" fontId="14" fillId="7" borderId="42" xfId="0" applyNumberFormat="1" applyFont="1" applyFill="1" applyBorder="1"/>
    <xf numFmtId="2" fontId="14" fillId="7" borderId="12" xfId="0" applyNumberFormat="1" applyFont="1" applyFill="1" applyBorder="1"/>
    <xf numFmtId="4" fontId="5" fillId="0" borderId="0" xfId="0" applyNumberFormat="1" applyFont="1" applyAlignment="1">
      <alignment horizontal="left"/>
    </xf>
    <xf numFmtId="0" fontId="52" fillId="0" borderId="0" xfId="0" applyFont="1" applyBorder="1" applyAlignment="1">
      <alignment horizontal="center"/>
    </xf>
    <xf numFmtId="0" fontId="5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15" fillId="0" borderId="1" xfId="3" applyNumberFormat="1" applyFont="1" applyBorder="1" applyAlignment="1">
      <alignment horizontal="center"/>
    </xf>
    <xf numFmtId="0" fontId="14" fillId="0" borderId="0" xfId="3" applyFont="1" applyAlignment="1">
      <alignment horizontal="left" wrapText="1"/>
    </xf>
    <xf numFmtId="0" fontId="0" fillId="0" borderId="0" xfId="0" applyAlignment="1">
      <alignment horizontal="left" wrapText="1"/>
    </xf>
    <xf numFmtId="0" fontId="6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3" applyFont="1" applyBorder="1" applyAlignment="1">
      <alignment horizontal="center" vertical="center" wrapText="1"/>
    </xf>
    <xf numFmtId="0" fontId="14" fillId="0" borderId="0" xfId="3" applyFont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3" applyFont="1" applyBorder="1" applyAlignment="1">
      <alignment horizontal="center" wrapText="1"/>
    </xf>
    <xf numFmtId="0" fontId="0" fillId="0" borderId="0" xfId="0" applyAlignment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" xfId="0" applyFont="1" applyBorder="1"/>
    <xf numFmtId="0" fontId="15" fillId="0" borderId="13" xfId="0" applyFont="1" applyBorder="1"/>
    <xf numFmtId="2" fontId="15" fillId="0" borderId="1" xfId="0" applyNumberFormat="1" applyFont="1" applyBorder="1" applyAlignment="1">
      <alignment vertical="center" wrapText="1"/>
    </xf>
    <xf numFmtId="2" fontId="15" fillId="0" borderId="1" xfId="0" applyNumberFormat="1" applyFont="1" applyBorder="1" applyAlignment="1">
      <alignment vertical="center"/>
    </xf>
    <xf numFmtId="2" fontId="15" fillId="0" borderId="13" xfId="0" applyNumberFormat="1" applyFont="1" applyBorder="1" applyAlignment="1">
      <alignment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/>
    <xf numFmtId="2" fontId="15" fillId="0" borderId="13" xfId="0" applyNumberFormat="1" applyFont="1" applyFill="1" applyBorder="1"/>
    <xf numFmtId="2" fontId="15" fillId="0" borderId="1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/>
    </xf>
    <xf numFmtId="2" fontId="15" fillId="0" borderId="13" xfId="0" applyNumberFormat="1" applyFont="1" applyFill="1" applyBorder="1" applyAlignment="1">
      <alignment vertical="center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2" xfId="0" applyFont="1" applyFill="1" applyBorder="1"/>
    <xf numFmtId="0" fontId="15" fillId="0" borderId="12" xfId="0" applyFont="1" applyFill="1" applyBorder="1"/>
    <xf numFmtId="0" fontId="15" fillId="0" borderId="49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vertical="center"/>
    </xf>
    <xf numFmtId="0" fontId="15" fillId="0" borderId="38" xfId="0" applyFont="1" applyFill="1" applyBorder="1" applyAlignment="1">
      <alignment vertical="center"/>
    </xf>
    <xf numFmtId="0" fontId="16" fillId="0" borderId="16" xfId="7" applyFont="1" applyBorder="1" applyAlignment="1">
      <alignment horizontal="left"/>
    </xf>
    <xf numFmtId="0" fontId="16" fillId="0" borderId="17" xfId="7" applyFont="1" applyBorder="1" applyAlignment="1">
      <alignment horizontal="left"/>
    </xf>
    <xf numFmtId="3" fontId="41" fillId="3" borderId="63" xfId="7" applyNumberFormat="1" applyFont="1" applyFill="1" applyBorder="1" applyAlignment="1">
      <alignment horizontal="center" vertical="center" wrapText="1"/>
    </xf>
    <xf numFmtId="0" fontId="6" fillId="0" borderId="10" xfId="7" applyFont="1" applyBorder="1" applyAlignment="1">
      <alignment horizontal="center" vertical="center" wrapText="1"/>
    </xf>
    <xf numFmtId="3" fontId="41" fillId="3" borderId="19" xfId="7" applyNumberFormat="1" applyFont="1" applyFill="1" applyBorder="1" applyAlignment="1">
      <alignment horizontal="center" vertical="center" wrapText="1"/>
    </xf>
    <xf numFmtId="0" fontId="6" fillId="0" borderId="13" xfId="7" applyFont="1" applyBorder="1" applyAlignment="1">
      <alignment horizontal="center" vertical="center" wrapText="1"/>
    </xf>
    <xf numFmtId="173" fontId="41" fillId="3" borderId="19" xfId="7" applyNumberFormat="1" applyFont="1" applyFill="1" applyBorder="1" applyAlignment="1">
      <alignment horizontal="center" vertical="center" wrapText="1"/>
    </xf>
    <xf numFmtId="173" fontId="41" fillId="3" borderId="13" xfId="7" applyNumberFormat="1" applyFont="1" applyFill="1" applyBorder="1" applyAlignment="1">
      <alignment horizontal="center" vertical="center" wrapText="1"/>
    </xf>
    <xf numFmtId="173" fontId="9" fillId="0" borderId="0" xfId="7" applyNumberFormat="1" applyFont="1" applyAlignment="1">
      <alignment horizontal="left" wrapText="1"/>
    </xf>
    <xf numFmtId="173" fontId="0" fillId="0" borderId="0" xfId="0" applyNumberFormat="1" applyAlignment="1">
      <alignment horizontal="left"/>
    </xf>
    <xf numFmtId="173" fontId="44" fillId="0" borderId="0" xfId="10" applyNumberFormat="1" applyFont="1" applyAlignment="1">
      <alignment horizontal="left" vertical="top" wrapText="1"/>
    </xf>
    <xf numFmtId="0" fontId="42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173" fontId="4" fillId="0" borderId="62" xfId="0" applyNumberFormat="1" applyFont="1" applyBorder="1" applyAlignment="1">
      <alignment horizontal="center" wrapText="1"/>
    </xf>
    <xf numFmtId="173" fontId="4" fillId="0" borderId="11" xfId="0" applyNumberFormat="1" applyFont="1" applyBorder="1" applyAlignment="1">
      <alignment horizontal="center" wrapText="1"/>
    </xf>
    <xf numFmtId="173" fontId="41" fillId="3" borderId="66" xfId="7" applyNumberFormat="1" applyFont="1" applyFill="1" applyBorder="1" applyAlignment="1">
      <alignment horizontal="center" vertical="center" wrapText="1"/>
    </xf>
    <xf numFmtId="173" fontId="0" fillId="0" borderId="64" xfId="0" applyNumberFormat="1" applyBorder="1" applyAlignment="1">
      <alignment horizontal="center" wrapText="1"/>
    </xf>
    <xf numFmtId="173" fontId="0" fillId="0" borderId="48" xfId="0" applyNumberFormat="1" applyBorder="1" applyAlignment="1">
      <alignment horizontal="center" wrapText="1"/>
    </xf>
    <xf numFmtId="173" fontId="41" fillId="3" borderId="67" xfId="7" applyNumberFormat="1" applyFont="1" applyFill="1" applyBorder="1" applyAlignment="1">
      <alignment horizontal="center" vertical="center" wrapText="1"/>
    </xf>
    <xf numFmtId="173" fontId="0" fillId="0" borderId="64" xfId="0" applyNumberFormat="1" applyBorder="1" applyAlignment="1">
      <alignment horizontal="center" vertical="center" wrapText="1"/>
    </xf>
    <xf numFmtId="173" fontId="0" fillId="0" borderId="48" xfId="0" applyNumberFormat="1" applyBorder="1" applyAlignment="1">
      <alignment horizontal="center" vertical="center" wrapText="1"/>
    </xf>
    <xf numFmtId="49" fontId="36" fillId="0" borderId="0" xfId="5" applyNumberFormat="1" applyFont="1" applyAlignment="1">
      <alignment horizontal="left"/>
    </xf>
    <xf numFmtId="0" fontId="8" fillId="0" borderId="0" xfId="5" applyFont="1" applyAlignment="1">
      <alignment wrapText="1"/>
    </xf>
    <xf numFmtId="0" fontId="58" fillId="0" borderId="0" xfId="5" applyFont="1" applyAlignment="1">
      <alignment horizontal="center" wrapText="1"/>
    </xf>
    <xf numFmtId="0" fontId="36" fillId="0" borderId="0" xfId="5" applyFont="1" applyBorder="1" applyAlignment="1">
      <alignment horizontal="right"/>
    </xf>
    <xf numFmtId="0" fontId="24" fillId="0" borderId="55" xfId="5" applyFont="1" applyBorder="1" applyAlignment="1">
      <alignment horizontal="justify" vertical="center"/>
    </xf>
    <xf numFmtId="0" fontId="9" fillId="0" borderId="7" xfId="5" applyBorder="1"/>
    <xf numFmtId="0" fontId="9" fillId="0" borderId="18" xfId="5" applyBorder="1"/>
    <xf numFmtId="0" fontId="24" fillId="0" borderId="7" xfId="5" applyFont="1" applyBorder="1" applyAlignment="1">
      <alignment horizontal="justify" vertical="center"/>
    </xf>
    <xf numFmtId="0" fontId="24" fillId="0" borderId="18" xfId="5" applyFont="1" applyBorder="1" applyAlignment="1">
      <alignment horizontal="justify" vertical="center"/>
    </xf>
    <xf numFmtId="49" fontId="24" fillId="0" borderId="2" xfId="5" applyNumberFormat="1" applyFont="1" applyBorder="1" applyAlignment="1">
      <alignment horizontal="right"/>
    </xf>
    <xf numFmtId="49" fontId="24" fillId="0" borderId="40" xfId="5" applyNumberFormat="1" applyFont="1" applyBorder="1" applyAlignment="1">
      <alignment horizontal="right"/>
    </xf>
    <xf numFmtId="49" fontId="24" fillId="0" borderId="42" xfId="5" applyNumberFormat="1" applyFont="1" applyBorder="1" applyAlignment="1">
      <alignment horizontal="right"/>
    </xf>
    <xf numFmtId="0" fontId="24" fillId="0" borderId="2" xfId="5" applyFont="1" applyBorder="1" applyAlignment="1">
      <alignment horizontal="center"/>
    </xf>
    <xf numFmtId="0" fontId="24" fillId="0" borderId="40" xfId="5" applyFont="1" applyBorder="1" applyAlignment="1">
      <alignment horizontal="center"/>
    </xf>
    <xf numFmtId="0" fontId="24" fillId="0" borderId="42" xfId="5" applyFont="1" applyBorder="1" applyAlignment="1">
      <alignment horizontal="center"/>
    </xf>
    <xf numFmtId="0" fontId="24" fillId="0" borderId="2" xfId="5" applyFont="1" applyBorder="1" applyAlignment="1">
      <alignment horizontal="center" wrapText="1"/>
    </xf>
    <xf numFmtId="0" fontId="24" fillId="0" borderId="40" xfId="5" applyFont="1" applyBorder="1" applyAlignment="1">
      <alignment horizontal="center" wrapText="1"/>
    </xf>
    <xf numFmtId="0" fontId="24" fillId="0" borderId="42" xfId="5" applyFont="1" applyBorder="1" applyAlignment="1">
      <alignment horizontal="center" wrapText="1"/>
    </xf>
    <xf numFmtId="0" fontId="24" fillId="0" borderId="2" xfId="5" applyFont="1" applyFill="1" applyBorder="1" applyAlignment="1">
      <alignment horizontal="center" wrapText="1"/>
    </xf>
    <xf numFmtId="0" fontId="9" fillId="0" borderId="40" xfId="5" applyFill="1" applyBorder="1" applyAlignment="1">
      <alignment horizontal="center"/>
    </xf>
    <xf numFmtId="0" fontId="9" fillId="0" borderId="42" xfId="5" applyFill="1" applyBorder="1" applyAlignment="1">
      <alignment horizontal="center"/>
    </xf>
    <xf numFmtId="49" fontId="24" fillId="0" borderId="55" xfId="5" applyNumberFormat="1" applyFont="1" applyBorder="1" applyAlignment="1">
      <alignment horizontal="center" vertical="top" wrapText="1"/>
    </xf>
    <xf numFmtId="49" fontId="24" fillId="0" borderId="18" xfId="5" applyNumberFormat="1" applyFont="1" applyBorder="1" applyAlignment="1">
      <alignment horizontal="center" vertical="top" wrapText="1"/>
    </xf>
    <xf numFmtId="49" fontId="24" fillId="0" borderId="55" xfId="5" applyNumberFormat="1" applyFont="1" applyBorder="1" applyAlignment="1">
      <alignment horizontal="center" vertical="center"/>
    </xf>
    <xf numFmtId="49" fontId="24" fillId="0" borderId="18" xfId="5" applyNumberFormat="1" applyFont="1" applyBorder="1" applyAlignment="1">
      <alignment horizontal="center" vertical="center"/>
    </xf>
    <xf numFmtId="0" fontId="24" fillId="0" borderId="2" xfId="5" applyFont="1" applyBorder="1" applyAlignment="1">
      <alignment horizontal="center" vertical="center"/>
    </xf>
    <xf numFmtId="0" fontId="24" fillId="0" borderId="42" xfId="5" applyFont="1" applyBorder="1" applyAlignment="1">
      <alignment horizontal="center" vertical="center"/>
    </xf>
    <xf numFmtId="0" fontId="15" fillId="0" borderId="0" xfId="3" applyFont="1" applyBorder="1" applyAlignment="1">
      <alignment horizontal="center" wrapText="1"/>
    </xf>
    <xf numFmtId="0" fontId="14" fillId="0" borderId="0" xfId="3" applyFont="1" applyAlignment="1">
      <alignment wrapText="1"/>
    </xf>
    <xf numFmtId="0" fontId="14" fillId="0" borderId="0" xfId="5" applyFont="1" applyAlignment="1">
      <alignment wrapText="1"/>
    </xf>
    <xf numFmtId="0" fontId="24" fillId="0" borderId="55" xfId="5" applyFont="1" applyBorder="1" applyAlignment="1">
      <alignment horizontal="center" vertical="center" wrapText="1"/>
    </xf>
    <xf numFmtId="0" fontId="24" fillId="0" borderId="7" xfId="5" applyFont="1" applyBorder="1" applyAlignment="1">
      <alignment horizontal="center" vertical="center" wrapText="1"/>
    </xf>
    <xf numFmtId="0" fontId="24" fillId="0" borderId="18" xfId="5" applyFont="1" applyBorder="1" applyAlignment="1">
      <alignment horizontal="center" vertical="center" wrapText="1"/>
    </xf>
    <xf numFmtId="0" fontId="9" fillId="0" borderId="7" xfId="5" applyBorder="1" applyAlignment="1">
      <alignment horizontal="center" vertical="center" wrapText="1"/>
    </xf>
    <xf numFmtId="0" fontId="9" fillId="0" borderId="18" xfId="5" applyBorder="1" applyAlignment="1">
      <alignment horizontal="center" vertical="center" wrapText="1"/>
    </xf>
    <xf numFmtId="0" fontId="24" fillId="0" borderId="2" xfId="5" applyFont="1" applyBorder="1" applyAlignment="1">
      <alignment horizontal="center" vertical="center" wrapText="1"/>
    </xf>
    <xf numFmtId="0" fontId="6" fillId="0" borderId="42" xfId="5" applyFont="1" applyBorder="1" applyAlignment="1">
      <alignment horizontal="center" vertical="center"/>
    </xf>
    <xf numFmtId="0" fontId="12" fillId="0" borderId="5" xfId="12" applyFont="1" applyBorder="1" applyAlignment="1">
      <alignment horizontal="center" wrapText="1"/>
    </xf>
    <xf numFmtId="0" fontId="12" fillId="0" borderId="68" xfId="12" applyFont="1" applyBorder="1" applyAlignment="1">
      <alignment horizontal="center" wrapText="1"/>
    </xf>
    <xf numFmtId="0" fontId="46" fillId="0" borderId="4" xfId="12" applyFont="1" applyBorder="1" applyAlignment="1">
      <alignment horizontal="center" vertical="center" wrapText="1"/>
    </xf>
    <xf numFmtId="0" fontId="48" fillId="0" borderId="6" xfId="13" applyFont="1" applyBorder="1" applyAlignment="1">
      <alignment horizontal="center" vertical="center" wrapText="1"/>
    </xf>
    <xf numFmtId="1" fontId="12" fillId="0" borderId="67" xfId="12" applyNumberFormat="1" applyFont="1" applyBorder="1" applyAlignment="1">
      <alignment horizontal="center" wrapText="1"/>
    </xf>
    <xf numFmtId="1" fontId="12" fillId="0" borderId="64" xfId="12" applyNumberFormat="1" applyFont="1" applyBorder="1" applyAlignment="1">
      <alignment horizontal="center" wrapText="1"/>
    </xf>
    <xf numFmtId="0" fontId="45" fillId="0" borderId="0" xfId="12" applyFont="1" applyAlignment="1">
      <alignment horizontal="left" vertical="center" wrapText="1"/>
    </xf>
    <xf numFmtId="0" fontId="45" fillId="0" borderId="0" xfId="13" applyFont="1" applyAlignment="1">
      <alignment horizontal="left" vertical="center" wrapText="1"/>
    </xf>
    <xf numFmtId="0" fontId="9" fillId="0" borderId="0" xfId="13" applyFont="1" applyAlignment="1">
      <alignment horizontal="left" vertical="center" wrapText="1"/>
    </xf>
    <xf numFmtId="0" fontId="9" fillId="0" borderId="0" xfId="13" applyAlignment="1">
      <alignment horizontal="left" vertical="center" wrapText="1"/>
    </xf>
    <xf numFmtId="0" fontId="10" fillId="0" borderId="0" xfId="13" applyFont="1" applyAlignment="1">
      <alignment horizontal="left" vertical="top" wrapText="1"/>
    </xf>
    <xf numFmtId="0" fontId="46" fillId="0" borderId="0" xfId="12" applyFont="1" applyFill="1" applyBorder="1" applyAlignment="1">
      <alignment horizontal="center" vertical="top" wrapText="1"/>
    </xf>
    <xf numFmtId="0" fontId="35" fillId="0" borderId="0" xfId="15" applyAlignment="1">
      <alignment horizontal="center" vertical="top"/>
    </xf>
    <xf numFmtId="0" fontId="46" fillId="0" borderId="0" xfId="12" applyFont="1" applyFill="1" applyBorder="1" applyAlignment="1">
      <alignment horizontal="center" vertical="center" wrapText="1"/>
    </xf>
    <xf numFmtId="0" fontId="35" fillId="0" borderId="0" xfId="15" applyAlignment="1">
      <alignment horizontal="center" wrapText="1"/>
    </xf>
    <xf numFmtId="0" fontId="5" fillId="0" borderId="0" xfId="0" applyFont="1" applyAlignment="1"/>
    <xf numFmtId="0" fontId="54" fillId="0" borderId="0" xfId="0" applyFont="1" applyAlignment="1">
      <alignment horizontal="left" vertical="center" wrapText="1"/>
    </xf>
    <xf numFmtId="0" fontId="45" fillId="0" borderId="22" xfId="12" applyFont="1" applyBorder="1" applyAlignment="1">
      <alignment horizontal="justify"/>
    </xf>
    <xf numFmtId="43" fontId="7" fillId="0" borderId="22" xfId="12" applyNumberFormat="1" applyFill="1" applyBorder="1"/>
    <xf numFmtId="49" fontId="45" fillId="0" borderId="31" xfId="12" applyNumberFormat="1" applyFont="1" applyBorder="1"/>
    <xf numFmtId="0" fontId="45" fillId="0" borderId="1" xfId="12" applyFont="1" applyBorder="1" applyAlignment="1">
      <alignment horizontal="justify"/>
    </xf>
    <xf numFmtId="171" fontId="15" fillId="2" borderId="17" xfId="11" applyNumberFormat="1" applyFont="1" applyFill="1" applyBorder="1" applyAlignment="1" applyProtection="1">
      <alignment horizontal="center" vertical="center"/>
      <protection locked="0"/>
    </xf>
    <xf numFmtId="171" fontId="11" fillId="0" borderId="12" xfId="12" applyNumberFormat="1" applyFont="1" applyBorder="1" applyAlignment="1">
      <alignment horizontal="center"/>
    </xf>
    <xf numFmtId="171" fontId="15" fillId="2" borderId="17" xfId="16" applyNumberFormat="1" applyFont="1" applyFill="1" applyBorder="1" applyAlignment="1" applyProtection="1">
      <alignment vertical="center" wrapText="1"/>
      <protection locked="0"/>
    </xf>
    <xf numFmtId="171" fontId="16" fillId="0" borderId="18" xfId="12" applyNumberFormat="1" applyFont="1" applyFill="1" applyBorder="1" applyAlignment="1">
      <alignment horizontal="center"/>
    </xf>
    <xf numFmtId="171" fontId="16" fillId="0" borderId="1" xfId="12" applyNumberFormat="1" applyFont="1" applyFill="1" applyBorder="1" applyAlignment="1">
      <alignment horizontal="center"/>
    </xf>
    <xf numFmtId="171" fontId="15" fillId="2" borderId="17" xfId="11" applyNumberFormat="1" applyFont="1" applyFill="1" applyBorder="1" applyAlignment="1">
      <alignment horizontal="center" vertical="center" wrapText="1"/>
    </xf>
    <xf numFmtId="171" fontId="9" fillId="0" borderId="18" xfId="12" applyNumberFormat="1" applyFont="1" applyFill="1" applyBorder="1" applyAlignment="1">
      <alignment horizontal="center"/>
    </xf>
    <xf numFmtId="171" fontId="9" fillId="0" borderId="1" xfId="12" applyNumberFormat="1" applyFont="1" applyFill="1" applyBorder="1" applyAlignment="1">
      <alignment horizontal="center"/>
    </xf>
    <xf numFmtId="171" fontId="16" fillId="0" borderId="18" xfId="12" applyNumberFormat="1" applyFont="1" applyBorder="1" applyAlignment="1">
      <alignment horizontal="center"/>
    </xf>
  </cellXfs>
  <cellStyles count="23">
    <cellStyle name="Денежный 2" xfId="10"/>
    <cellStyle name="Обычный" xfId="0" builtinId="0"/>
    <cellStyle name="Обычный 2" xfId="5"/>
    <cellStyle name="Обычный 2 2" xfId="19"/>
    <cellStyle name="Обычный 2 3" xfId="20"/>
    <cellStyle name="Обычный 3" xfId="15"/>
    <cellStyle name="Обычный 4" xfId="17"/>
    <cellStyle name="Обычный 5" xfId="21"/>
    <cellStyle name="Обычный_ПР 13 фин.помощь1" xfId="12"/>
    <cellStyle name="Обычный_Прил 22,23,24" xfId="11"/>
    <cellStyle name="Обычный_Прил 5,6,8,18" xfId="13"/>
    <cellStyle name="Обычный_прил 7,9-2009-2010 нов классиф." xfId="4"/>
    <cellStyle name="Обычный_прилож 8,10 -2008г." xfId="3"/>
    <cellStyle name="Обычный_Прилож.№9 кап.стр." xfId="7"/>
    <cellStyle name="Обычный_Прилож_МР" xfId="14"/>
    <cellStyle name="Обычный_Район 2006г." xfId="9"/>
    <cellStyle name="Тысячи [0]_перечис.11" xfId="1"/>
    <cellStyle name="Тысячи_перечис.11" xfId="2"/>
    <cellStyle name="Финансовый" xfId="22" builtinId="3"/>
    <cellStyle name="Финансовый 2" xfId="6"/>
    <cellStyle name="Финансовый 3" xfId="18"/>
    <cellStyle name="Финансовый_прил 9,11-2009-2010гг(окончательный)" xfId="8"/>
    <cellStyle name="Финансовый_Прилож_МР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Application%20Data\Microsoft\Excel\&#1055;&#1088;&#1080;&#1083;&#1086;&#1078;&#1077;&#1085;&#1080;&#1103;%208,10(2011&#1075;-201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86;&#1080;%20&#1076;&#1086;&#1082;&#1080;/RABOTA%202011/&#1073;&#1102;&#1076;&#1078;&#1077;&#1090;2011/&#1080;&#1079;&#1084;&#1077;&#1085;&#1077;&#1085;&#1080;&#1103;%20&#1089;&#1077;&#1085;&#1090;&#1103;&#1073;&#1088;&#1100;/09&#1048;&#1079;&#1084;&#1077;&#1085;.&#1089;&#1077;&#1085;&#1090;%202011%20&#1076;&#1083;&#1103;%20&#1040;&#1078;&#1091;&#1076;&#1072;%20&#1087;&#1088;&#1080;&#1083;%201.2,6.8,10,12,14,17.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8 (2011г)"/>
      <sheetName val="10 прил(2011г)чистовик"/>
    </sheetNames>
    <sheetDataSet>
      <sheetData sheetId="0" refreshError="1"/>
      <sheetData sheetId="1" refreshError="1">
        <row r="651">
          <cell r="J651">
            <v>1080.095</v>
          </cell>
          <cell r="K651">
            <v>0</v>
          </cell>
        </row>
        <row r="652">
          <cell r="J652">
            <v>1677.1489999999999</v>
          </cell>
          <cell r="K652">
            <v>0</v>
          </cell>
        </row>
        <row r="653">
          <cell r="J653">
            <v>17629.555999999997</v>
          </cell>
          <cell r="K653">
            <v>1264</v>
          </cell>
        </row>
        <row r="654">
          <cell r="J654">
            <v>0</v>
          </cell>
          <cell r="K654">
            <v>0</v>
          </cell>
        </row>
        <row r="655">
          <cell r="J655">
            <v>3205.056</v>
          </cell>
          <cell r="K655">
            <v>0</v>
          </cell>
        </row>
        <row r="656">
          <cell r="J656">
            <v>134.28892999999999</v>
          </cell>
          <cell r="K656">
            <v>0</v>
          </cell>
        </row>
        <row r="659">
          <cell r="J659">
            <v>0</v>
          </cell>
          <cell r="K659">
            <v>0</v>
          </cell>
        </row>
        <row r="660">
          <cell r="J660">
            <v>1596.53</v>
          </cell>
          <cell r="K660">
            <v>450</v>
          </cell>
        </row>
        <row r="661">
          <cell r="J661">
            <v>0</v>
          </cell>
          <cell r="K661">
            <v>0</v>
          </cell>
        </row>
        <row r="665">
          <cell r="J665">
            <v>500</v>
          </cell>
          <cell r="K665">
            <v>200</v>
          </cell>
        </row>
        <row r="666">
          <cell r="J666">
            <v>75</v>
          </cell>
          <cell r="K666">
            <v>0</v>
          </cell>
        </row>
        <row r="668">
          <cell r="J668">
            <v>160</v>
          </cell>
          <cell r="K668">
            <v>70</v>
          </cell>
        </row>
        <row r="669">
          <cell r="J669">
            <v>0</v>
          </cell>
          <cell r="K669">
            <v>0</v>
          </cell>
        </row>
        <row r="670">
          <cell r="J670">
            <v>0</v>
          </cell>
          <cell r="K670">
            <v>0</v>
          </cell>
        </row>
        <row r="671">
          <cell r="J671">
            <v>2534.703</v>
          </cell>
          <cell r="K671">
            <v>0</v>
          </cell>
        </row>
        <row r="673">
          <cell r="J673">
            <v>1400</v>
          </cell>
          <cell r="K673">
            <v>80</v>
          </cell>
        </row>
        <row r="674">
          <cell r="J674">
            <v>14356.14</v>
          </cell>
          <cell r="K674">
            <v>710.6</v>
          </cell>
        </row>
        <row r="675">
          <cell r="J675">
            <v>300</v>
          </cell>
          <cell r="K675">
            <v>200</v>
          </cell>
        </row>
        <row r="676">
          <cell r="J676">
            <v>0</v>
          </cell>
          <cell r="K676">
            <v>0</v>
          </cell>
        </row>
        <row r="678">
          <cell r="J678">
            <v>565</v>
          </cell>
          <cell r="K678">
            <v>263</v>
          </cell>
        </row>
        <row r="679">
          <cell r="J679">
            <v>191668.53093000001</v>
          </cell>
          <cell r="K679">
            <v>4208.9560600000004</v>
          </cell>
        </row>
        <row r="680">
          <cell r="J680">
            <v>740.91</v>
          </cell>
          <cell r="K680">
            <v>0</v>
          </cell>
        </row>
        <row r="681">
          <cell r="J681">
            <v>2380.06</v>
          </cell>
          <cell r="K681">
            <v>0</v>
          </cell>
        </row>
        <row r="682">
          <cell r="J682">
            <v>7032.5659999999998</v>
          </cell>
          <cell r="K682">
            <v>1.25498</v>
          </cell>
        </row>
        <row r="684">
          <cell r="J684">
            <v>4058.8519999999999</v>
          </cell>
          <cell r="K684">
            <v>648.88</v>
          </cell>
        </row>
        <row r="685">
          <cell r="J685">
            <v>0</v>
          </cell>
          <cell r="K685">
            <v>0</v>
          </cell>
        </row>
        <row r="687">
          <cell r="J687">
            <v>0</v>
          </cell>
          <cell r="K687">
            <v>0</v>
          </cell>
          <cell r="L687">
            <v>0</v>
          </cell>
        </row>
        <row r="689">
          <cell r="J689">
            <v>38155.259999999995</v>
          </cell>
          <cell r="K689">
            <v>100</v>
          </cell>
        </row>
        <row r="690">
          <cell r="J690">
            <v>4948.8</v>
          </cell>
          <cell r="K690">
            <v>0</v>
          </cell>
        </row>
        <row r="691">
          <cell r="J691">
            <v>749.9</v>
          </cell>
          <cell r="K691">
            <v>0</v>
          </cell>
        </row>
        <row r="692">
          <cell r="J692">
            <v>0</v>
          </cell>
          <cell r="K692">
            <v>0</v>
          </cell>
        </row>
        <row r="694">
          <cell r="J694">
            <v>0</v>
          </cell>
          <cell r="K694">
            <v>0</v>
          </cell>
          <cell r="L694">
            <v>0</v>
          </cell>
        </row>
        <row r="696">
          <cell r="J696">
            <v>1593.18</v>
          </cell>
          <cell r="K696">
            <v>0</v>
          </cell>
        </row>
        <row r="697">
          <cell r="J697">
            <v>6711.6473999999998</v>
          </cell>
          <cell r="K697">
            <v>212.857</v>
          </cell>
        </row>
        <row r="698">
          <cell r="J698">
            <v>44962.2</v>
          </cell>
          <cell r="K698">
            <v>725.70600000000002</v>
          </cell>
        </row>
        <row r="699">
          <cell r="J699">
            <v>10903.6</v>
          </cell>
          <cell r="K699">
            <v>0</v>
          </cell>
        </row>
        <row r="700">
          <cell r="J700">
            <v>1997.3809999999999</v>
          </cell>
          <cell r="K70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 1"/>
      <sheetName val="Прил 2"/>
      <sheetName val="прил 8 (разд, подразд)"/>
      <sheetName val="10 прил(гл.расп,расх)"/>
      <sheetName val="Прилож.14 (кап стр)"/>
      <sheetName val="пРИЛ 15 ПУБЛИЧН."/>
      <sheetName val="Приложение 17 (2011)"/>
      <sheetName val="прилож &quot;20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34"/>
  <sheetViews>
    <sheetView view="pageBreakPreview" zoomScaleSheetLayoutView="100" workbookViewId="0">
      <selection activeCell="B3" sqref="B3:G3"/>
    </sheetView>
  </sheetViews>
  <sheetFormatPr defaultRowHeight="12"/>
  <cols>
    <col min="1" max="1" width="50.28515625" style="485" customWidth="1"/>
    <col min="2" max="2" width="26.28515625" style="489" customWidth="1"/>
    <col min="3" max="3" width="24.7109375" style="508" hidden="1" customWidth="1"/>
    <col min="4" max="4" width="20.5703125" style="486" hidden="1" customWidth="1"/>
    <col min="5" max="5" width="17.85546875" style="486" hidden="1" customWidth="1"/>
    <col min="6" max="6" width="24.7109375" style="508" hidden="1" customWidth="1"/>
    <col min="7" max="7" width="12.5703125" style="486" customWidth="1"/>
    <col min="8" max="256" width="9.140625" style="486"/>
    <col min="257" max="257" width="50.28515625" style="486" customWidth="1"/>
    <col min="258" max="258" width="26.28515625" style="486" customWidth="1"/>
    <col min="259" max="262" width="0" style="486" hidden="1" customWidth="1"/>
    <col min="263" max="263" width="12.5703125" style="486" customWidth="1"/>
    <col min="264" max="512" width="9.140625" style="486"/>
    <col min="513" max="513" width="50.28515625" style="486" customWidth="1"/>
    <col min="514" max="514" width="26.28515625" style="486" customWidth="1"/>
    <col min="515" max="518" width="0" style="486" hidden="1" customWidth="1"/>
    <col min="519" max="519" width="12.5703125" style="486" customWidth="1"/>
    <col min="520" max="768" width="9.140625" style="486"/>
    <col min="769" max="769" width="50.28515625" style="486" customWidth="1"/>
    <col min="770" max="770" width="26.28515625" style="486" customWidth="1"/>
    <col min="771" max="774" width="0" style="486" hidden="1" customWidth="1"/>
    <col min="775" max="775" width="12.5703125" style="486" customWidth="1"/>
    <col min="776" max="1024" width="9.140625" style="486"/>
    <col min="1025" max="1025" width="50.28515625" style="486" customWidth="1"/>
    <col min="1026" max="1026" width="26.28515625" style="486" customWidth="1"/>
    <col min="1027" max="1030" width="0" style="486" hidden="1" customWidth="1"/>
    <col min="1031" max="1031" width="12.5703125" style="486" customWidth="1"/>
    <col min="1032" max="1280" width="9.140625" style="486"/>
    <col min="1281" max="1281" width="50.28515625" style="486" customWidth="1"/>
    <col min="1282" max="1282" width="26.28515625" style="486" customWidth="1"/>
    <col min="1283" max="1286" width="0" style="486" hidden="1" customWidth="1"/>
    <col min="1287" max="1287" width="12.5703125" style="486" customWidth="1"/>
    <col min="1288" max="1536" width="9.140625" style="486"/>
    <col min="1537" max="1537" width="50.28515625" style="486" customWidth="1"/>
    <col min="1538" max="1538" width="26.28515625" style="486" customWidth="1"/>
    <col min="1539" max="1542" width="0" style="486" hidden="1" customWidth="1"/>
    <col min="1543" max="1543" width="12.5703125" style="486" customWidth="1"/>
    <col min="1544" max="1792" width="9.140625" style="486"/>
    <col min="1793" max="1793" width="50.28515625" style="486" customWidth="1"/>
    <col min="1794" max="1794" width="26.28515625" style="486" customWidth="1"/>
    <col min="1795" max="1798" width="0" style="486" hidden="1" customWidth="1"/>
    <col min="1799" max="1799" width="12.5703125" style="486" customWidth="1"/>
    <col min="1800" max="2048" width="9.140625" style="486"/>
    <col min="2049" max="2049" width="50.28515625" style="486" customWidth="1"/>
    <col min="2050" max="2050" width="26.28515625" style="486" customWidth="1"/>
    <col min="2051" max="2054" width="0" style="486" hidden="1" customWidth="1"/>
    <col min="2055" max="2055" width="12.5703125" style="486" customWidth="1"/>
    <col min="2056" max="2304" width="9.140625" style="486"/>
    <col min="2305" max="2305" width="50.28515625" style="486" customWidth="1"/>
    <col min="2306" max="2306" width="26.28515625" style="486" customWidth="1"/>
    <col min="2307" max="2310" width="0" style="486" hidden="1" customWidth="1"/>
    <col min="2311" max="2311" width="12.5703125" style="486" customWidth="1"/>
    <col min="2312" max="2560" width="9.140625" style="486"/>
    <col min="2561" max="2561" width="50.28515625" style="486" customWidth="1"/>
    <col min="2562" max="2562" width="26.28515625" style="486" customWidth="1"/>
    <col min="2563" max="2566" width="0" style="486" hidden="1" customWidth="1"/>
    <col min="2567" max="2567" width="12.5703125" style="486" customWidth="1"/>
    <col min="2568" max="2816" width="9.140625" style="486"/>
    <col min="2817" max="2817" width="50.28515625" style="486" customWidth="1"/>
    <col min="2818" max="2818" width="26.28515625" style="486" customWidth="1"/>
    <col min="2819" max="2822" width="0" style="486" hidden="1" customWidth="1"/>
    <col min="2823" max="2823" width="12.5703125" style="486" customWidth="1"/>
    <col min="2824" max="3072" width="9.140625" style="486"/>
    <col min="3073" max="3073" width="50.28515625" style="486" customWidth="1"/>
    <col min="3074" max="3074" width="26.28515625" style="486" customWidth="1"/>
    <col min="3075" max="3078" width="0" style="486" hidden="1" customWidth="1"/>
    <col min="3079" max="3079" width="12.5703125" style="486" customWidth="1"/>
    <col min="3080" max="3328" width="9.140625" style="486"/>
    <col min="3329" max="3329" width="50.28515625" style="486" customWidth="1"/>
    <col min="3330" max="3330" width="26.28515625" style="486" customWidth="1"/>
    <col min="3331" max="3334" width="0" style="486" hidden="1" customWidth="1"/>
    <col min="3335" max="3335" width="12.5703125" style="486" customWidth="1"/>
    <col min="3336" max="3584" width="9.140625" style="486"/>
    <col min="3585" max="3585" width="50.28515625" style="486" customWidth="1"/>
    <col min="3586" max="3586" width="26.28515625" style="486" customWidth="1"/>
    <col min="3587" max="3590" width="0" style="486" hidden="1" customWidth="1"/>
    <col min="3591" max="3591" width="12.5703125" style="486" customWidth="1"/>
    <col min="3592" max="3840" width="9.140625" style="486"/>
    <col min="3841" max="3841" width="50.28515625" style="486" customWidth="1"/>
    <col min="3842" max="3842" width="26.28515625" style="486" customWidth="1"/>
    <col min="3843" max="3846" width="0" style="486" hidden="1" customWidth="1"/>
    <col min="3847" max="3847" width="12.5703125" style="486" customWidth="1"/>
    <col min="3848" max="4096" width="9.140625" style="486"/>
    <col min="4097" max="4097" width="50.28515625" style="486" customWidth="1"/>
    <col min="4098" max="4098" width="26.28515625" style="486" customWidth="1"/>
    <col min="4099" max="4102" width="0" style="486" hidden="1" customWidth="1"/>
    <col min="4103" max="4103" width="12.5703125" style="486" customWidth="1"/>
    <col min="4104" max="4352" width="9.140625" style="486"/>
    <col min="4353" max="4353" width="50.28515625" style="486" customWidth="1"/>
    <col min="4354" max="4354" width="26.28515625" style="486" customWidth="1"/>
    <col min="4355" max="4358" width="0" style="486" hidden="1" customWidth="1"/>
    <col min="4359" max="4359" width="12.5703125" style="486" customWidth="1"/>
    <col min="4360" max="4608" width="9.140625" style="486"/>
    <col min="4609" max="4609" width="50.28515625" style="486" customWidth="1"/>
    <col min="4610" max="4610" width="26.28515625" style="486" customWidth="1"/>
    <col min="4611" max="4614" width="0" style="486" hidden="1" customWidth="1"/>
    <col min="4615" max="4615" width="12.5703125" style="486" customWidth="1"/>
    <col min="4616" max="4864" width="9.140625" style="486"/>
    <col min="4865" max="4865" width="50.28515625" style="486" customWidth="1"/>
    <col min="4866" max="4866" width="26.28515625" style="486" customWidth="1"/>
    <col min="4867" max="4870" width="0" style="486" hidden="1" customWidth="1"/>
    <col min="4871" max="4871" width="12.5703125" style="486" customWidth="1"/>
    <col min="4872" max="5120" width="9.140625" style="486"/>
    <col min="5121" max="5121" width="50.28515625" style="486" customWidth="1"/>
    <col min="5122" max="5122" width="26.28515625" style="486" customWidth="1"/>
    <col min="5123" max="5126" width="0" style="486" hidden="1" customWidth="1"/>
    <col min="5127" max="5127" width="12.5703125" style="486" customWidth="1"/>
    <col min="5128" max="5376" width="9.140625" style="486"/>
    <col min="5377" max="5377" width="50.28515625" style="486" customWidth="1"/>
    <col min="5378" max="5378" width="26.28515625" style="486" customWidth="1"/>
    <col min="5379" max="5382" width="0" style="486" hidden="1" customWidth="1"/>
    <col min="5383" max="5383" width="12.5703125" style="486" customWidth="1"/>
    <col min="5384" max="5632" width="9.140625" style="486"/>
    <col min="5633" max="5633" width="50.28515625" style="486" customWidth="1"/>
    <col min="5634" max="5634" width="26.28515625" style="486" customWidth="1"/>
    <col min="5635" max="5638" width="0" style="486" hidden="1" customWidth="1"/>
    <col min="5639" max="5639" width="12.5703125" style="486" customWidth="1"/>
    <col min="5640" max="5888" width="9.140625" style="486"/>
    <col min="5889" max="5889" width="50.28515625" style="486" customWidth="1"/>
    <col min="5890" max="5890" width="26.28515625" style="486" customWidth="1"/>
    <col min="5891" max="5894" width="0" style="486" hidden="1" customWidth="1"/>
    <col min="5895" max="5895" width="12.5703125" style="486" customWidth="1"/>
    <col min="5896" max="6144" width="9.140625" style="486"/>
    <col min="6145" max="6145" width="50.28515625" style="486" customWidth="1"/>
    <col min="6146" max="6146" width="26.28515625" style="486" customWidth="1"/>
    <col min="6147" max="6150" width="0" style="486" hidden="1" customWidth="1"/>
    <col min="6151" max="6151" width="12.5703125" style="486" customWidth="1"/>
    <col min="6152" max="6400" width="9.140625" style="486"/>
    <col min="6401" max="6401" width="50.28515625" style="486" customWidth="1"/>
    <col min="6402" max="6402" width="26.28515625" style="486" customWidth="1"/>
    <col min="6403" max="6406" width="0" style="486" hidden="1" customWidth="1"/>
    <col min="6407" max="6407" width="12.5703125" style="486" customWidth="1"/>
    <col min="6408" max="6656" width="9.140625" style="486"/>
    <col min="6657" max="6657" width="50.28515625" style="486" customWidth="1"/>
    <col min="6658" max="6658" width="26.28515625" style="486" customWidth="1"/>
    <col min="6659" max="6662" width="0" style="486" hidden="1" customWidth="1"/>
    <col min="6663" max="6663" width="12.5703125" style="486" customWidth="1"/>
    <col min="6664" max="6912" width="9.140625" style="486"/>
    <col min="6913" max="6913" width="50.28515625" style="486" customWidth="1"/>
    <col min="6914" max="6914" width="26.28515625" style="486" customWidth="1"/>
    <col min="6915" max="6918" width="0" style="486" hidden="1" customWidth="1"/>
    <col min="6919" max="6919" width="12.5703125" style="486" customWidth="1"/>
    <col min="6920" max="7168" width="9.140625" style="486"/>
    <col min="7169" max="7169" width="50.28515625" style="486" customWidth="1"/>
    <col min="7170" max="7170" width="26.28515625" style="486" customWidth="1"/>
    <col min="7171" max="7174" width="0" style="486" hidden="1" customWidth="1"/>
    <col min="7175" max="7175" width="12.5703125" style="486" customWidth="1"/>
    <col min="7176" max="7424" width="9.140625" style="486"/>
    <col min="7425" max="7425" width="50.28515625" style="486" customWidth="1"/>
    <col min="7426" max="7426" width="26.28515625" style="486" customWidth="1"/>
    <col min="7427" max="7430" width="0" style="486" hidden="1" customWidth="1"/>
    <col min="7431" max="7431" width="12.5703125" style="486" customWidth="1"/>
    <col min="7432" max="7680" width="9.140625" style="486"/>
    <col min="7681" max="7681" width="50.28515625" style="486" customWidth="1"/>
    <col min="7682" max="7682" width="26.28515625" style="486" customWidth="1"/>
    <col min="7683" max="7686" width="0" style="486" hidden="1" customWidth="1"/>
    <col min="7687" max="7687" width="12.5703125" style="486" customWidth="1"/>
    <col min="7688" max="7936" width="9.140625" style="486"/>
    <col min="7937" max="7937" width="50.28515625" style="486" customWidth="1"/>
    <col min="7938" max="7938" width="26.28515625" style="486" customWidth="1"/>
    <col min="7939" max="7942" width="0" style="486" hidden="1" customWidth="1"/>
    <col min="7943" max="7943" width="12.5703125" style="486" customWidth="1"/>
    <col min="7944" max="8192" width="9.140625" style="486"/>
    <col min="8193" max="8193" width="50.28515625" style="486" customWidth="1"/>
    <col min="8194" max="8194" width="26.28515625" style="486" customWidth="1"/>
    <col min="8195" max="8198" width="0" style="486" hidden="1" customWidth="1"/>
    <col min="8199" max="8199" width="12.5703125" style="486" customWidth="1"/>
    <col min="8200" max="8448" width="9.140625" style="486"/>
    <col min="8449" max="8449" width="50.28515625" style="486" customWidth="1"/>
    <col min="8450" max="8450" width="26.28515625" style="486" customWidth="1"/>
    <col min="8451" max="8454" width="0" style="486" hidden="1" customWidth="1"/>
    <col min="8455" max="8455" width="12.5703125" style="486" customWidth="1"/>
    <col min="8456" max="8704" width="9.140625" style="486"/>
    <col min="8705" max="8705" width="50.28515625" style="486" customWidth="1"/>
    <col min="8706" max="8706" width="26.28515625" style="486" customWidth="1"/>
    <col min="8707" max="8710" width="0" style="486" hidden="1" customWidth="1"/>
    <col min="8711" max="8711" width="12.5703125" style="486" customWidth="1"/>
    <col min="8712" max="8960" width="9.140625" style="486"/>
    <col min="8961" max="8961" width="50.28515625" style="486" customWidth="1"/>
    <col min="8962" max="8962" width="26.28515625" style="486" customWidth="1"/>
    <col min="8963" max="8966" width="0" style="486" hidden="1" customWidth="1"/>
    <col min="8967" max="8967" width="12.5703125" style="486" customWidth="1"/>
    <col min="8968" max="9216" width="9.140625" style="486"/>
    <col min="9217" max="9217" width="50.28515625" style="486" customWidth="1"/>
    <col min="9218" max="9218" width="26.28515625" style="486" customWidth="1"/>
    <col min="9219" max="9222" width="0" style="486" hidden="1" customWidth="1"/>
    <col min="9223" max="9223" width="12.5703125" style="486" customWidth="1"/>
    <col min="9224" max="9472" width="9.140625" style="486"/>
    <col min="9473" max="9473" width="50.28515625" style="486" customWidth="1"/>
    <col min="9474" max="9474" width="26.28515625" style="486" customWidth="1"/>
    <col min="9475" max="9478" width="0" style="486" hidden="1" customWidth="1"/>
    <col min="9479" max="9479" width="12.5703125" style="486" customWidth="1"/>
    <col min="9480" max="9728" width="9.140625" style="486"/>
    <col min="9729" max="9729" width="50.28515625" style="486" customWidth="1"/>
    <col min="9730" max="9730" width="26.28515625" style="486" customWidth="1"/>
    <col min="9731" max="9734" width="0" style="486" hidden="1" customWidth="1"/>
    <col min="9735" max="9735" width="12.5703125" style="486" customWidth="1"/>
    <col min="9736" max="9984" width="9.140625" style="486"/>
    <col min="9985" max="9985" width="50.28515625" style="486" customWidth="1"/>
    <col min="9986" max="9986" width="26.28515625" style="486" customWidth="1"/>
    <col min="9987" max="9990" width="0" style="486" hidden="1" customWidth="1"/>
    <col min="9991" max="9991" width="12.5703125" style="486" customWidth="1"/>
    <col min="9992" max="10240" width="9.140625" style="486"/>
    <col min="10241" max="10241" width="50.28515625" style="486" customWidth="1"/>
    <col min="10242" max="10242" width="26.28515625" style="486" customWidth="1"/>
    <col min="10243" max="10246" width="0" style="486" hidden="1" customWidth="1"/>
    <col min="10247" max="10247" width="12.5703125" style="486" customWidth="1"/>
    <col min="10248" max="10496" width="9.140625" style="486"/>
    <col min="10497" max="10497" width="50.28515625" style="486" customWidth="1"/>
    <col min="10498" max="10498" width="26.28515625" style="486" customWidth="1"/>
    <col min="10499" max="10502" width="0" style="486" hidden="1" customWidth="1"/>
    <col min="10503" max="10503" width="12.5703125" style="486" customWidth="1"/>
    <col min="10504" max="10752" width="9.140625" style="486"/>
    <col min="10753" max="10753" width="50.28515625" style="486" customWidth="1"/>
    <col min="10754" max="10754" width="26.28515625" style="486" customWidth="1"/>
    <col min="10755" max="10758" width="0" style="486" hidden="1" customWidth="1"/>
    <col min="10759" max="10759" width="12.5703125" style="486" customWidth="1"/>
    <col min="10760" max="11008" width="9.140625" style="486"/>
    <col min="11009" max="11009" width="50.28515625" style="486" customWidth="1"/>
    <col min="11010" max="11010" width="26.28515625" style="486" customWidth="1"/>
    <col min="11011" max="11014" width="0" style="486" hidden="1" customWidth="1"/>
    <col min="11015" max="11015" width="12.5703125" style="486" customWidth="1"/>
    <col min="11016" max="11264" width="9.140625" style="486"/>
    <col min="11265" max="11265" width="50.28515625" style="486" customWidth="1"/>
    <col min="11266" max="11266" width="26.28515625" style="486" customWidth="1"/>
    <col min="11267" max="11270" width="0" style="486" hidden="1" customWidth="1"/>
    <col min="11271" max="11271" width="12.5703125" style="486" customWidth="1"/>
    <col min="11272" max="11520" width="9.140625" style="486"/>
    <col min="11521" max="11521" width="50.28515625" style="486" customWidth="1"/>
    <col min="11522" max="11522" width="26.28515625" style="486" customWidth="1"/>
    <col min="11523" max="11526" width="0" style="486" hidden="1" customWidth="1"/>
    <col min="11527" max="11527" width="12.5703125" style="486" customWidth="1"/>
    <col min="11528" max="11776" width="9.140625" style="486"/>
    <col min="11777" max="11777" width="50.28515625" style="486" customWidth="1"/>
    <col min="11778" max="11778" width="26.28515625" style="486" customWidth="1"/>
    <col min="11779" max="11782" width="0" style="486" hidden="1" customWidth="1"/>
    <col min="11783" max="11783" width="12.5703125" style="486" customWidth="1"/>
    <col min="11784" max="12032" width="9.140625" style="486"/>
    <col min="12033" max="12033" width="50.28515625" style="486" customWidth="1"/>
    <col min="12034" max="12034" width="26.28515625" style="486" customWidth="1"/>
    <col min="12035" max="12038" width="0" style="486" hidden="1" customWidth="1"/>
    <col min="12039" max="12039" width="12.5703125" style="486" customWidth="1"/>
    <col min="12040" max="12288" width="9.140625" style="486"/>
    <col min="12289" max="12289" width="50.28515625" style="486" customWidth="1"/>
    <col min="12290" max="12290" width="26.28515625" style="486" customWidth="1"/>
    <col min="12291" max="12294" width="0" style="486" hidden="1" customWidth="1"/>
    <col min="12295" max="12295" width="12.5703125" style="486" customWidth="1"/>
    <col min="12296" max="12544" width="9.140625" style="486"/>
    <col min="12545" max="12545" width="50.28515625" style="486" customWidth="1"/>
    <col min="12546" max="12546" width="26.28515625" style="486" customWidth="1"/>
    <col min="12547" max="12550" width="0" style="486" hidden="1" customWidth="1"/>
    <col min="12551" max="12551" width="12.5703125" style="486" customWidth="1"/>
    <col min="12552" max="12800" width="9.140625" style="486"/>
    <col min="12801" max="12801" width="50.28515625" style="486" customWidth="1"/>
    <col min="12802" max="12802" width="26.28515625" style="486" customWidth="1"/>
    <col min="12803" max="12806" width="0" style="486" hidden="1" customWidth="1"/>
    <col min="12807" max="12807" width="12.5703125" style="486" customWidth="1"/>
    <col min="12808" max="13056" width="9.140625" style="486"/>
    <col min="13057" max="13057" width="50.28515625" style="486" customWidth="1"/>
    <col min="13058" max="13058" width="26.28515625" style="486" customWidth="1"/>
    <col min="13059" max="13062" width="0" style="486" hidden="1" customWidth="1"/>
    <col min="13063" max="13063" width="12.5703125" style="486" customWidth="1"/>
    <col min="13064" max="13312" width="9.140625" style="486"/>
    <col min="13313" max="13313" width="50.28515625" style="486" customWidth="1"/>
    <col min="13314" max="13314" width="26.28515625" style="486" customWidth="1"/>
    <col min="13315" max="13318" width="0" style="486" hidden="1" customWidth="1"/>
    <col min="13319" max="13319" width="12.5703125" style="486" customWidth="1"/>
    <col min="13320" max="13568" width="9.140625" style="486"/>
    <col min="13569" max="13569" width="50.28515625" style="486" customWidth="1"/>
    <col min="13570" max="13570" width="26.28515625" style="486" customWidth="1"/>
    <col min="13571" max="13574" width="0" style="486" hidden="1" customWidth="1"/>
    <col min="13575" max="13575" width="12.5703125" style="486" customWidth="1"/>
    <col min="13576" max="13824" width="9.140625" style="486"/>
    <col min="13825" max="13825" width="50.28515625" style="486" customWidth="1"/>
    <col min="13826" max="13826" width="26.28515625" style="486" customWidth="1"/>
    <col min="13827" max="13830" width="0" style="486" hidden="1" customWidth="1"/>
    <col min="13831" max="13831" width="12.5703125" style="486" customWidth="1"/>
    <col min="13832" max="14080" width="9.140625" style="486"/>
    <col min="14081" max="14081" width="50.28515625" style="486" customWidth="1"/>
    <col min="14082" max="14082" width="26.28515625" style="486" customWidth="1"/>
    <col min="14083" max="14086" width="0" style="486" hidden="1" customWidth="1"/>
    <col min="14087" max="14087" width="12.5703125" style="486" customWidth="1"/>
    <col min="14088" max="14336" width="9.140625" style="486"/>
    <col min="14337" max="14337" width="50.28515625" style="486" customWidth="1"/>
    <col min="14338" max="14338" width="26.28515625" style="486" customWidth="1"/>
    <col min="14339" max="14342" width="0" style="486" hidden="1" customWidth="1"/>
    <col min="14343" max="14343" width="12.5703125" style="486" customWidth="1"/>
    <col min="14344" max="14592" width="9.140625" style="486"/>
    <col min="14593" max="14593" width="50.28515625" style="486" customWidth="1"/>
    <col min="14594" max="14594" width="26.28515625" style="486" customWidth="1"/>
    <col min="14595" max="14598" width="0" style="486" hidden="1" customWidth="1"/>
    <col min="14599" max="14599" width="12.5703125" style="486" customWidth="1"/>
    <col min="14600" max="14848" width="9.140625" style="486"/>
    <col min="14849" max="14849" width="50.28515625" style="486" customWidth="1"/>
    <col min="14850" max="14850" width="26.28515625" style="486" customWidth="1"/>
    <col min="14851" max="14854" width="0" style="486" hidden="1" customWidth="1"/>
    <col min="14855" max="14855" width="12.5703125" style="486" customWidth="1"/>
    <col min="14856" max="15104" width="9.140625" style="486"/>
    <col min="15105" max="15105" width="50.28515625" style="486" customWidth="1"/>
    <col min="15106" max="15106" width="26.28515625" style="486" customWidth="1"/>
    <col min="15107" max="15110" width="0" style="486" hidden="1" customWidth="1"/>
    <col min="15111" max="15111" width="12.5703125" style="486" customWidth="1"/>
    <col min="15112" max="15360" width="9.140625" style="486"/>
    <col min="15361" max="15361" width="50.28515625" style="486" customWidth="1"/>
    <col min="15362" max="15362" width="26.28515625" style="486" customWidth="1"/>
    <col min="15363" max="15366" width="0" style="486" hidden="1" customWidth="1"/>
    <col min="15367" max="15367" width="12.5703125" style="486" customWidth="1"/>
    <col min="15368" max="15616" width="9.140625" style="486"/>
    <col min="15617" max="15617" width="50.28515625" style="486" customWidth="1"/>
    <col min="15618" max="15618" width="26.28515625" style="486" customWidth="1"/>
    <col min="15619" max="15622" width="0" style="486" hidden="1" customWidth="1"/>
    <col min="15623" max="15623" width="12.5703125" style="486" customWidth="1"/>
    <col min="15624" max="15872" width="9.140625" style="486"/>
    <col min="15873" max="15873" width="50.28515625" style="486" customWidth="1"/>
    <col min="15874" max="15874" width="26.28515625" style="486" customWidth="1"/>
    <col min="15875" max="15878" width="0" style="486" hidden="1" customWidth="1"/>
    <col min="15879" max="15879" width="12.5703125" style="486" customWidth="1"/>
    <col min="15880" max="16128" width="9.140625" style="486"/>
    <col min="16129" max="16129" width="50.28515625" style="486" customWidth="1"/>
    <col min="16130" max="16130" width="26.28515625" style="486" customWidth="1"/>
    <col min="16131" max="16134" width="0" style="486" hidden="1" customWidth="1"/>
    <col min="16135" max="16135" width="12.5703125" style="486" customWidth="1"/>
    <col min="16136" max="16384" width="9.140625" style="486"/>
  </cols>
  <sheetData>
    <row r="1" spans="1:8">
      <c r="B1" s="858"/>
      <c r="C1" s="858"/>
      <c r="F1" s="487"/>
    </row>
    <row r="2" spans="1:8" ht="12" customHeight="1">
      <c r="B2" s="858" t="s">
        <v>1071</v>
      </c>
      <c r="C2" s="858"/>
      <c r="F2" s="487"/>
    </row>
    <row r="3" spans="1:8" ht="66" customHeight="1">
      <c r="B3" s="860" t="s">
        <v>1245</v>
      </c>
      <c r="C3" s="860"/>
      <c r="D3" s="860"/>
      <c r="E3" s="860"/>
      <c r="F3" s="860"/>
      <c r="G3" s="860"/>
    </row>
    <row r="4" spans="1:8">
      <c r="B4" s="488"/>
      <c r="C4" s="488"/>
      <c r="D4" s="488"/>
      <c r="E4" s="488"/>
      <c r="F4" s="488"/>
    </row>
    <row r="5" spans="1:8" hidden="1">
      <c r="C5" s="490"/>
      <c r="F5" s="490"/>
    </row>
    <row r="6" spans="1:8">
      <c r="A6" s="859" t="s">
        <v>1072</v>
      </c>
      <c r="B6" s="859"/>
      <c r="C6" s="859"/>
      <c r="F6" s="487"/>
    </row>
    <row r="7" spans="1:8">
      <c r="A7" s="491"/>
      <c r="B7" s="492"/>
      <c r="C7" s="493"/>
      <c r="D7" s="486">
        <v>2011</v>
      </c>
      <c r="E7" s="486">
        <v>2012</v>
      </c>
      <c r="F7" s="493"/>
      <c r="G7" s="486" t="s">
        <v>1132</v>
      </c>
    </row>
    <row r="8" spans="1:8" ht="24">
      <c r="A8" s="494" t="s">
        <v>1073</v>
      </c>
      <c r="B8" s="495" t="s">
        <v>1074</v>
      </c>
      <c r="C8" s="496" t="s">
        <v>1075</v>
      </c>
      <c r="D8" s="496" t="s">
        <v>1075</v>
      </c>
      <c r="E8" s="497" t="s">
        <v>1075</v>
      </c>
      <c r="F8" s="496" t="s">
        <v>1075</v>
      </c>
      <c r="G8" s="498" t="s">
        <v>1133</v>
      </c>
    </row>
    <row r="9" spans="1:8">
      <c r="A9" s="499" t="s">
        <v>1076</v>
      </c>
      <c r="B9" s="500"/>
      <c r="C9" s="501">
        <f>C10</f>
        <v>2580</v>
      </c>
      <c r="D9" s="501">
        <f>D10</f>
        <v>2604</v>
      </c>
      <c r="E9" s="502">
        <f>E10</f>
        <v>2671</v>
      </c>
      <c r="F9" s="501">
        <f>F10</f>
        <v>2101.2555699999994</v>
      </c>
      <c r="G9" s="501">
        <f>G10+G34</f>
        <v>15038.402689999999</v>
      </c>
    </row>
    <row r="10" spans="1:8" ht="24">
      <c r="A10" s="499" t="s">
        <v>1077</v>
      </c>
      <c r="B10" s="500" t="s">
        <v>1078</v>
      </c>
      <c r="C10" s="501">
        <f>C11+C18+C23</f>
        <v>2580</v>
      </c>
      <c r="D10" s="501">
        <f>D11+D18+D23</f>
        <v>2604</v>
      </c>
      <c r="E10" s="502">
        <f>E11+E18+E23</f>
        <v>2671</v>
      </c>
      <c r="F10" s="501">
        <f>F11+F18+F23</f>
        <v>2101.2555699999994</v>
      </c>
      <c r="G10" s="501">
        <f>G11+G18+G23</f>
        <v>15038.402689999999</v>
      </c>
    </row>
    <row r="11" spans="1:8" ht="24" customHeight="1">
      <c r="A11" s="499" t="s">
        <v>1079</v>
      </c>
      <c r="B11" s="500" t="s">
        <v>1080</v>
      </c>
      <c r="C11" s="501">
        <f>C12+C14</f>
        <v>2700</v>
      </c>
      <c r="D11" s="501">
        <f>D12+D14</f>
        <v>1794</v>
      </c>
      <c r="E11" s="502">
        <f>E12+E14</f>
        <v>1861</v>
      </c>
      <c r="F11" s="501">
        <f>F12+F14</f>
        <v>2101.2600000000002</v>
      </c>
      <c r="G11" s="501">
        <f>G12+G14</f>
        <v>12938.402689999999</v>
      </c>
    </row>
    <row r="12" spans="1:8" ht="21" hidden="1" customHeight="1">
      <c r="A12" s="503" t="s">
        <v>1081</v>
      </c>
      <c r="B12" s="504" t="s">
        <v>1082</v>
      </c>
      <c r="C12" s="505">
        <f>C13</f>
        <v>6330</v>
      </c>
      <c r="D12" s="505">
        <f>D13</f>
        <v>6234</v>
      </c>
      <c r="E12" s="506">
        <f>E13</f>
        <v>7442</v>
      </c>
      <c r="F12" s="505">
        <f>F13</f>
        <v>2101.2600000000002</v>
      </c>
      <c r="G12" s="505">
        <f>G13</f>
        <v>0</v>
      </c>
      <c r="H12" s="507"/>
    </row>
    <row r="13" spans="1:8" ht="26.25" hidden="1" customHeight="1">
      <c r="A13" s="503" t="s">
        <v>1083</v>
      </c>
      <c r="B13" s="504" t="s">
        <v>1084</v>
      </c>
      <c r="C13" s="505">
        <f>2580+3630+120</f>
        <v>6330</v>
      </c>
      <c r="D13" s="505">
        <f>2604+3630</f>
        <v>6234</v>
      </c>
      <c r="E13" s="506">
        <f>2671+3630+1141</f>
        <v>7442</v>
      </c>
      <c r="F13" s="505">
        <v>2101.2600000000002</v>
      </c>
      <c r="G13" s="505"/>
      <c r="H13" s="507"/>
    </row>
    <row r="14" spans="1:8" ht="18" customHeight="1">
      <c r="A14" s="503" t="s">
        <v>1085</v>
      </c>
      <c r="B14" s="504" t="s">
        <v>1086</v>
      </c>
      <c r="C14" s="505">
        <f>C15</f>
        <v>-3630</v>
      </c>
      <c r="D14" s="505">
        <f>D15</f>
        <v>-4440</v>
      </c>
      <c r="E14" s="506">
        <f>E15</f>
        <v>-5581</v>
      </c>
      <c r="F14" s="505">
        <f>F15</f>
        <v>0</v>
      </c>
      <c r="G14" s="505">
        <f>G15</f>
        <v>12938.402689999999</v>
      </c>
      <c r="H14" s="507"/>
    </row>
    <row r="15" spans="1:8" ht="27" customHeight="1">
      <c r="A15" s="503" t="s">
        <v>1087</v>
      </c>
      <c r="B15" s="504" t="s">
        <v>1088</v>
      </c>
      <c r="C15" s="505">
        <v>-3630</v>
      </c>
      <c r="D15" s="505">
        <f>-3630+(-810)</f>
        <v>-4440</v>
      </c>
      <c r="E15" s="506">
        <f>-4440+(-1141)</f>
        <v>-5581</v>
      </c>
      <c r="F15" s="505"/>
      <c r="G15" s="505">
        <f>SUM(G16:G17)</f>
        <v>12938.402689999999</v>
      </c>
    </row>
    <row r="16" spans="1:8">
      <c r="A16" s="510" t="s">
        <v>1121</v>
      </c>
      <c r="B16" s="504"/>
      <c r="C16" s="505"/>
      <c r="D16" s="505"/>
      <c r="E16" s="506"/>
      <c r="F16" s="505"/>
      <c r="G16" s="505">
        <f>2943.16957+1173.65528</f>
        <v>4116.82485</v>
      </c>
    </row>
    <row r="17" spans="1:8">
      <c r="A17" s="510" t="s">
        <v>1122</v>
      </c>
      <c r="B17" s="504"/>
      <c r="C17" s="505"/>
      <c r="D17" s="505"/>
      <c r="E17" s="506"/>
      <c r="F17" s="505"/>
      <c r="G17" s="505">
        <v>8821.5778399999999</v>
      </c>
    </row>
    <row r="18" spans="1:8" ht="30" customHeight="1">
      <c r="A18" s="499" t="s">
        <v>1089</v>
      </c>
      <c r="B18" s="500" t="s">
        <v>1090</v>
      </c>
      <c r="C18" s="501">
        <f>C19+C21</f>
        <v>-1319</v>
      </c>
      <c r="D18" s="501">
        <f>D19+D21</f>
        <v>-390</v>
      </c>
      <c r="E18" s="502">
        <f>E19+E21</f>
        <v>-390</v>
      </c>
      <c r="F18" s="501">
        <f>F19+F21</f>
        <v>-1724.3344300000008</v>
      </c>
      <c r="G18" s="501">
        <f>G19+G21</f>
        <v>864.32999999999993</v>
      </c>
    </row>
    <row r="19" spans="1:8" ht="36" customHeight="1">
      <c r="A19" s="503" t="s">
        <v>1091</v>
      </c>
      <c r="B19" s="504" t="s">
        <v>1092</v>
      </c>
      <c r="C19" s="505">
        <f>C20</f>
        <v>5000</v>
      </c>
      <c r="D19" s="505">
        <f>D20</f>
        <v>5000</v>
      </c>
      <c r="E19" s="506">
        <f>E20</f>
        <v>5000</v>
      </c>
      <c r="F19" s="505">
        <f>F20</f>
        <v>2898.74</v>
      </c>
      <c r="G19" s="505">
        <f>G20</f>
        <v>2100</v>
      </c>
    </row>
    <row r="20" spans="1:8" ht="42" customHeight="1">
      <c r="A20" s="503" t="s">
        <v>1093</v>
      </c>
      <c r="B20" s="504" t="s">
        <v>1094</v>
      </c>
      <c r="C20" s="505">
        <v>5000</v>
      </c>
      <c r="D20" s="505">
        <v>5000</v>
      </c>
      <c r="E20" s="506">
        <v>5000</v>
      </c>
      <c r="F20" s="505">
        <f>5000-2101.26</f>
        <v>2898.74</v>
      </c>
      <c r="G20" s="505">
        <v>2100</v>
      </c>
    </row>
    <row r="21" spans="1:8" ht="40.5" customHeight="1">
      <c r="A21" s="503" t="s">
        <v>1095</v>
      </c>
      <c r="B21" s="504" t="s">
        <v>1096</v>
      </c>
      <c r="C21" s="505">
        <f>C22</f>
        <v>-6319</v>
      </c>
      <c r="D21" s="505">
        <f>D22</f>
        <v>-5390</v>
      </c>
      <c r="E21" s="506">
        <f>E22</f>
        <v>-5390</v>
      </c>
      <c r="F21" s="505">
        <f>F22</f>
        <v>-4623.0744300000006</v>
      </c>
      <c r="G21" s="505">
        <f>G22</f>
        <v>-1235.67</v>
      </c>
    </row>
    <row r="22" spans="1:8" ht="39" customHeight="1">
      <c r="A22" s="503" t="s">
        <v>1097</v>
      </c>
      <c r="B22" s="504" t="s">
        <v>1098</v>
      </c>
      <c r="C22" s="505">
        <f>-929+(-390)+(-5000)</f>
        <v>-6319</v>
      </c>
      <c r="D22" s="505">
        <f>(-390)+(-5000)</f>
        <v>-5390</v>
      </c>
      <c r="E22" s="506">
        <f>(-390)+(-5000)</f>
        <v>-5390</v>
      </c>
      <c r="F22" s="505">
        <f>-833-402.67443-2067.26-1354.14+34</f>
        <v>-4623.0744300000006</v>
      </c>
      <c r="G22" s="505">
        <v>-1235.67</v>
      </c>
    </row>
    <row r="23" spans="1:8" ht="24" customHeight="1">
      <c r="A23" s="499" t="s">
        <v>1099</v>
      </c>
      <c r="B23" s="500" t="s">
        <v>1100</v>
      </c>
      <c r="C23" s="501">
        <f>C24+C27</f>
        <v>1199</v>
      </c>
      <c r="D23" s="501">
        <f>D24+D27</f>
        <v>1200</v>
      </c>
      <c r="E23" s="502">
        <f>E24+E27</f>
        <v>1200</v>
      </c>
      <c r="F23" s="501">
        <f>F24+F27</f>
        <v>1724.33</v>
      </c>
      <c r="G23" s="501">
        <f>G24+G27</f>
        <v>1235.67</v>
      </c>
    </row>
    <row r="24" spans="1:8" ht="21" hidden="1" customHeight="1">
      <c r="A24" s="499" t="s">
        <v>1101</v>
      </c>
      <c r="B24" s="500" t="s">
        <v>1102</v>
      </c>
      <c r="C24" s="501">
        <f t="shared" ref="C24:G25" si="0">C25</f>
        <v>0</v>
      </c>
      <c r="D24" s="501">
        <f t="shared" si="0"/>
        <v>0</v>
      </c>
      <c r="E24" s="502">
        <f t="shared" si="0"/>
        <v>0</v>
      </c>
      <c r="F24" s="501">
        <f t="shared" si="0"/>
        <v>0</v>
      </c>
      <c r="G24" s="501">
        <f t="shared" si="0"/>
        <v>0</v>
      </c>
    </row>
    <row r="25" spans="1:8" ht="36.75" hidden="1" customHeight="1">
      <c r="A25" s="503" t="s">
        <v>1103</v>
      </c>
      <c r="B25" s="504" t="s">
        <v>1104</v>
      </c>
      <c r="C25" s="505">
        <f t="shared" si="0"/>
        <v>0</v>
      </c>
      <c r="D25" s="505">
        <f t="shared" si="0"/>
        <v>0</v>
      </c>
      <c r="E25" s="506">
        <f t="shared" si="0"/>
        <v>0</v>
      </c>
      <c r="F25" s="505">
        <f t="shared" si="0"/>
        <v>0</v>
      </c>
      <c r="G25" s="505">
        <f t="shared" si="0"/>
        <v>0</v>
      </c>
    </row>
    <row r="26" spans="1:8" ht="37.5" hidden="1" customHeight="1">
      <c r="A26" s="503" t="s">
        <v>1105</v>
      </c>
      <c r="B26" s="504" t="s">
        <v>1106</v>
      </c>
      <c r="C26" s="505"/>
      <c r="D26" s="505"/>
      <c r="E26" s="506"/>
      <c r="F26" s="505"/>
      <c r="G26" s="505"/>
    </row>
    <row r="27" spans="1:8" ht="24" customHeight="1">
      <c r="A27" s="499" t="s">
        <v>1107</v>
      </c>
      <c r="B27" s="500" t="s">
        <v>1108</v>
      </c>
      <c r="C27" s="501">
        <f>C28-C31</f>
        <v>1199</v>
      </c>
      <c r="D27" s="501">
        <f>D28-D31</f>
        <v>1200</v>
      </c>
      <c r="E27" s="502">
        <f>E28-E31</f>
        <v>1200</v>
      </c>
      <c r="F27" s="501">
        <f>F28-F31</f>
        <v>1724.33</v>
      </c>
      <c r="G27" s="501">
        <f>G28-G31</f>
        <v>1235.67</v>
      </c>
      <c r="H27" s="507"/>
    </row>
    <row r="28" spans="1:8" ht="26.25" customHeight="1">
      <c r="A28" s="503" t="s">
        <v>1109</v>
      </c>
      <c r="B28" s="504" t="s">
        <v>1110</v>
      </c>
      <c r="C28" s="505">
        <f>C29+C30</f>
        <v>1199</v>
      </c>
      <c r="D28" s="505">
        <f>D29+D30</f>
        <v>1200</v>
      </c>
      <c r="E28" s="506">
        <f>E29+E30</f>
        <v>1200</v>
      </c>
      <c r="F28" s="505">
        <f>F29+F30</f>
        <v>1724.33</v>
      </c>
      <c r="G28" s="505">
        <f>G29+G30</f>
        <v>1235.67</v>
      </c>
    </row>
    <row r="29" spans="1:8" ht="34.5" customHeight="1">
      <c r="A29" s="503" t="s">
        <v>1111</v>
      </c>
      <c r="B29" s="504" t="s">
        <v>1112</v>
      </c>
      <c r="C29" s="505">
        <f>1199</f>
        <v>1199</v>
      </c>
      <c r="D29" s="505">
        <f>1200</f>
        <v>1200</v>
      </c>
      <c r="E29" s="506">
        <v>1200</v>
      </c>
      <c r="F29" s="505">
        <v>1724.33</v>
      </c>
      <c r="G29" s="505">
        <v>1235.67</v>
      </c>
    </row>
    <row r="30" spans="1:8" ht="54.75" hidden="1" customHeight="1">
      <c r="A30" s="503" t="s">
        <v>1113</v>
      </c>
      <c r="B30" s="504" t="s">
        <v>1114</v>
      </c>
      <c r="C30" s="505">
        <v>0</v>
      </c>
      <c r="D30" s="505">
        <v>0</v>
      </c>
      <c r="E30" s="506">
        <v>0</v>
      </c>
      <c r="F30" s="505">
        <v>0</v>
      </c>
    </row>
    <row r="31" spans="1:8" ht="26.25" hidden="1" customHeight="1">
      <c r="A31" s="503" t="s">
        <v>1115</v>
      </c>
      <c r="B31" s="504" t="s">
        <v>1116</v>
      </c>
      <c r="C31" s="505">
        <f>C33+C32</f>
        <v>0</v>
      </c>
      <c r="D31" s="505">
        <f>D33+D32</f>
        <v>0</v>
      </c>
      <c r="E31" s="506">
        <f>E33+E32</f>
        <v>0</v>
      </c>
      <c r="F31" s="505">
        <f>F33+F32</f>
        <v>0</v>
      </c>
    </row>
    <row r="32" spans="1:8" ht="45" hidden="1" customHeight="1">
      <c r="A32" s="503" t="s">
        <v>1117</v>
      </c>
      <c r="B32" s="504" t="s">
        <v>1118</v>
      </c>
      <c r="C32" s="505">
        <v>0</v>
      </c>
      <c r="D32" s="505">
        <v>0</v>
      </c>
      <c r="E32" s="506">
        <v>0</v>
      </c>
      <c r="F32" s="505">
        <v>0</v>
      </c>
    </row>
    <row r="33" spans="1:7" ht="38.25" hidden="1" customHeight="1">
      <c r="A33" s="503" t="s">
        <v>1119</v>
      </c>
      <c r="B33" s="504" t="s">
        <v>1120</v>
      </c>
      <c r="C33" s="505">
        <v>0</v>
      </c>
      <c r="D33" s="505">
        <v>0</v>
      </c>
      <c r="E33" s="506">
        <v>0</v>
      </c>
      <c r="F33" s="505">
        <v>0</v>
      </c>
    </row>
    <row r="34" spans="1:7" ht="29.25" hidden="1" customHeight="1">
      <c r="A34" s="499" t="s">
        <v>1079</v>
      </c>
      <c r="B34" s="500" t="s">
        <v>1080</v>
      </c>
      <c r="G34" s="509"/>
    </row>
  </sheetData>
  <mergeCells count="4">
    <mergeCell ref="B1:C1"/>
    <mergeCell ref="B2:C2"/>
    <mergeCell ref="A6:C6"/>
    <mergeCell ref="B3:G3"/>
  </mergeCells>
  <pageMargins left="0.98425196850393704" right="0.19685039370078741" top="0.59055118110236227" bottom="0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theme="0"/>
  </sheetPr>
  <dimension ref="A1:N240"/>
  <sheetViews>
    <sheetView view="pageBreakPreview" topLeftCell="A13" zoomScale="60" workbookViewId="0">
      <selection activeCell="D4" sqref="D4:F4"/>
    </sheetView>
  </sheetViews>
  <sheetFormatPr defaultColWidth="28.140625" defaultRowHeight="12.75"/>
  <cols>
    <col min="1" max="1" width="10.5703125" style="800" customWidth="1"/>
    <col min="2" max="2" width="26.85546875" customWidth="1"/>
    <col min="3" max="3" width="45.42578125" customWidth="1"/>
    <col min="4" max="4" width="14.5703125" style="803" customWidth="1"/>
    <col min="5" max="5" width="14.28515625" style="804" customWidth="1"/>
    <col min="6" max="6" width="13.7109375" customWidth="1"/>
  </cols>
  <sheetData>
    <row r="1" spans="1:11">
      <c r="A1" s="801"/>
      <c r="B1" s="802"/>
      <c r="C1" s="802"/>
      <c r="E1" s="802"/>
    </row>
    <row r="2" spans="1:11" ht="12.75" customHeight="1">
      <c r="A2" s="801"/>
      <c r="B2" s="802"/>
      <c r="C2" s="802"/>
      <c r="D2" s="802" t="s">
        <v>617</v>
      </c>
      <c r="E2" s="805"/>
    </row>
    <row r="3" spans="1:11" ht="0.75" customHeight="1">
      <c r="A3" s="801"/>
      <c r="B3" s="802"/>
    </row>
    <row r="4" spans="1:11" ht="77.25" customHeight="1">
      <c r="A4" s="801"/>
      <c r="B4" s="802"/>
      <c r="D4" s="861" t="s">
        <v>1245</v>
      </c>
      <c r="E4" s="861"/>
      <c r="F4" s="861"/>
    </row>
    <row r="5" spans="1:11" ht="12.75" hidden="1" customHeight="1">
      <c r="A5" s="826"/>
      <c r="B5" s="802"/>
      <c r="C5" s="802"/>
    </row>
    <row r="6" spans="1:11" ht="12.75" customHeight="1">
      <c r="A6" s="801"/>
      <c r="B6" s="862" t="s">
        <v>618</v>
      </c>
      <c r="C6" s="862"/>
      <c r="D6" s="863"/>
      <c r="E6" s="806"/>
    </row>
    <row r="7" spans="1:11" s="811" customFormat="1" ht="15.75" customHeight="1">
      <c r="A7" s="807"/>
      <c r="B7" s="808"/>
      <c r="C7" s="808"/>
      <c r="D7" s="809"/>
      <c r="E7" s="810"/>
    </row>
    <row r="8" spans="1:11" s="11" customFormat="1" ht="44.25" customHeight="1">
      <c r="A8" s="812" t="s">
        <v>619</v>
      </c>
      <c r="B8" s="813" t="s">
        <v>620</v>
      </c>
      <c r="C8" s="828" t="s">
        <v>621</v>
      </c>
      <c r="D8" s="829" t="s">
        <v>622</v>
      </c>
      <c r="E8" s="829" t="s">
        <v>623</v>
      </c>
      <c r="F8" s="829" t="s">
        <v>624</v>
      </c>
    </row>
    <row r="9" spans="1:11" s="800" customFormat="1" ht="12.75" customHeight="1">
      <c r="A9" s="814">
        <v>1</v>
      </c>
      <c r="B9" s="814">
        <v>2</v>
      </c>
      <c r="C9" s="814">
        <v>3</v>
      </c>
      <c r="D9" s="814">
        <v>4</v>
      </c>
      <c r="E9" s="814">
        <v>5</v>
      </c>
      <c r="F9" s="814">
        <v>6</v>
      </c>
      <c r="J9" s="815"/>
    </row>
    <row r="10" spans="1:11" s="11" customFormat="1" ht="19.5" customHeight="1">
      <c r="A10" s="812" t="s">
        <v>625</v>
      </c>
      <c r="B10" s="813" t="s">
        <v>626</v>
      </c>
      <c r="C10" s="813" t="s">
        <v>627</v>
      </c>
      <c r="D10" s="382">
        <f>D11+D60</f>
        <v>63052.269260000001</v>
      </c>
      <c r="E10" s="382">
        <f>E11+E60</f>
        <v>7678.6693199999991</v>
      </c>
      <c r="F10" s="382">
        <f>F11+F60</f>
        <v>70730.938580000002</v>
      </c>
      <c r="J10" s="816"/>
      <c r="K10" s="816"/>
    </row>
    <row r="11" spans="1:11" s="11" customFormat="1" ht="15" customHeight="1">
      <c r="A11" s="812"/>
      <c r="B11" s="813"/>
      <c r="C11" s="813" t="s">
        <v>628</v>
      </c>
      <c r="D11" s="382">
        <f>D12+D21+D27+D37+D43</f>
        <v>47602</v>
      </c>
      <c r="E11" s="382">
        <f>E12+E21+E27+E37+E43</f>
        <v>6735.0323199999984</v>
      </c>
      <c r="F11" s="382">
        <f>F12+F21+F27+F37+F43</f>
        <v>54337.032319999998</v>
      </c>
      <c r="J11" s="816"/>
      <c r="K11" s="816"/>
    </row>
    <row r="12" spans="1:11" s="12" customFormat="1" ht="23.25" customHeight="1">
      <c r="A12" s="812" t="s">
        <v>625</v>
      </c>
      <c r="B12" s="813" t="s">
        <v>629</v>
      </c>
      <c r="C12" s="813" t="s">
        <v>630</v>
      </c>
      <c r="D12" s="382">
        <f>D13</f>
        <v>29589</v>
      </c>
      <c r="E12" s="382">
        <f>E13</f>
        <v>4435.0323199999984</v>
      </c>
      <c r="F12" s="382">
        <f>F13</f>
        <v>34024.032319999998</v>
      </c>
      <c r="J12" s="816"/>
      <c r="K12" s="816"/>
    </row>
    <row r="13" spans="1:11" s="12" customFormat="1" ht="24" customHeight="1">
      <c r="A13" s="812" t="s">
        <v>631</v>
      </c>
      <c r="B13" s="813" t="s">
        <v>632</v>
      </c>
      <c r="C13" s="813" t="s">
        <v>633</v>
      </c>
      <c r="D13" s="382">
        <f>D14+D15+D19+D18</f>
        <v>29589</v>
      </c>
      <c r="E13" s="382">
        <f>E14+E15+E19+E18</f>
        <v>4435.0323199999984</v>
      </c>
      <c r="F13" s="382">
        <f>F14+F15+F19+F18</f>
        <v>34024.032319999998</v>
      </c>
      <c r="J13" s="816"/>
      <c r="K13" s="816"/>
    </row>
    <row r="14" spans="1:11" s="11" customFormat="1" ht="75">
      <c r="A14" s="812" t="s">
        <v>631</v>
      </c>
      <c r="B14" s="813" t="s">
        <v>634</v>
      </c>
      <c r="C14" s="813" t="s">
        <v>635</v>
      </c>
      <c r="D14" s="382">
        <v>500</v>
      </c>
      <c r="E14" s="382">
        <f t="shared" ref="E14:E77" si="0">F14-D14</f>
        <v>0</v>
      </c>
      <c r="F14" s="382">
        <v>500</v>
      </c>
      <c r="J14" s="816"/>
      <c r="K14" s="816"/>
    </row>
    <row r="15" spans="1:11" s="179" customFormat="1" ht="60">
      <c r="A15" s="812" t="s">
        <v>631</v>
      </c>
      <c r="B15" s="813" t="s">
        <v>636</v>
      </c>
      <c r="C15" s="813" t="s">
        <v>637</v>
      </c>
      <c r="D15" s="382">
        <f>D16+D17</f>
        <v>29056.6</v>
      </c>
      <c r="E15" s="382">
        <f>E16+E17</f>
        <v>4435.0323199999984</v>
      </c>
      <c r="F15" s="382">
        <f>F16+F17</f>
        <v>33491.632319999997</v>
      </c>
      <c r="J15" s="816"/>
      <c r="K15" s="816"/>
    </row>
    <row r="16" spans="1:11" s="11" customFormat="1" ht="112.5" customHeight="1">
      <c r="A16" s="812" t="s">
        <v>631</v>
      </c>
      <c r="B16" s="813" t="s">
        <v>638</v>
      </c>
      <c r="C16" s="813" t="s">
        <v>639</v>
      </c>
      <c r="D16" s="382">
        <v>29031.599999999999</v>
      </c>
      <c r="E16" s="382">
        <f t="shared" si="0"/>
        <v>4435.0323199999984</v>
      </c>
      <c r="F16" s="382">
        <f>29031.6+3300-185.96+170.00057+230-1.26825+0.01+1.25+921</f>
        <v>33466.632319999997</v>
      </c>
      <c r="J16" s="816"/>
      <c r="K16" s="816"/>
    </row>
    <row r="17" spans="1:12" s="11" customFormat="1" ht="90.75" customHeight="1">
      <c r="A17" s="812" t="s">
        <v>631</v>
      </c>
      <c r="B17" s="813" t="s">
        <v>640</v>
      </c>
      <c r="C17" s="813" t="s">
        <v>641</v>
      </c>
      <c r="D17" s="382">
        <v>25</v>
      </c>
      <c r="E17" s="382">
        <f t="shared" si="0"/>
        <v>0</v>
      </c>
      <c r="F17" s="382">
        <v>25</v>
      </c>
      <c r="J17" s="816"/>
      <c r="K17" s="816"/>
    </row>
    <row r="18" spans="1:12" s="11" customFormat="1" ht="45" customHeight="1">
      <c r="A18" s="812" t="s">
        <v>631</v>
      </c>
      <c r="B18" s="813" t="s">
        <v>642</v>
      </c>
      <c r="C18" s="813" t="s">
        <v>643</v>
      </c>
      <c r="D18" s="382">
        <v>30</v>
      </c>
      <c r="E18" s="382">
        <f t="shared" si="0"/>
        <v>0</v>
      </c>
      <c r="F18" s="382">
        <v>30</v>
      </c>
      <c r="J18" s="816"/>
      <c r="K18" s="816"/>
    </row>
    <row r="19" spans="1:12" s="11" customFormat="1" ht="92.25" customHeight="1">
      <c r="A19" s="812" t="s">
        <v>631</v>
      </c>
      <c r="B19" s="813" t="s">
        <v>644</v>
      </c>
      <c r="C19" s="813" t="s">
        <v>645</v>
      </c>
      <c r="D19" s="382">
        <v>2.4</v>
      </c>
      <c r="E19" s="382">
        <f t="shared" si="0"/>
        <v>0</v>
      </c>
      <c r="F19" s="382">
        <v>2.4</v>
      </c>
      <c r="J19" s="816"/>
      <c r="K19" s="816"/>
    </row>
    <row r="20" spans="1:12" s="11" customFormat="1" ht="45" hidden="1" customHeight="1">
      <c r="A20" s="812"/>
      <c r="B20" s="813" t="s">
        <v>646</v>
      </c>
      <c r="C20" s="813" t="s">
        <v>647</v>
      </c>
      <c r="D20" s="382"/>
      <c r="E20" s="382">
        <f t="shared" si="0"/>
        <v>0</v>
      </c>
      <c r="F20" s="382"/>
      <c r="J20" s="816"/>
      <c r="K20" s="816"/>
    </row>
    <row r="21" spans="1:12" s="11" customFormat="1" ht="15">
      <c r="A21" s="812" t="s">
        <v>625</v>
      </c>
      <c r="B21" s="813" t="s">
        <v>648</v>
      </c>
      <c r="C21" s="813" t="s">
        <v>649</v>
      </c>
      <c r="D21" s="382">
        <f>D22+D25+D26</f>
        <v>12640</v>
      </c>
      <c r="E21" s="382">
        <f>E22+E25+E26</f>
        <v>500</v>
      </c>
      <c r="F21" s="382">
        <f>F22+F25+F26</f>
        <v>13140</v>
      </c>
      <c r="J21" s="816"/>
      <c r="K21" s="816"/>
    </row>
    <row r="22" spans="1:12" s="11" customFormat="1" ht="34.5" customHeight="1">
      <c r="A22" s="812" t="s">
        <v>631</v>
      </c>
      <c r="B22" s="813" t="s">
        <v>650</v>
      </c>
      <c r="C22" s="813" t="s">
        <v>651</v>
      </c>
      <c r="D22" s="382">
        <f>D23+D24</f>
        <v>5055</v>
      </c>
      <c r="E22" s="382">
        <f>E23+E24</f>
        <v>0</v>
      </c>
      <c r="F22" s="382">
        <f>F23+F24</f>
        <v>5055</v>
      </c>
      <c r="J22" s="816"/>
      <c r="K22" s="816"/>
    </row>
    <row r="23" spans="1:12" s="11" customFormat="1" ht="33.75" customHeight="1">
      <c r="A23" s="812" t="s">
        <v>631</v>
      </c>
      <c r="B23" s="813" t="s">
        <v>652</v>
      </c>
      <c r="C23" s="813" t="s">
        <v>653</v>
      </c>
      <c r="D23" s="382">
        <v>3435</v>
      </c>
      <c r="E23" s="382">
        <f t="shared" si="0"/>
        <v>0</v>
      </c>
      <c r="F23" s="382">
        <v>3435</v>
      </c>
      <c r="J23" s="816"/>
      <c r="K23" s="816"/>
    </row>
    <row r="24" spans="1:12" s="11" customFormat="1" ht="45" customHeight="1">
      <c r="A24" s="812" t="s">
        <v>631</v>
      </c>
      <c r="B24" s="813" t="s">
        <v>654</v>
      </c>
      <c r="C24" s="813" t="s">
        <v>655</v>
      </c>
      <c r="D24" s="382">
        <f>1620</f>
        <v>1620</v>
      </c>
      <c r="E24" s="382">
        <f t="shared" si="0"/>
        <v>0</v>
      </c>
      <c r="F24" s="382">
        <f>1620</f>
        <v>1620</v>
      </c>
      <c r="J24" s="816"/>
      <c r="K24" s="816"/>
    </row>
    <row r="25" spans="1:12" s="11" customFormat="1" ht="32.25" customHeight="1">
      <c r="A25" s="812" t="s">
        <v>631</v>
      </c>
      <c r="B25" s="813" t="s">
        <v>656</v>
      </c>
      <c r="C25" s="813" t="s">
        <v>657</v>
      </c>
      <c r="D25" s="382">
        <f>7113</f>
        <v>7113</v>
      </c>
      <c r="E25" s="382">
        <f t="shared" si="0"/>
        <v>500</v>
      </c>
      <c r="F25" s="382">
        <f>7113+500</f>
        <v>7613</v>
      </c>
      <c r="J25" s="816"/>
      <c r="K25" s="816"/>
    </row>
    <row r="26" spans="1:12" s="11" customFormat="1" ht="21.75" customHeight="1">
      <c r="A26" s="812" t="s">
        <v>631</v>
      </c>
      <c r="B26" s="813" t="s">
        <v>658</v>
      </c>
      <c r="C26" s="813" t="s">
        <v>659</v>
      </c>
      <c r="D26" s="382">
        <f>472</f>
        <v>472</v>
      </c>
      <c r="E26" s="382">
        <f t="shared" si="0"/>
        <v>0</v>
      </c>
      <c r="F26" s="382">
        <f>472</f>
        <v>472</v>
      </c>
      <c r="J26" s="816"/>
      <c r="K26" s="816"/>
    </row>
    <row r="27" spans="1:12" s="11" customFormat="1" ht="15">
      <c r="A27" s="812" t="s">
        <v>625</v>
      </c>
      <c r="B27" s="813" t="s">
        <v>660</v>
      </c>
      <c r="C27" s="813" t="s">
        <v>661</v>
      </c>
      <c r="D27" s="382">
        <f>D29</f>
        <v>2243</v>
      </c>
      <c r="E27" s="382">
        <f>E29</f>
        <v>500</v>
      </c>
      <c r="F27" s="382">
        <f>F29</f>
        <v>2743</v>
      </c>
      <c r="J27" s="816"/>
      <c r="K27" s="816"/>
    </row>
    <row r="28" spans="1:12" s="11" customFormat="1" ht="30" hidden="1" customHeight="1">
      <c r="A28" s="812"/>
      <c r="B28" s="813" t="s">
        <v>662</v>
      </c>
      <c r="C28" s="813" t="s">
        <v>663</v>
      </c>
      <c r="D28" s="382"/>
      <c r="E28" s="382"/>
      <c r="F28" s="382"/>
      <c r="J28" s="816"/>
      <c r="K28" s="816"/>
    </row>
    <row r="29" spans="1:12" s="179" customFormat="1" ht="15">
      <c r="A29" s="812" t="s">
        <v>631</v>
      </c>
      <c r="B29" s="813" t="s">
        <v>664</v>
      </c>
      <c r="C29" s="813" t="s">
        <v>665</v>
      </c>
      <c r="D29" s="382">
        <f>SUM(D30:D31)</f>
        <v>2243</v>
      </c>
      <c r="E29" s="382">
        <f>SUM(E30:E31)</f>
        <v>500</v>
      </c>
      <c r="F29" s="382">
        <f>SUM(F30:F31)</f>
        <v>2743</v>
      </c>
      <c r="J29" s="816"/>
      <c r="K29" s="816"/>
    </row>
    <row r="30" spans="1:12" s="11" customFormat="1" ht="34.5" customHeight="1">
      <c r="A30" s="812" t="s">
        <v>631</v>
      </c>
      <c r="B30" s="813" t="s">
        <v>666</v>
      </c>
      <c r="C30" s="813" t="s">
        <v>667</v>
      </c>
      <c r="D30" s="382">
        <v>2242</v>
      </c>
      <c r="E30" s="382">
        <f t="shared" si="0"/>
        <v>500</v>
      </c>
      <c r="F30" s="382">
        <f>2242+500</f>
        <v>2742</v>
      </c>
      <c r="J30" s="816"/>
      <c r="K30" s="816"/>
      <c r="L30" s="816"/>
    </row>
    <row r="31" spans="1:12" s="11" customFormat="1" ht="33.75" customHeight="1">
      <c r="A31" s="812" t="s">
        <v>631</v>
      </c>
      <c r="B31" s="813" t="s">
        <v>668</v>
      </c>
      <c r="C31" s="813" t="s">
        <v>669</v>
      </c>
      <c r="D31" s="382">
        <v>1</v>
      </c>
      <c r="E31" s="382">
        <f t="shared" si="0"/>
        <v>0</v>
      </c>
      <c r="F31" s="382">
        <v>1</v>
      </c>
      <c r="J31" s="816"/>
      <c r="K31" s="816"/>
    </row>
    <row r="32" spans="1:12" s="179" customFormat="1" ht="15" hidden="1" customHeight="1">
      <c r="A32" s="812" t="s">
        <v>631</v>
      </c>
      <c r="B32" s="813" t="s">
        <v>670</v>
      </c>
      <c r="C32" s="813" t="s">
        <v>671</v>
      </c>
      <c r="D32" s="382">
        <v>0</v>
      </c>
      <c r="E32" s="382">
        <f t="shared" si="0"/>
        <v>0</v>
      </c>
      <c r="F32" s="382">
        <v>0</v>
      </c>
      <c r="J32" s="816"/>
      <c r="K32" s="816"/>
    </row>
    <row r="33" spans="1:11" s="11" customFormat="1" ht="15" hidden="1" customHeight="1">
      <c r="A33" s="812" t="s">
        <v>631</v>
      </c>
      <c r="B33" s="813" t="s">
        <v>672</v>
      </c>
      <c r="C33" s="813" t="s">
        <v>673</v>
      </c>
      <c r="D33" s="382">
        <v>0</v>
      </c>
      <c r="E33" s="382">
        <f t="shared" si="0"/>
        <v>0</v>
      </c>
      <c r="F33" s="382">
        <v>0</v>
      </c>
      <c r="J33" s="816"/>
      <c r="K33" s="816"/>
    </row>
    <row r="34" spans="1:11" s="11" customFormat="1" ht="15" hidden="1" customHeight="1">
      <c r="A34" s="812" t="s">
        <v>631</v>
      </c>
      <c r="B34" s="813" t="s">
        <v>674</v>
      </c>
      <c r="C34" s="813" t="s">
        <v>675</v>
      </c>
      <c r="D34" s="382">
        <v>0</v>
      </c>
      <c r="E34" s="382">
        <f t="shared" si="0"/>
        <v>0</v>
      </c>
      <c r="F34" s="382">
        <v>0</v>
      </c>
      <c r="J34" s="816"/>
      <c r="K34" s="816"/>
    </row>
    <row r="35" spans="1:11" s="11" customFormat="1" ht="30" hidden="1" customHeight="1">
      <c r="A35" s="812"/>
      <c r="B35" s="813" t="s">
        <v>676</v>
      </c>
      <c r="C35" s="813" t="s">
        <v>677</v>
      </c>
      <c r="D35" s="382"/>
      <c r="E35" s="382">
        <f t="shared" si="0"/>
        <v>0</v>
      </c>
      <c r="F35" s="382"/>
      <c r="J35" s="816"/>
      <c r="K35" s="816"/>
    </row>
    <row r="36" spans="1:11" s="11" customFormat="1" ht="30" hidden="1" customHeight="1">
      <c r="A36" s="812"/>
      <c r="B36" s="813" t="s">
        <v>678</v>
      </c>
      <c r="C36" s="813" t="s">
        <v>679</v>
      </c>
      <c r="D36" s="382"/>
      <c r="E36" s="382">
        <f t="shared" si="0"/>
        <v>0</v>
      </c>
      <c r="F36" s="382"/>
      <c r="J36" s="816"/>
      <c r="K36" s="816"/>
    </row>
    <row r="37" spans="1:11" s="11" customFormat="1" ht="45">
      <c r="A37" s="812" t="s">
        <v>625</v>
      </c>
      <c r="B37" s="813" t="s">
        <v>680</v>
      </c>
      <c r="C37" s="813" t="s">
        <v>681</v>
      </c>
      <c r="D37" s="382">
        <f t="shared" ref="D37:F38" si="1">SUM(D38)</f>
        <v>150</v>
      </c>
      <c r="E37" s="382">
        <f t="shared" si="1"/>
        <v>0</v>
      </c>
      <c r="F37" s="382">
        <f t="shared" si="1"/>
        <v>150</v>
      </c>
      <c r="J37" s="816"/>
      <c r="K37" s="816"/>
    </row>
    <row r="38" spans="1:11" s="11" customFormat="1" ht="15">
      <c r="A38" s="812" t="s">
        <v>631</v>
      </c>
      <c r="B38" s="813" t="s">
        <v>682</v>
      </c>
      <c r="C38" s="813" t="s">
        <v>683</v>
      </c>
      <c r="D38" s="382">
        <f t="shared" si="1"/>
        <v>150</v>
      </c>
      <c r="E38" s="382">
        <f t="shared" si="1"/>
        <v>0</v>
      </c>
      <c r="F38" s="382">
        <f t="shared" si="1"/>
        <v>150</v>
      </c>
      <c r="J38" s="816"/>
      <c r="K38" s="816"/>
    </row>
    <row r="39" spans="1:11" s="11" customFormat="1" ht="35.25" customHeight="1">
      <c r="A39" s="812" t="s">
        <v>631</v>
      </c>
      <c r="B39" s="813" t="s">
        <v>684</v>
      </c>
      <c r="C39" s="813" t="s">
        <v>685</v>
      </c>
      <c r="D39" s="382">
        <v>150</v>
      </c>
      <c r="E39" s="382">
        <f t="shared" si="0"/>
        <v>0</v>
      </c>
      <c r="F39" s="382">
        <v>150</v>
      </c>
      <c r="J39" s="816"/>
      <c r="K39" s="816"/>
    </row>
    <row r="40" spans="1:11" s="11" customFormat="1" ht="45" hidden="1" customHeight="1">
      <c r="A40" s="812"/>
      <c r="B40" s="813" t="s">
        <v>686</v>
      </c>
      <c r="C40" s="813" t="s">
        <v>687</v>
      </c>
      <c r="D40" s="382"/>
      <c r="E40" s="382">
        <f t="shared" si="0"/>
        <v>0</v>
      </c>
      <c r="F40" s="382"/>
      <c r="J40" s="816"/>
      <c r="K40" s="816"/>
    </row>
    <row r="41" spans="1:11" s="11" customFormat="1" ht="30" hidden="1" customHeight="1">
      <c r="A41" s="812"/>
      <c r="B41" s="813" t="s">
        <v>688</v>
      </c>
      <c r="C41" s="813" t="s">
        <v>689</v>
      </c>
      <c r="D41" s="382">
        <v>0</v>
      </c>
      <c r="E41" s="382">
        <f t="shared" si="0"/>
        <v>0</v>
      </c>
      <c r="F41" s="382">
        <v>0</v>
      </c>
      <c r="J41" s="816"/>
      <c r="K41" s="816"/>
    </row>
    <row r="42" spans="1:11" s="11" customFormat="1" ht="30" hidden="1" customHeight="1">
      <c r="A42" s="812"/>
      <c r="B42" s="813" t="s">
        <v>690</v>
      </c>
      <c r="C42" s="813" t="s">
        <v>691</v>
      </c>
      <c r="D42" s="382"/>
      <c r="E42" s="382">
        <f t="shared" si="0"/>
        <v>0</v>
      </c>
      <c r="F42" s="382"/>
      <c r="J42" s="816"/>
      <c r="K42" s="816"/>
    </row>
    <row r="43" spans="1:11" s="11" customFormat="1" ht="15">
      <c r="A43" s="812" t="s">
        <v>625</v>
      </c>
      <c r="B43" s="813" t="s">
        <v>692</v>
      </c>
      <c r="C43" s="813" t="s">
        <v>693</v>
      </c>
      <c r="D43" s="382">
        <f>D44+D47</f>
        <v>2980</v>
      </c>
      <c r="E43" s="382">
        <f>E44+E47</f>
        <v>1300</v>
      </c>
      <c r="F43" s="382">
        <f>F44+F47</f>
        <v>4280</v>
      </c>
      <c r="J43" s="816"/>
      <c r="K43" s="816"/>
    </row>
    <row r="44" spans="1:11" s="11" customFormat="1" ht="45">
      <c r="A44" s="812" t="s">
        <v>625</v>
      </c>
      <c r="B44" s="813" t="s">
        <v>694</v>
      </c>
      <c r="C44" s="813" t="s">
        <v>695</v>
      </c>
      <c r="D44" s="382">
        <f>SUM(D45)</f>
        <v>500</v>
      </c>
      <c r="E44" s="382">
        <f>SUM(E45)</f>
        <v>400</v>
      </c>
      <c r="F44" s="382">
        <f>SUM(F45)</f>
        <v>900</v>
      </c>
      <c r="J44" s="816"/>
      <c r="K44" s="816"/>
    </row>
    <row r="45" spans="1:11" s="11" customFormat="1" ht="60">
      <c r="A45" s="812" t="s">
        <v>631</v>
      </c>
      <c r="B45" s="813" t="s">
        <v>696</v>
      </c>
      <c r="C45" s="813" t="s">
        <v>697</v>
      </c>
      <c r="D45" s="382">
        <f>500</f>
        <v>500</v>
      </c>
      <c r="E45" s="382">
        <f t="shared" si="0"/>
        <v>400</v>
      </c>
      <c r="F45" s="382">
        <f>500+300+100</f>
        <v>900</v>
      </c>
      <c r="J45" s="816"/>
      <c r="K45" s="816"/>
    </row>
    <row r="46" spans="1:11" s="11" customFormat="1" ht="60">
      <c r="A46" s="812"/>
      <c r="B46" s="813" t="s">
        <v>698</v>
      </c>
      <c r="C46" s="813" t="s">
        <v>699</v>
      </c>
      <c r="D46" s="382">
        <v>0</v>
      </c>
      <c r="E46" s="382">
        <f t="shared" si="0"/>
        <v>0</v>
      </c>
      <c r="F46" s="382">
        <v>0</v>
      </c>
      <c r="J46" s="816"/>
      <c r="K46" s="816"/>
    </row>
    <row r="47" spans="1:11" s="12" customFormat="1" ht="45">
      <c r="A47" s="812" t="s">
        <v>625</v>
      </c>
      <c r="B47" s="813" t="s">
        <v>700</v>
      </c>
      <c r="C47" s="813" t="s">
        <v>701</v>
      </c>
      <c r="D47" s="382">
        <f>SUM(D48:D49)+D51</f>
        <v>2480</v>
      </c>
      <c r="E47" s="382">
        <f>SUM(E48:E49)+E51</f>
        <v>900</v>
      </c>
      <c r="F47" s="382">
        <f>SUM(F48:F49)+F51</f>
        <v>3380</v>
      </c>
      <c r="J47" s="816"/>
      <c r="K47" s="816"/>
    </row>
    <row r="48" spans="1:11" s="12" customFormat="1" ht="90">
      <c r="A48" s="817" t="s">
        <v>271</v>
      </c>
      <c r="B48" s="813" t="s">
        <v>702</v>
      </c>
      <c r="C48" s="813" t="s">
        <v>703</v>
      </c>
      <c r="D48" s="382">
        <v>1480</v>
      </c>
      <c r="E48" s="382">
        <f t="shared" si="0"/>
        <v>0</v>
      </c>
      <c r="F48" s="382">
        <v>1480</v>
      </c>
      <c r="J48" s="816"/>
      <c r="K48" s="816"/>
    </row>
    <row r="49" spans="1:11" s="11" customFormat="1" ht="105.75" customHeight="1">
      <c r="A49" s="812" t="s">
        <v>625</v>
      </c>
      <c r="B49" s="813" t="s">
        <v>704</v>
      </c>
      <c r="C49" s="813" t="s">
        <v>705</v>
      </c>
      <c r="D49" s="382">
        <f>1000</f>
        <v>1000</v>
      </c>
      <c r="E49" s="382">
        <f t="shared" si="0"/>
        <v>900</v>
      </c>
      <c r="F49" s="382">
        <f>1000+800+100</f>
        <v>1900</v>
      </c>
      <c r="J49" s="816"/>
      <c r="K49" s="816"/>
    </row>
    <row r="50" spans="1:11" s="11" customFormat="1" ht="99" hidden="1" customHeight="1">
      <c r="A50" s="817" t="s">
        <v>422</v>
      </c>
      <c r="B50" s="813" t="s">
        <v>706</v>
      </c>
      <c r="C50" s="813" t="s">
        <v>705</v>
      </c>
      <c r="D50" s="382">
        <v>0</v>
      </c>
      <c r="E50" s="382">
        <f t="shared" si="0"/>
        <v>0</v>
      </c>
      <c r="F50" s="382">
        <v>0</v>
      </c>
      <c r="J50" s="816"/>
      <c r="K50" s="816"/>
    </row>
    <row r="51" spans="1:11" s="11" customFormat="1" ht="33.75" hidden="1" customHeight="1">
      <c r="A51" s="817" t="s">
        <v>271</v>
      </c>
      <c r="B51" s="813" t="s">
        <v>1123</v>
      </c>
      <c r="C51" s="813" t="s">
        <v>1124</v>
      </c>
      <c r="D51" s="382">
        <v>0</v>
      </c>
      <c r="E51" s="382">
        <f>F51-D51</f>
        <v>0</v>
      </c>
      <c r="F51" s="382">
        <v>0</v>
      </c>
      <c r="J51" s="816"/>
      <c r="K51" s="816"/>
    </row>
    <row r="52" spans="1:11" s="11" customFormat="1" ht="45" hidden="1" customHeight="1">
      <c r="A52" s="812"/>
      <c r="B52" s="813" t="s">
        <v>707</v>
      </c>
      <c r="C52" s="813" t="s">
        <v>708</v>
      </c>
      <c r="D52" s="382"/>
      <c r="E52" s="382">
        <f t="shared" si="0"/>
        <v>0</v>
      </c>
      <c r="F52" s="382"/>
      <c r="J52" s="816"/>
      <c r="K52" s="816"/>
    </row>
    <row r="53" spans="1:11" s="11" customFormat="1" ht="30" hidden="1" customHeight="1">
      <c r="A53" s="812"/>
      <c r="B53" s="813" t="s">
        <v>709</v>
      </c>
      <c r="C53" s="813" t="s">
        <v>710</v>
      </c>
      <c r="D53" s="382">
        <v>0</v>
      </c>
      <c r="E53" s="382">
        <f t="shared" si="0"/>
        <v>0</v>
      </c>
      <c r="F53" s="382">
        <v>0</v>
      </c>
      <c r="J53" s="816"/>
      <c r="K53" s="816"/>
    </row>
    <row r="54" spans="1:11" s="11" customFormat="1" ht="30" hidden="1" customHeight="1">
      <c r="A54" s="812"/>
      <c r="B54" s="813" t="s">
        <v>711</v>
      </c>
      <c r="C54" s="813" t="s">
        <v>712</v>
      </c>
      <c r="D54" s="382"/>
      <c r="E54" s="382">
        <f t="shared" si="0"/>
        <v>0</v>
      </c>
      <c r="F54" s="382"/>
      <c r="J54" s="816"/>
      <c r="K54" s="816"/>
    </row>
    <row r="55" spans="1:11" s="11" customFormat="1" ht="30" hidden="1" customHeight="1">
      <c r="A55" s="812"/>
      <c r="B55" s="813" t="s">
        <v>713</v>
      </c>
      <c r="C55" s="813" t="s">
        <v>714</v>
      </c>
      <c r="D55" s="382">
        <v>0</v>
      </c>
      <c r="E55" s="382">
        <f t="shared" si="0"/>
        <v>0</v>
      </c>
      <c r="F55" s="382">
        <v>0</v>
      </c>
      <c r="J55" s="816"/>
      <c r="K55" s="816"/>
    </row>
    <row r="56" spans="1:11" s="11" customFormat="1" ht="30" hidden="1" customHeight="1">
      <c r="A56" s="812"/>
      <c r="B56" s="813" t="s">
        <v>715</v>
      </c>
      <c r="C56" s="813" t="s">
        <v>716</v>
      </c>
      <c r="D56" s="382"/>
      <c r="E56" s="382">
        <f t="shared" si="0"/>
        <v>0</v>
      </c>
      <c r="F56" s="382"/>
      <c r="J56" s="816"/>
      <c r="K56" s="816"/>
    </row>
    <row r="57" spans="1:11" s="11" customFormat="1" ht="30" hidden="1" customHeight="1">
      <c r="A57" s="812"/>
      <c r="B57" s="813" t="s">
        <v>717</v>
      </c>
      <c r="C57" s="813" t="s">
        <v>718</v>
      </c>
      <c r="D57" s="382">
        <v>0</v>
      </c>
      <c r="E57" s="382">
        <f t="shared" si="0"/>
        <v>0</v>
      </c>
      <c r="F57" s="382">
        <v>0</v>
      </c>
      <c r="J57" s="816"/>
      <c r="K57" s="816"/>
    </row>
    <row r="58" spans="1:11" s="11" customFormat="1" ht="45" hidden="1" customHeight="1">
      <c r="A58" s="812"/>
      <c r="B58" s="813" t="s">
        <v>719</v>
      </c>
      <c r="C58" s="813" t="s">
        <v>720</v>
      </c>
      <c r="D58" s="382"/>
      <c r="E58" s="382">
        <f t="shared" si="0"/>
        <v>0</v>
      </c>
      <c r="F58" s="382"/>
      <c r="J58" s="816"/>
      <c r="K58" s="816"/>
    </row>
    <row r="59" spans="1:11" s="11" customFormat="1" ht="30" hidden="1" customHeight="1">
      <c r="A59" s="812"/>
      <c r="B59" s="813" t="s">
        <v>721</v>
      </c>
      <c r="C59" s="813" t="s">
        <v>722</v>
      </c>
      <c r="D59" s="382"/>
      <c r="E59" s="382">
        <f t="shared" si="0"/>
        <v>0</v>
      </c>
      <c r="F59" s="382"/>
      <c r="J59" s="816"/>
      <c r="K59" s="816"/>
    </row>
    <row r="60" spans="1:11" s="11" customFormat="1" ht="15" customHeight="1">
      <c r="A60" s="812"/>
      <c r="B60" s="813"/>
      <c r="C60" s="813" t="s">
        <v>723</v>
      </c>
      <c r="D60" s="382">
        <f>D61+D79+D83+D90+D108+D113+D133</f>
        <v>15450.269260000001</v>
      </c>
      <c r="E60" s="382">
        <f>E61+E79+E83+E90+E108+E113+E133</f>
        <v>943.63700000000063</v>
      </c>
      <c r="F60" s="382">
        <f>F61+F79+F83+F90+F108+F113+F133</f>
        <v>16393.90626</v>
      </c>
      <c r="J60" s="816"/>
      <c r="K60" s="816"/>
    </row>
    <row r="61" spans="1:11" s="11" customFormat="1" ht="52.5" customHeight="1">
      <c r="A61" s="812" t="s">
        <v>625</v>
      </c>
      <c r="B61" s="813" t="s">
        <v>724</v>
      </c>
      <c r="C61" s="813" t="s">
        <v>725</v>
      </c>
      <c r="D61" s="382">
        <f>D62+D64</f>
        <v>1341.7682600000001</v>
      </c>
      <c r="E61" s="382">
        <f>E62+E64</f>
        <v>0</v>
      </c>
      <c r="F61" s="382">
        <f>F62+F64</f>
        <v>1341.7682600000001</v>
      </c>
      <c r="J61" s="816"/>
      <c r="K61" s="816"/>
    </row>
    <row r="62" spans="1:11" s="11" customFormat="1" ht="30">
      <c r="A62" s="812" t="s">
        <v>625</v>
      </c>
      <c r="B62" s="813" t="s">
        <v>726</v>
      </c>
      <c r="C62" s="813" t="s">
        <v>727</v>
      </c>
      <c r="D62" s="382">
        <v>48.953449999999997</v>
      </c>
      <c r="E62" s="382">
        <f t="shared" si="0"/>
        <v>0</v>
      </c>
      <c r="F62" s="382">
        <v>48.953449999999997</v>
      </c>
      <c r="J62" s="816"/>
      <c r="K62" s="816"/>
    </row>
    <row r="63" spans="1:11" s="11" customFormat="1" ht="54" customHeight="1">
      <c r="A63" s="812" t="s">
        <v>271</v>
      </c>
      <c r="B63" s="813" t="s">
        <v>728</v>
      </c>
      <c r="C63" s="813" t="s">
        <v>729</v>
      </c>
      <c r="D63" s="382">
        <v>48.953449999999997</v>
      </c>
      <c r="E63" s="382">
        <f t="shared" si="0"/>
        <v>0</v>
      </c>
      <c r="F63" s="382">
        <v>48.953449999999997</v>
      </c>
      <c r="J63" s="816"/>
      <c r="K63" s="816"/>
    </row>
    <row r="64" spans="1:11" s="11" customFormat="1" ht="101.25" customHeight="1">
      <c r="A64" s="812" t="s">
        <v>625</v>
      </c>
      <c r="B64" s="813" t="s">
        <v>730</v>
      </c>
      <c r="C64" s="813" t="s">
        <v>731</v>
      </c>
      <c r="D64" s="382">
        <f>D65+D68</f>
        <v>1292.8148100000001</v>
      </c>
      <c r="E64" s="382">
        <f>E65+E68</f>
        <v>0</v>
      </c>
      <c r="F64" s="382">
        <f>F65+F68</f>
        <v>1292.8148100000001</v>
      </c>
      <c r="J64" s="816"/>
      <c r="K64" s="816"/>
    </row>
    <row r="65" spans="1:11" s="11" customFormat="1" ht="75.75" customHeight="1">
      <c r="A65" s="812" t="s">
        <v>625</v>
      </c>
      <c r="B65" s="813" t="s">
        <v>732</v>
      </c>
      <c r="C65" s="813" t="s">
        <v>733</v>
      </c>
      <c r="D65" s="382">
        <f>SUM(D67)</f>
        <v>849.71481000000006</v>
      </c>
      <c r="E65" s="382">
        <f>SUM(E67)</f>
        <v>0</v>
      </c>
      <c r="F65" s="382">
        <f>SUM(F67)</f>
        <v>849.71481000000006</v>
      </c>
      <c r="J65" s="816"/>
      <c r="K65" s="816"/>
    </row>
    <row r="66" spans="1:11" s="11" customFormat="1" ht="94.5" hidden="1" customHeight="1">
      <c r="A66" s="812"/>
      <c r="B66" s="813" t="s">
        <v>734</v>
      </c>
      <c r="C66" s="813" t="s">
        <v>735</v>
      </c>
      <c r="D66" s="382">
        <v>0</v>
      </c>
      <c r="E66" s="382">
        <f t="shared" si="0"/>
        <v>0</v>
      </c>
      <c r="F66" s="382">
        <v>0</v>
      </c>
      <c r="J66" s="816"/>
      <c r="K66" s="816"/>
    </row>
    <row r="67" spans="1:11" s="11" customFormat="1" ht="80.25" customHeight="1">
      <c r="A67" s="812" t="s">
        <v>271</v>
      </c>
      <c r="B67" s="813" t="s">
        <v>736</v>
      </c>
      <c r="C67" s="813" t="s">
        <v>737</v>
      </c>
      <c r="D67" s="382">
        <v>849.71481000000006</v>
      </c>
      <c r="E67" s="382"/>
      <c r="F67" s="382">
        <v>849.71481000000006</v>
      </c>
      <c r="J67" s="816"/>
      <c r="K67" s="816"/>
    </row>
    <row r="68" spans="1:11" s="11" customFormat="1" ht="104.25" customHeight="1">
      <c r="A68" s="812" t="s">
        <v>625</v>
      </c>
      <c r="B68" s="813" t="s">
        <v>738</v>
      </c>
      <c r="C68" s="813" t="s">
        <v>739</v>
      </c>
      <c r="D68" s="382">
        <f>SUM(D69)</f>
        <v>443.1</v>
      </c>
      <c r="E68" s="382">
        <f>SUM(E69)</f>
        <v>0</v>
      </c>
      <c r="F68" s="382">
        <f>SUM(F69)</f>
        <v>443.1</v>
      </c>
      <c r="J68" s="816"/>
      <c r="K68" s="816"/>
    </row>
    <row r="69" spans="1:11" s="11" customFormat="1" ht="83.25" customHeight="1">
      <c r="A69" s="812" t="s">
        <v>271</v>
      </c>
      <c r="B69" s="813" t="s">
        <v>740</v>
      </c>
      <c r="C69" s="813" t="s">
        <v>741</v>
      </c>
      <c r="D69" s="382">
        <v>443.1</v>
      </c>
      <c r="E69" s="382">
        <f t="shared" si="0"/>
        <v>0</v>
      </c>
      <c r="F69" s="382">
        <v>443.1</v>
      </c>
      <c r="J69" s="816"/>
      <c r="K69" s="816"/>
    </row>
    <row r="70" spans="1:11" s="11" customFormat="1" ht="45" hidden="1" customHeight="1">
      <c r="A70" s="812"/>
      <c r="B70" s="813" t="s">
        <v>742</v>
      </c>
      <c r="C70" s="813" t="s">
        <v>743</v>
      </c>
      <c r="D70" s="382">
        <v>0</v>
      </c>
      <c r="E70" s="382">
        <f t="shared" si="0"/>
        <v>0</v>
      </c>
      <c r="F70" s="382">
        <v>0</v>
      </c>
      <c r="J70" s="816"/>
      <c r="K70" s="816"/>
    </row>
    <row r="71" spans="1:11" s="11" customFormat="1" ht="60" hidden="1" customHeight="1">
      <c r="A71" s="812"/>
      <c r="B71" s="813" t="s">
        <v>744</v>
      </c>
      <c r="C71" s="813" t="s">
        <v>745</v>
      </c>
      <c r="D71" s="382">
        <v>0</v>
      </c>
      <c r="E71" s="382">
        <f t="shared" si="0"/>
        <v>0</v>
      </c>
      <c r="F71" s="382">
        <v>0</v>
      </c>
      <c r="J71" s="816"/>
      <c r="K71" s="816"/>
    </row>
    <row r="72" spans="1:11" s="11" customFormat="1" ht="60" hidden="1" customHeight="1">
      <c r="A72" s="812"/>
      <c r="B72" s="813" t="s">
        <v>746</v>
      </c>
      <c r="C72" s="813" t="s">
        <v>747</v>
      </c>
      <c r="D72" s="382"/>
      <c r="E72" s="382">
        <f t="shared" si="0"/>
        <v>0</v>
      </c>
      <c r="F72" s="382"/>
      <c r="J72" s="816"/>
      <c r="K72" s="816"/>
    </row>
    <row r="73" spans="1:11" s="11" customFormat="1" ht="45" hidden="1" customHeight="1">
      <c r="A73" s="812"/>
      <c r="B73" s="813" t="s">
        <v>748</v>
      </c>
      <c r="C73" s="813" t="s">
        <v>749</v>
      </c>
      <c r="D73" s="382">
        <v>0</v>
      </c>
      <c r="E73" s="382">
        <f t="shared" si="0"/>
        <v>0</v>
      </c>
      <c r="F73" s="382">
        <v>0</v>
      </c>
      <c r="J73" s="816"/>
      <c r="K73" s="816"/>
    </row>
    <row r="74" spans="1:11" s="11" customFormat="1" ht="45" hidden="1" customHeight="1">
      <c r="A74" s="812"/>
      <c r="B74" s="813" t="s">
        <v>750</v>
      </c>
      <c r="C74" s="813" t="s">
        <v>751</v>
      </c>
      <c r="D74" s="382"/>
      <c r="E74" s="382">
        <f t="shared" si="0"/>
        <v>0</v>
      </c>
      <c r="F74" s="382"/>
      <c r="J74" s="816"/>
      <c r="K74" s="816"/>
    </row>
    <row r="75" spans="1:11" s="11" customFormat="1" ht="45" hidden="1" customHeight="1">
      <c r="A75" s="812"/>
      <c r="B75" s="813" t="s">
        <v>752</v>
      </c>
      <c r="C75" s="813" t="s">
        <v>753</v>
      </c>
      <c r="D75" s="382">
        <v>0</v>
      </c>
      <c r="E75" s="382">
        <f t="shared" si="0"/>
        <v>0</v>
      </c>
      <c r="F75" s="382">
        <v>0</v>
      </c>
      <c r="J75" s="816"/>
      <c r="K75" s="816"/>
    </row>
    <row r="76" spans="1:11" s="11" customFormat="1" ht="45" hidden="1" customHeight="1">
      <c r="A76" s="812"/>
      <c r="B76" s="813" t="s">
        <v>754</v>
      </c>
      <c r="C76" s="813" t="s">
        <v>755</v>
      </c>
      <c r="D76" s="382"/>
      <c r="E76" s="382">
        <f t="shared" si="0"/>
        <v>0</v>
      </c>
      <c r="F76" s="382"/>
      <c r="J76" s="816"/>
      <c r="K76" s="816"/>
    </row>
    <row r="77" spans="1:11" s="11" customFormat="1" ht="45" hidden="1" customHeight="1">
      <c r="A77" s="812"/>
      <c r="B77" s="813" t="s">
        <v>756</v>
      </c>
      <c r="C77" s="813" t="s">
        <v>757</v>
      </c>
      <c r="D77" s="382">
        <v>0</v>
      </c>
      <c r="E77" s="382">
        <f t="shared" si="0"/>
        <v>0</v>
      </c>
      <c r="F77" s="382">
        <v>0</v>
      </c>
      <c r="J77" s="816"/>
      <c r="K77" s="816"/>
    </row>
    <row r="78" spans="1:11" s="11" customFormat="1" ht="30" hidden="1" customHeight="1">
      <c r="A78" s="812"/>
      <c r="B78" s="813" t="s">
        <v>758</v>
      </c>
      <c r="C78" s="813" t="s">
        <v>759</v>
      </c>
      <c r="D78" s="382"/>
      <c r="E78" s="382">
        <f t="shared" ref="E78:E132" si="2">F78-D78</f>
        <v>0</v>
      </c>
      <c r="F78" s="382"/>
      <c r="J78" s="816"/>
      <c r="K78" s="816"/>
    </row>
    <row r="79" spans="1:11" s="11" customFormat="1" ht="36.75" customHeight="1">
      <c r="A79" s="812" t="s">
        <v>625</v>
      </c>
      <c r="B79" s="813" t="s">
        <v>760</v>
      </c>
      <c r="C79" s="813" t="s">
        <v>761</v>
      </c>
      <c r="D79" s="382">
        <f>SUM(D80)</f>
        <v>100</v>
      </c>
      <c r="E79" s="382">
        <f>SUM(E80)</f>
        <v>0</v>
      </c>
      <c r="F79" s="382">
        <f>SUM(F80)</f>
        <v>100</v>
      </c>
      <c r="J79" s="816"/>
      <c r="K79" s="816"/>
    </row>
    <row r="80" spans="1:11" s="11" customFormat="1" ht="29.25" customHeight="1">
      <c r="A80" s="812" t="s">
        <v>762</v>
      </c>
      <c r="B80" s="813" t="s">
        <v>763</v>
      </c>
      <c r="C80" s="813" t="s">
        <v>764</v>
      </c>
      <c r="D80" s="382">
        <v>100</v>
      </c>
      <c r="E80" s="382">
        <f t="shared" si="2"/>
        <v>0</v>
      </c>
      <c r="F80" s="382">
        <v>100</v>
      </c>
      <c r="J80" s="816"/>
      <c r="K80" s="816"/>
    </row>
    <row r="81" spans="1:11" s="11" customFormat="1" ht="15" hidden="1" customHeight="1">
      <c r="A81" s="812"/>
      <c r="B81" s="813" t="s">
        <v>765</v>
      </c>
      <c r="C81" s="813" t="s">
        <v>766</v>
      </c>
      <c r="D81" s="382">
        <v>0</v>
      </c>
      <c r="E81" s="382">
        <f t="shared" si="2"/>
        <v>0</v>
      </c>
      <c r="F81" s="382">
        <v>0</v>
      </c>
      <c r="J81" s="816"/>
      <c r="K81" s="816"/>
    </row>
    <row r="82" spans="1:11" s="11" customFormat="1" ht="30" hidden="1" customHeight="1">
      <c r="A82" s="812"/>
      <c r="B82" s="813" t="s">
        <v>767</v>
      </c>
      <c r="C82" s="813" t="s">
        <v>768</v>
      </c>
      <c r="D82" s="382"/>
      <c r="E82" s="382">
        <f t="shared" si="2"/>
        <v>0</v>
      </c>
      <c r="F82" s="382"/>
      <c r="J82" s="816"/>
      <c r="K82" s="816"/>
    </row>
    <row r="83" spans="1:11" s="11" customFormat="1" ht="43.5" customHeight="1">
      <c r="A83" s="812" t="s">
        <v>625</v>
      </c>
      <c r="B83" s="813" t="s">
        <v>769</v>
      </c>
      <c r="C83" s="813" t="s">
        <v>770</v>
      </c>
      <c r="D83" s="382">
        <f>SUM(D88+D85)</f>
        <v>9282.9529999999995</v>
      </c>
      <c r="E83" s="382">
        <f>SUM(E88+E85)</f>
        <v>943.63700000000063</v>
      </c>
      <c r="F83" s="382">
        <f>SUM(F88+F85)</f>
        <v>10226.59</v>
      </c>
      <c r="J83" s="816"/>
      <c r="K83" s="816"/>
    </row>
    <row r="84" spans="1:11" s="11" customFormat="1" ht="30" hidden="1" customHeight="1">
      <c r="A84" s="812"/>
      <c r="B84" s="813" t="s">
        <v>771</v>
      </c>
      <c r="C84" s="813" t="s">
        <v>772</v>
      </c>
      <c r="D84" s="382"/>
      <c r="E84" s="382"/>
      <c r="F84" s="382"/>
      <c r="J84" s="816"/>
      <c r="K84" s="816"/>
    </row>
    <row r="85" spans="1:11" s="11" customFormat="1" ht="15" hidden="1" customHeight="1">
      <c r="A85" s="812"/>
      <c r="B85" s="813" t="s">
        <v>773</v>
      </c>
      <c r="C85" s="813" t="s">
        <v>774</v>
      </c>
      <c r="D85" s="382">
        <v>0</v>
      </c>
      <c r="E85" s="382">
        <v>0</v>
      </c>
      <c r="F85" s="382">
        <v>0</v>
      </c>
      <c r="J85" s="816"/>
      <c r="K85" s="816"/>
    </row>
    <row r="86" spans="1:11" s="11" customFormat="1" ht="30" hidden="1" customHeight="1">
      <c r="A86" s="812" t="s">
        <v>625</v>
      </c>
      <c r="B86" s="813" t="s">
        <v>775</v>
      </c>
      <c r="C86" s="813" t="s">
        <v>776</v>
      </c>
      <c r="D86" s="382">
        <v>0</v>
      </c>
      <c r="E86" s="382">
        <v>0</v>
      </c>
      <c r="F86" s="382">
        <v>0</v>
      </c>
      <c r="J86" s="816"/>
      <c r="K86" s="816"/>
    </row>
    <row r="87" spans="1:11" s="11" customFormat="1" ht="52.5" hidden="1" customHeight="1">
      <c r="A87" s="812" t="s">
        <v>271</v>
      </c>
      <c r="B87" s="813" t="s">
        <v>777</v>
      </c>
      <c r="C87" s="813" t="s">
        <v>778</v>
      </c>
      <c r="D87" s="382">
        <v>0</v>
      </c>
      <c r="E87" s="382">
        <v>0</v>
      </c>
      <c r="F87" s="382">
        <v>0</v>
      </c>
      <c r="J87" s="816"/>
      <c r="K87" s="816"/>
    </row>
    <row r="88" spans="1:11" s="11" customFormat="1" ht="30">
      <c r="A88" s="812" t="s">
        <v>625</v>
      </c>
      <c r="B88" s="813" t="s">
        <v>779</v>
      </c>
      <c r="C88" s="813" t="s">
        <v>780</v>
      </c>
      <c r="D88" s="382">
        <f>SUM(D89)</f>
        <v>9282.9529999999995</v>
      </c>
      <c r="E88" s="382">
        <f>SUM(E89)</f>
        <v>943.63700000000063</v>
      </c>
      <c r="F88" s="382">
        <f>SUM(F89)</f>
        <v>10226.59</v>
      </c>
      <c r="J88" s="816"/>
      <c r="K88" s="816"/>
    </row>
    <row r="89" spans="1:11" s="11" customFormat="1" ht="54" customHeight="1">
      <c r="A89" s="812" t="s">
        <v>271</v>
      </c>
      <c r="B89" s="813" t="s">
        <v>781</v>
      </c>
      <c r="C89" s="813" t="s">
        <v>782</v>
      </c>
      <c r="D89" s="382">
        <f>8500+782.953</f>
        <v>9282.9529999999995</v>
      </c>
      <c r="E89" s="382">
        <f t="shared" si="2"/>
        <v>943.63700000000063</v>
      </c>
      <c r="F89" s="818">
        <v>10226.59</v>
      </c>
      <c r="J89" s="816"/>
      <c r="K89" s="816"/>
    </row>
    <row r="90" spans="1:11" s="11" customFormat="1" ht="41.25" customHeight="1">
      <c r="A90" s="812" t="s">
        <v>625</v>
      </c>
      <c r="B90" s="813" t="s">
        <v>783</v>
      </c>
      <c r="C90" s="813" t="s">
        <v>784</v>
      </c>
      <c r="D90" s="382">
        <f>D93+D104</f>
        <v>1500</v>
      </c>
      <c r="E90" s="382">
        <f>E93+E104</f>
        <v>0</v>
      </c>
      <c r="F90" s="382">
        <f>F93+F104</f>
        <v>1500</v>
      </c>
      <c r="J90" s="816"/>
      <c r="K90" s="816"/>
    </row>
    <row r="91" spans="1:11" s="11" customFormat="1" ht="15" hidden="1" customHeight="1">
      <c r="A91" s="812" t="s">
        <v>625</v>
      </c>
      <c r="B91" s="813" t="s">
        <v>785</v>
      </c>
      <c r="C91" s="813" t="s">
        <v>786</v>
      </c>
      <c r="D91" s="382">
        <v>0</v>
      </c>
      <c r="E91" s="382">
        <f t="shared" si="2"/>
        <v>0</v>
      </c>
      <c r="F91" s="382">
        <v>0</v>
      </c>
      <c r="J91" s="816"/>
      <c r="K91" s="816"/>
    </row>
    <row r="92" spans="1:11" s="11" customFormat="1" ht="15" hidden="1" customHeight="1">
      <c r="A92" s="812" t="s">
        <v>625</v>
      </c>
      <c r="B92" s="813" t="s">
        <v>787</v>
      </c>
      <c r="C92" s="813" t="s">
        <v>788</v>
      </c>
      <c r="D92" s="382"/>
      <c r="E92" s="382">
        <f t="shared" si="2"/>
        <v>0</v>
      </c>
      <c r="F92" s="382"/>
      <c r="J92" s="816"/>
      <c r="K92" s="816"/>
    </row>
    <row r="93" spans="1:11" s="11" customFormat="1" ht="80.25" customHeight="1">
      <c r="A93" s="812" t="s">
        <v>625</v>
      </c>
      <c r="B93" s="813" t="s">
        <v>789</v>
      </c>
      <c r="C93" s="813" t="s">
        <v>790</v>
      </c>
      <c r="D93" s="382">
        <f>SUM(D94)</f>
        <v>500</v>
      </c>
      <c r="E93" s="382">
        <f>SUM(E94)</f>
        <v>0</v>
      </c>
      <c r="F93" s="382">
        <f>SUM(F94)</f>
        <v>500</v>
      </c>
      <c r="J93" s="816"/>
      <c r="K93" s="816"/>
    </row>
    <row r="94" spans="1:11" s="11" customFormat="1" ht="78" customHeight="1">
      <c r="A94" s="812" t="s">
        <v>625</v>
      </c>
      <c r="B94" s="813" t="s">
        <v>1129</v>
      </c>
      <c r="C94" s="813" t="s">
        <v>791</v>
      </c>
      <c r="D94" s="382">
        <f>500</f>
        <v>500</v>
      </c>
      <c r="E94" s="382">
        <f t="shared" si="2"/>
        <v>0</v>
      </c>
      <c r="F94" s="382">
        <f>500</f>
        <v>500</v>
      </c>
      <c r="J94" s="816"/>
      <c r="K94" s="816"/>
    </row>
    <row r="95" spans="1:11" s="11" customFormat="1" ht="60" hidden="1" customHeight="1">
      <c r="A95" s="812" t="s">
        <v>625</v>
      </c>
      <c r="B95" s="813" t="s">
        <v>792</v>
      </c>
      <c r="C95" s="813" t="s">
        <v>793</v>
      </c>
      <c r="D95" s="382">
        <v>0</v>
      </c>
      <c r="E95" s="382">
        <f t="shared" si="2"/>
        <v>0</v>
      </c>
      <c r="F95" s="382">
        <v>0</v>
      </c>
      <c r="J95" s="816"/>
      <c r="K95" s="816"/>
    </row>
    <row r="96" spans="1:11" s="11" customFormat="1" ht="45" hidden="1" customHeight="1">
      <c r="A96" s="812" t="s">
        <v>625</v>
      </c>
      <c r="B96" s="813" t="s">
        <v>794</v>
      </c>
      <c r="C96" s="813" t="s">
        <v>795</v>
      </c>
      <c r="D96" s="382"/>
      <c r="E96" s="382">
        <f t="shared" si="2"/>
        <v>0</v>
      </c>
      <c r="F96" s="382"/>
      <c r="J96" s="816"/>
      <c r="K96" s="816"/>
    </row>
    <row r="97" spans="1:11" s="11" customFormat="1" ht="45" hidden="1" customHeight="1">
      <c r="A97" s="812" t="s">
        <v>625</v>
      </c>
      <c r="B97" s="813" t="s">
        <v>796</v>
      </c>
      <c r="C97" s="813" t="s">
        <v>797</v>
      </c>
      <c r="D97" s="382"/>
      <c r="E97" s="382">
        <f t="shared" si="2"/>
        <v>0</v>
      </c>
      <c r="F97" s="382"/>
      <c r="J97" s="816"/>
      <c r="K97" s="816"/>
    </row>
    <row r="98" spans="1:11" s="11" customFormat="1" ht="75" hidden="1" customHeight="1">
      <c r="A98" s="812" t="s">
        <v>625</v>
      </c>
      <c r="B98" s="813" t="s">
        <v>798</v>
      </c>
      <c r="C98" s="813" t="s">
        <v>799</v>
      </c>
      <c r="D98" s="382"/>
      <c r="E98" s="382">
        <f t="shared" si="2"/>
        <v>0</v>
      </c>
      <c r="F98" s="382"/>
      <c r="J98" s="816"/>
      <c r="K98" s="816"/>
    </row>
    <row r="99" spans="1:11" s="11" customFormat="1" ht="75" hidden="1" customHeight="1">
      <c r="A99" s="812" t="s">
        <v>625</v>
      </c>
      <c r="B99" s="813" t="s">
        <v>800</v>
      </c>
      <c r="C99" s="813" t="s">
        <v>801</v>
      </c>
      <c r="D99" s="382"/>
      <c r="E99" s="382">
        <f t="shared" si="2"/>
        <v>0</v>
      </c>
      <c r="F99" s="382"/>
      <c r="J99" s="816"/>
      <c r="K99" s="816"/>
    </row>
    <row r="100" spans="1:11" s="11" customFormat="1" ht="45" hidden="1" customHeight="1">
      <c r="A100" s="817" t="s">
        <v>625</v>
      </c>
      <c r="B100" s="813" t="s">
        <v>802</v>
      </c>
      <c r="C100" s="813" t="s">
        <v>803</v>
      </c>
      <c r="D100" s="382"/>
      <c r="E100" s="382">
        <f t="shared" si="2"/>
        <v>0</v>
      </c>
      <c r="F100" s="382"/>
      <c r="J100" s="816"/>
      <c r="K100" s="816"/>
    </row>
    <row r="101" spans="1:11" s="11" customFormat="1" ht="45" hidden="1" customHeight="1">
      <c r="A101" s="817" t="s">
        <v>625</v>
      </c>
      <c r="B101" s="813" t="s">
        <v>804</v>
      </c>
      <c r="C101" s="813" t="s">
        <v>805</v>
      </c>
      <c r="D101" s="382"/>
      <c r="E101" s="382">
        <f t="shared" si="2"/>
        <v>0</v>
      </c>
      <c r="F101" s="382"/>
      <c r="J101" s="816"/>
      <c r="K101" s="816"/>
    </row>
    <row r="102" spans="1:11" s="11" customFormat="1" ht="60" hidden="1" customHeight="1">
      <c r="A102" s="812" t="s">
        <v>625</v>
      </c>
      <c r="B102" s="813" t="s">
        <v>806</v>
      </c>
      <c r="C102" s="813" t="s">
        <v>807</v>
      </c>
      <c r="D102" s="382"/>
      <c r="E102" s="382">
        <f t="shared" si="2"/>
        <v>0</v>
      </c>
      <c r="F102" s="382"/>
      <c r="J102" s="816"/>
      <c r="K102" s="816"/>
    </row>
    <row r="103" spans="1:11" s="11" customFormat="1" ht="60" hidden="1" customHeight="1">
      <c r="A103" s="812" t="s">
        <v>625</v>
      </c>
      <c r="B103" s="813" t="s">
        <v>808</v>
      </c>
      <c r="C103" s="813" t="s">
        <v>809</v>
      </c>
      <c r="D103" s="382"/>
      <c r="E103" s="382">
        <f t="shared" si="2"/>
        <v>0</v>
      </c>
      <c r="F103" s="382"/>
      <c r="J103" s="816"/>
      <c r="K103" s="816"/>
    </row>
    <row r="104" spans="1:11" s="11" customFormat="1" ht="45.75" customHeight="1">
      <c r="A104" s="812" t="s">
        <v>625</v>
      </c>
      <c r="B104" s="813" t="s">
        <v>810</v>
      </c>
      <c r="C104" s="813" t="s">
        <v>811</v>
      </c>
      <c r="D104" s="382">
        <f>SUM(D105)</f>
        <v>1000</v>
      </c>
      <c r="E104" s="382">
        <f>SUM(E105)</f>
        <v>0</v>
      </c>
      <c r="F104" s="382">
        <f>SUM(F105)</f>
        <v>1000</v>
      </c>
      <c r="J104" s="816"/>
      <c r="K104" s="816"/>
    </row>
    <row r="105" spans="1:11" s="11" customFormat="1" ht="48" customHeight="1">
      <c r="A105" s="812" t="s">
        <v>271</v>
      </c>
      <c r="B105" s="813" t="s">
        <v>812</v>
      </c>
      <c r="C105" s="813" t="s">
        <v>813</v>
      </c>
      <c r="D105" s="382">
        <f>1000</f>
        <v>1000</v>
      </c>
      <c r="E105" s="382">
        <f t="shared" si="2"/>
        <v>0</v>
      </c>
      <c r="F105" s="382">
        <f>1000</f>
        <v>1000</v>
      </c>
      <c r="J105" s="816"/>
      <c r="K105" s="816"/>
    </row>
    <row r="106" spans="1:11" s="11" customFormat="1" ht="30" hidden="1" customHeight="1">
      <c r="A106" s="812"/>
      <c r="B106" s="813" t="s">
        <v>814</v>
      </c>
      <c r="C106" s="813" t="s">
        <v>815</v>
      </c>
      <c r="D106" s="382">
        <v>0</v>
      </c>
      <c r="E106" s="382">
        <f t="shared" si="2"/>
        <v>0</v>
      </c>
      <c r="F106" s="382">
        <v>0</v>
      </c>
      <c r="J106" s="816"/>
      <c r="K106" s="816"/>
    </row>
    <row r="107" spans="1:11" s="11" customFormat="1" ht="30" hidden="1" customHeight="1">
      <c r="A107" s="812"/>
      <c r="B107" s="813" t="s">
        <v>816</v>
      </c>
      <c r="C107" s="813" t="s">
        <v>817</v>
      </c>
      <c r="D107" s="382"/>
      <c r="E107" s="382">
        <f t="shared" si="2"/>
        <v>0</v>
      </c>
      <c r="F107" s="382"/>
      <c r="J107" s="816"/>
      <c r="K107" s="816"/>
    </row>
    <row r="108" spans="1:11" s="11" customFormat="1" ht="30">
      <c r="A108" s="812" t="s">
        <v>625</v>
      </c>
      <c r="B108" s="813" t="s">
        <v>818</v>
      </c>
      <c r="C108" s="813" t="s">
        <v>819</v>
      </c>
      <c r="D108" s="382">
        <f>SUM(D111)</f>
        <v>30</v>
      </c>
      <c r="E108" s="382">
        <f>SUM(E111)</f>
        <v>0</v>
      </c>
      <c r="F108" s="382">
        <f>SUM(F111)</f>
        <v>30</v>
      </c>
      <c r="J108" s="816"/>
      <c r="K108" s="816"/>
    </row>
    <row r="109" spans="1:11" s="11" customFormat="1" ht="30" hidden="1" customHeight="1">
      <c r="A109" s="812"/>
      <c r="B109" s="813" t="s">
        <v>820</v>
      </c>
      <c r="C109" s="813" t="s">
        <v>821</v>
      </c>
      <c r="D109" s="382"/>
      <c r="E109" s="382"/>
      <c r="F109" s="382"/>
      <c r="J109" s="816"/>
      <c r="K109" s="816"/>
    </row>
    <row r="110" spans="1:11" s="11" customFormat="1" ht="30" hidden="1" customHeight="1">
      <c r="A110" s="812"/>
      <c r="B110" s="813" t="s">
        <v>822</v>
      </c>
      <c r="C110" s="813" t="s">
        <v>823</v>
      </c>
      <c r="D110" s="382"/>
      <c r="E110" s="382"/>
      <c r="F110" s="382"/>
      <c r="J110" s="816"/>
      <c r="K110" s="816"/>
    </row>
    <row r="111" spans="1:11" s="11" customFormat="1" ht="33.75" customHeight="1">
      <c r="A111" s="812" t="s">
        <v>625</v>
      </c>
      <c r="B111" s="813" t="s">
        <v>824</v>
      </c>
      <c r="C111" s="813" t="s">
        <v>825</v>
      </c>
      <c r="D111" s="382">
        <f>SUM(D112)</f>
        <v>30</v>
      </c>
      <c r="E111" s="382">
        <f>SUM(E112)</f>
        <v>0</v>
      </c>
      <c r="F111" s="382">
        <f>SUM(F112)</f>
        <v>30</v>
      </c>
      <c r="J111" s="816"/>
      <c r="K111" s="816"/>
    </row>
    <row r="112" spans="1:11" s="11" customFormat="1" ht="37.5" customHeight="1">
      <c r="A112" s="812" t="s">
        <v>271</v>
      </c>
      <c r="B112" s="813" t="s">
        <v>826</v>
      </c>
      <c r="C112" s="813" t="s">
        <v>827</v>
      </c>
      <c r="D112" s="382">
        <v>30</v>
      </c>
      <c r="E112" s="382">
        <f t="shared" si="2"/>
        <v>0</v>
      </c>
      <c r="F112" s="382">
        <v>30</v>
      </c>
      <c r="J112" s="816"/>
      <c r="K112" s="816"/>
    </row>
    <row r="113" spans="1:11" s="11" customFormat="1" ht="15" customHeight="1">
      <c r="A113" s="812" t="s">
        <v>625</v>
      </c>
      <c r="B113" s="813" t="s">
        <v>828</v>
      </c>
      <c r="C113" s="813" t="s">
        <v>829</v>
      </c>
      <c r="D113" s="382">
        <f>SUM(D114:D129)-D114-D120</f>
        <v>2445</v>
      </c>
      <c r="E113" s="382">
        <f>SUM(E114:E129)-E114-E120</f>
        <v>0</v>
      </c>
      <c r="F113" s="382">
        <f>SUM(F114:F129)-F114-F120</f>
        <v>2445</v>
      </c>
      <c r="J113" s="816"/>
      <c r="K113" s="816"/>
    </row>
    <row r="114" spans="1:11" s="11" customFormat="1" ht="37.5" customHeight="1">
      <c r="A114" s="812" t="s">
        <v>625</v>
      </c>
      <c r="B114" s="813" t="s">
        <v>830</v>
      </c>
      <c r="C114" s="813" t="s">
        <v>831</v>
      </c>
      <c r="D114" s="382">
        <f>SUM(D115:D117)</f>
        <v>50</v>
      </c>
      <c r="E114" s="382">
        <f>SUM(E115:E117)</f>
        <v>0</v>
      </c>
      <c r="F114" s="382">
        <f>SUM(F115:F117)</f>
        <v>50</v>
      </c>
      <c r="J114" s="816"/>
      <c r="K114" s="816"/>
    </row>
    <row r="115" spans="1:11" s="11" customFormat="1" ht="81.75" customHeight="1">
      <c r="A115" s="812" t="s">
        <v>631</v>
      </c>
      <c r="B115" s="813" t="s">
        <v>832</v>
      </c>
      <c r="C115" s="813" t="s">
        <v>833</v>
      </c>
      <c r="D115" s="382">
        <v>15</v>
      </c>
      <c r="E115" s="382">
        <f t="shared" si="2"/>
        <v>0</v>
      </c>
      <c r="F115" s="382">
        <v>15</v>
      </c>
      <c r="J115" s="816"/>
      <c r="K115" s="816"/>
    </row>
    <row r="116" spans="1:11" s="11" customFormat="1" ht="45" hidden="1" customHeight="1">
      <c r="A116" s="812"/>
      <c r="B116" s="813" t="s">
        <v>834</v>
      </c>
      <c r="C116" s="813" t="s">
        <v>835</v>
      </c>
      <c r="D116" s="382"/>
      <c r="E116" s="382">
        <f t="shared" si="2"/>
        <v>0</v>
      </c>
      <c r="F116" s="382"/>
      <c r="J116" s="816"/>
      <c r="K116" s="816"/>
    </row>
    <row r="117" spans="1:11" s="11" customFormat="1" ht="69.75" customHeight="1">
      <c r="A117" s="812" t="s">
        <v>631</v>
      </c>
      <c r="B117" s="813" t="s">
        <v>836</v>
      </c>
      <c r="C117" s="813" t="s">
        <v>837</v>
      </c>
      <c r="D117" s="382">
        <v>35</v>
      </c>
      <c r="E117" s="382">
        <f t="shared" si="2"/>
        <v>0</v>
      </c>
      <c r="F117" s="382">
        <v>35</v>
      </c>
      <c r="J117" s="816"/>
      <c r="K117" s="816"/>
    </row>
    <row r="118" spans="1:11" s="11" customFormat="1" ht="66.75" customHeight="1">
      <c r="A118" s="812" t="s">
        <v>625</v>
      </c>
      <c r="B118" s="813" t="s">
        <v>838</v>
      </c>
      <c r="C118" s="813" t="s">
        <v>839</v>
      </c>
      <c r="D118" s="382">
        <v>75</v>
      </c>
      <c r="E118" s="382">
        <f t="shared" si="2"/>
        <v>0</v>
      </c>
      <c r="F118" s="382">
        <v>75</v>
      </c>
      <c r="J118" s="816"/>
      <c r="K118" s="816"/>
    </row>
    <row r="119" spans="1:11" s="11" customFormat="1" ht="66" customHeight="1">
      <c r="A119" s="812" t="s">
        <v>625</v>
      </c>
      <c r="B119" s="813" t="s">
        <v>840</v>
      </c>
      <c r="C119" s="813" t="s">
        <v>841</v>
      </c>
      <c r="D119" s="382">
        <v>45</v>
      </c>
      <c r="E119" s="382">
        <f t="shared" si="2"/>
        <v>0</v>
      </c>
      <c r="F119" s="382">
        <v>45</v>
      </c>
      <c r="J119" s="816"/>
      <c r="K119" s="816"/>
    </row>
    <row r="120" spans="1:11" s="11" customFormat="1" ht="98.25" customHeight="1">
      <c r="A120" s="812" t="s">
        <v>625</v>
      </c>
      <c r="B120" s="813" t="s">
        <v>842</v>
      </c>
      <c r="C120" s="813" t="s">
        <v>843</v>
      </c>
      <c r="D120" s="382">
        <f>SUM(D121:D124)</f>
        <v>55</v>
      </c>
      <c r="E120" s="382">
        <f>SUM(E121:E124)</f>
        <v>0</v>
      </c>
      <c r="F120" s="382">
        <f>SUM(F121:F124)</f>
        <v>55</v>
      </c>
      <c r="J120" s="816"/>
      <c r="K120" s="816"/>
    </row>
    <row r="121" spans="1:11" s="11" customFormat="1" ht="30">
      <c r="A121" s="812" t="s">
        <v>625</v>
      </c>
      <c r="B121" s="813" t="s">
        <v>844</v>
      </c>
      <c r="C121" s="813" t="s">
        <v>845</v>
      </c>
      <c r="D121" s="382">
        <v>35</v>
      </c>
      <c r="E121" s="382">
        <f t="shared" si="2"/>
        <v>0</v>
      </c>
      <c r="F121" s="382">
        <v>35</v>
      </c>
      <c r="J121" s="816"/>
      <c r="K121" s="816"/>
    </row>
    <row r="122" spans="1:11" s="11" customFormat="1" ht="37.5" customHeight="1">
      <c r="A122" s="812" t="s">
        <v>625</v>
      </c>
      <c r="B122" s="813" t="s">
        <v>846</v>
      </c>
      <c r="C122" s="813" t="s">
        <v>847</v>
      </c>
      <c r="D122" s="382">
        <v>10</v>
      </c>
      <c r="E122" s="382">
        <f t="shared" si="2"/>
        <v>0</v>
      </c>
      <c r="F122" s="382">
        <v>10</v>
      </c>
      <c r="J122" s="816"/>
      <c r="K122" s="816"/>
    </row>
    <row r="123" spans="1:11" s="11" customFormat="1" ht="30.75" hidden="1" customHeight="1">
      <c r="A123" s="812" t="s">
        <v>625</v>
      </c>
      <c r="B123" s="813" t="s">
        <v>848</v>
      </c>
      <c r="C123" s="813" t="s">
        <v>849</v>
      </c>
      <c r="D123" s="382"/>
      <c r="E123" s="382">
        <f t="shared" si="2"/>
        <v>0</v>
      </c>
      <c r="F123" s="382"/>
      <c r="J123" s="816"/>
      <c r="K123" s="816"/>
    </row>
    <row r="124" spans="1:11" s="11" customFormat="1" ht="37.5" customHeight="1">
      <c r="A124" s="812" t="s">
        <v>625</v>
      </c>
      <c r="B124" s="813" t="s">
        <v>850</v>
      </c>
      <c r="C124" s="813" t="s">
        <v>851</v>
      </c>
      <c r="D124" s="382">
        <v>10</v>
      </c>
      <c r="E124" s="382">
        <f t="shared" si="2"/>
        <v>0</v>
      </c>
      <c r="F124" s="382">
        <v>10</v>
      </c>
      <c r="J124" s="816"/>
      <c r="K124" s="816"/>
    </row>
    <row r="125" spans="1:11" s="11" customFormat="1" ht="30" hidden="1" customHeight="1">
      <c r="A125" s="812"/>
      <c r="B125" s="813" t="s">
        <v>852</v>
      </c>
      <c r="C125" s="813" t="s">
        <v>853</v>
      </c>
      <c r="D125" s="382"/>
      <c r="E125" s="382">
        <f t="shared" si="2"/>
        <v>0</v>
      </c>
      <c r="F125" s="382"/>
      <c r="J125" s="816"/>
      <c r="K125" s="816"/>
    </row>
    <row r="126" spans="1:11" s="11" customFormat="1" ht="66.75" customHeight="1">
      <c r="A126" s="812" t="s">
        <v>625</v>
      </c>
      <c r="B126" s="813" t="s">
        <v>854</v>
      </c>
      <c r="C126" s="813" t="s">
        <v>855</v>
      </c>
      <c r="D126" s="382">
        <f>415</f>
        <v>415</v>
      </c>
      <c r="E126" s="382">
        <f t="shared" si="2"/>
        <v>0</v>
      </c>
      <c r="F126" s="382">
        <f>415</f>
        <v>415</v>
      </c>
      <c r="J126" s="816"/>
      <c r="K126" s="816"/>
    </row>
    <row r="127" spans="1:11" s="11" customFormat="1" ht="34.5" customHeight="1">
      <c r="A127" s="812" t="s">
        <v>625</v>
      </c>
      <c r="B127" s="813" t="s">
        <v>856</v>
      </c>
      <c r="C127" s="813" t="s">
        <v>857</v>
      </c>
      <c r="D127" s="382">
        <f>1000</f>
        <v>1000</v>
      </c>
      <c r="E127" s="382">
        <f t="shared" si="2"/>
        <v>0</v>
      </c>
      <c r="F127" s="382">
        <f>1000</f>
        <v>1000</v>
      </c>
      <c r="J127" s="816"/>
      <c r="K127" s="816"/>
    </row>
    <row r="128" spans="1:11" s="11" customFormat="1" ht="67.5" customHeight="1">
      <c r="A128" s="812" t="s">
        <v>625</v>
      </c>
      <c r="B128" s="813" t="s">
        <v>858</v>
      </c>
      <c r="C128" s="813" t="s">
        <v>859</v>
      </c>
      <c r="D128" s="382">
        <v>60</v>
      </c>
      <c r="E128" s="382">
        <f t="shared" si="2"/>
        <v>0</v>
      </c>
      <c r="F128" s="382">
        <v>60</v>
      </c>
      <c r="J128" s="816"/>
      <c r="K128" s="816"/>
    </row>
    <row r="129" spans="1:11" s="11" customFormat="1" ht="46.5" customHeight="1">
      <c r="A129" s="812" t="s">
        <v>625</v>
      </c>
      <c r="B129" s="813" t="s">
        <v>860</v>
      </c>
      <c r="C129" s="813" t="s">
        <v>861</v>
      </c>
      <c r="D129" s="382">
        <v>745</v>
      </c>
      <c r="E129" s="382">
        <f t="shared" si="2"/>
        <v>0</v>
      </c>
      <c r="F129" s="382">
        <v>745</v>
      </c>
      <c r="J129" s="816"/>
      <c r="K129" s="816"/>
    </row>
    <row r="130" spans="1:11" s="11" customFormat="1" ht="46.5" hidden="1" customHeight="1">
      <c r="A130" s="812" t="s">
        <v>271</v>
      </c>
      <c r="B130" s="813" t="s">
        <v>862</v>
      </c>
      <c r="C130" s="813" t="s">
        <v>861</v>
      </c>
      <c r="D130" s="382"/>
      <c r="E130" s="382">
        <f t="shared" si="2"/>
        <v>0</v>
      </c>
      <c r="F130" s="382"/>
      <c r="J130" s="816"/>
      <c r="K130" s="816"/>
    </row>
    <row r="131" spans="1:11" s="11" customFormat="1" ht="46.5" hidden="1" customHeight="1">
      <c r="A131" s="812" t="s">
        <v>863</v>
      </c>
      <c r="B131" s="813" t="s">
        <v>862</v>
      </c>
      <c r="C131" s="813" t="s">
        <v>861</v>
      </c>
      <c r="D131" s="382"/>
      <c r="E131" s="382">
        <f t="shared" si="2"/>
        <v>0</v>
      </c>
      <c r="F131" s="382"/>
      <c r="J131" s="816"/>
      <c r="K131" s="816"/>
    </row>
    <row r="132" spans="1:11" s="11" customFormat="1" ht="51" hidden="1" customHeight="1">
      <c r="A132" s="812" t="s">
        <v>422</v>
      </c>
      <c r="B132" s="813" t="s">
        <v>862</v>
      </c>
      <c r="C132" s="813" t="s">
        <v>861</v>
      </c>
      <c r="D132" s="382"/>
      <c r="E132" s="382">
        <f t="shared" si="2"/>
        <v>0</v>
      </c>
      <c r="F132" s="382"/>
      <c r="J132" s="816"/>
      <c r="K132" s="816"/>
    </row>
    <row r="133" spans="1:11" s="11" customFormat="1" ht="22.5" customHeight="1">
      <c r="A133" s="812" t="s">
        <v>625</v>
      </c>
      <c r="B133" s="813" t="s">
        <v>864</v>
      </c>
      <c r="C133" s="813" t="s">
        <v>865</v>
      </c>
      <c r="D133" s="382">
        <f>SUM(D137)</f>
        <v>750.548</v>
      </c>
      <c r="E133" s="382">
        <f>SUM(E137)</f>
        <v>0</v>
      </c>
      <c r="F133" s="382">
        <f>SUM(F137)</f>
        <v>750.548</v>
      </c>
      <c r="J133" s="816"/>
      <c r="K133" s="816"/>
    </row>
    <row r="134" spans="1:11" s="11" customFormat="1" ht="30" hidden="1" customHeight="1">
      <c r="A134" s="812"/>
      <c r="B134" s="813" t="s">
        <v>866</v>
      </c>
      <c r="C134" s="813" t="s">
        <v>867</v>
      </c>
      <c r="D134" s="382">
        <v>2</v>
      </c>
      <c r="E134" s="382">
        <v>1</v>
      </c>
      <c r="F134" s="382">
        <v>2</v>
      </c>
      <c r="J134" s="816"/>
      <c r="K134" s="816"/>
    </row>
    <row r="135" spans="1:11" s="11" customFormat="1" ht="30" hidden="1" customHeight="1">
      <c r="A135" s="812"/>
      <c r="B135" s="813" t="s">
        <v>868</v>
      </c>
      <c r="C135" s="813" t="s">
        <v>869</v>
      </c>
      <c r="D135" s="382"/>
      <c r="E135" s="382"/>
      <c r="F135" s="382"/>
      <c r="J135" s="816"/>
      <c r="K135" s="816"/>
    </row>
    <row r="136" spans="1:11" s="11" customFormat="1" ht="30" hidden="1" customHeight="1">
      <c r="A136" s="812"/>
      <c r="B136" s="813" t="s">
        <v>870</v>
      </c>
      <c r="C136" s="813" t="s">
        <v>871</v>
      </c>
      <c r="D136" s="382"/>
      <c r="E136" s="382"/>
      <c r="F136" s="382"/>
      <c r="J136" s="816"/>
      <c r="K136" s="816"/>
    </row>
    <row r="137" spans="1:11" s="11" customFormat="1" ht="15">
      <c r="A137" s="812" t="s">
        <v>625</v>
      </c>
      <c r="B137" s="813" t="s">
        <v>872</v>
      </c>
      <c r="C137" s="813" t="s">
        <v>873</v>
      </c>
      <c r="D137" s="382">
        <f>SUM(D138)</f>
        <v>750.548</v>
      </c>
      <c r="E137" s="382">
        <f>SUM(E138)</f>
        <v>0</v>
      </c>
      <c r="F137" s="382">
        <f>SUM(F138)</f>
        <v>750.548</v>
      </c>
      <c r="J137" s="816"/>
      <c r="K137" s="816"/>
    </row>
    <row r="138" spans="1:11" s="11" customFormat="1" ht="36" customHeight="1">
      <c r="A138" s="812" t="s">
        <v>271</v>
      </c>
      <c r="B138" s="813" t="s">
        <v>874</v>
      </c>
      <c r="C138" s="813" t="s">
        <v>875</v>
      </c>
      <c r="D138" s="382">
        <f>282.91+463.68+3.958</f>
        <v>750.548</v>
      </c>
      <c r="E138" s="382">
        <f>F138-D138</f>
        <v>0</v>
      </c>
      <c r="F138" s="382">
        <f>282.91+463.68+3.958</f>
        <v>750.548</v>
      </c>
      <c r="J138" s="816"/>
      <c r="K138" s="816"/>
    </row>
    <row r="139" spans="1:11" s="11" customFormat="1" ht="57" hidden="1" customHeight="1">
      <c r="A139" s="812" t="s">
        <v>625</v>
      </c>
      <c r="B139" s="813" t="s">
        <v>876</v>
      </c>
      <c r="C139" s="813" t="s">
        <v>877</v>
      </c>
      <c r="D139" s="382">
        <v>0</v>
      </c>
      <c r="E139" s="382">
        <f>F139-D139</f>
        <v>0</v>
      </c>
      <c r="F139" s="382">
        <v>0</v>
      </c>
      <c r="J139" s="816"/>
      <c r="K139" s="816"/>
    </row>
    <row r="140" spans="1:11" s="11" customFormat="1" ht="72" hidden="1" customHeight="1">
      <c r="A140" s="812" t="s">
        <v>271</v>
      </c>
      <c r="B140" s="813" t="s">
        <v>878</v>
      </c>
      <c r="C140" s="813" t="s">
        <v>879</v>
      </c>
      <c r="D140" s="382"/>
      <c r="E140" s="382">
        <f>F140-D140</f>
        <v>0</v>
      </c>
      <c r="F140" s="382"/>
      <c r="J140" s="816"/>
      <c r="K140" s="816"/>
    </row>
    <row r="141" spans="1:11" s="11" customFormat="1" ht="30" hidden="1" customHeight="1">
      <c r="A141" s="812"/>
      <c r="B141" s="813" t="s">
        <v>880</v>
      </c>
      <c r="C141" s="813" t="s">
        <v>881</v>
      </c>
      <c r="D141" s="382"/>
      <c r="E141" s="382">
        <f>F141-D141</f>
        <v>0</v>
      </c>
      <c r="F141" s="382"/>
      <c r="J141" s="816"/>
      <c r="K141" s="816"/>
    </row>
    <row r="142" spans="1:11" s="11" customFormat="1" ht="45" hidden="1" customHeight="1">
      <c r="A142" s="812"/>
      <c r="B142" s="813" t="s">
        <v>882</v>
      </c>
      <c r="C142" s="813" t="s">
        <v>883</v>
      </c>
      <c r="D142" s="382"/>
      <c r="E142" s="382">
        <f>F142-D142</f>
        <v>0</v>
      </c>
      <c r="F142" s="382"/>
      <c r="J142" s="816"/>
      <c r="K142" s="816"/>
    </row>
    <row r="143" spans="1:11" s="11" customFormat="1" ht="15">
      <c r="A143" s="812" t="s">
        <v>625</v>
      </c>
      <c r="B143" s="813" t="s">
        <v>884</v>
      </c>
      <c r="C143" s="813" t="s">
        <v>885</v>
      </c>
      <c r="D143" s="382">
        <f>D144+D218+D219</f>
        <v>364986.34471999999</v>
      </c>
      <c r="E143" s="382">
        <f>E144+E218+E219</f>
        <v>114755.29300000001</v>
      </c>
      <c r="F143" s="382">
        <f>F144+F218+F219</f>
        <v>479741.63771999994</v>
      </c>
      <c r="J143" s="816"/>
      <c r="K143" s="816"/>
    </row>
    <row r="144" spans="1:11" s="11" customFormat="1" ht="51" customHeight="1">
      <c r="A144" s="812" t="s">
        <v>625</v>
      </c>
      <c r="B144" s="813" t="s">
        <v>886</v>
      </c>
      <c r="C144" s="813" t="s">
        <v>887</v>
      </c>
      <c r="D144" s="382">
        <f>D145+D150+D170+D216+D217</f>
        <v>366160</v>
      </c>
      <c r="E144" s="382">
        <f>E145+E150+E170+E216+E217</f>
        <v>114755.29300000001</v>
      </c>
      <c r="F144" s="382">
        <f>F145+F150+F170+F216+F217</f>
        <v>480915.29299999995</v>
      </c>
      <c r="J144" s="816"/>
      <c r="K144" s="816"/>
    </row>
    <row r="145" spans="1:11" s="11" customFormat="1" ht="35.25" customHeight="1">
      <c r="A145" s="812" t="s">
        <v>625</v>
      </c>
      <c r="B145" s="813" t="s">
        <v>888</v>
      </c>
      <c r="C145" s="813" t="s">
        <v>96</v>
      </c>
      <c r="D145" s="382">
        <f>D146+D149</f>
        <v>103619.8</v>
      </c>
      <c r="E145" s="382">
        <f>E146+E149</f>
        <v>-303.99999999999955</v>
      </c>
      <c r="F145" s="382">
        <f>F146+F149</f>
        <v>103315.8</v>
      </c>
      <c r="J145" s="816"/>
      <c r="K145" s="816"/>
    </row>
    <row r="146" spans="1:11" s="11" customFormat="1" ht="39" customHeight="1">
      <c r="A146" s="812" t="s">
        <v>271</v>
      </c>
      <c r="B146" s="813" t="s">
        <v>889</v>
      </c>
      <c r="C146" s="813" t="s">
        <v>890</v>
      </c>
      <c r="D146" s="382">
        <f>SUM(D147:D148)</f>
        <v>99820.78</v>
      </c>
      <c r="E146" s="382">
        <f>SUM(E147:E148)</f>
        <v>-874</v>
      </c>
      <c r="F146" s="382">
        <f>SUM(F147:F148)</f>
        <v>98946.78</v>
      </c>
      <c r="J146" s="816"/>
      <c r="K146" s="816"/>
    </row>
    <row r="147" spans="1:11" s="11" customFormat="1" ht="34.5" customHeight="1">
      <c r="A147" s="812"/>
      <c r="B147" s="813"/>
      <c r="C147" s="813" t="s">
        <v>891</v>
      </c>
      <c r="D147" s="383">
        <v>95551.28</v>
      </c>
      <c r="E147" s="382">
        <f t="shared" ref="E147:E210" si="3">F147-D147</f>
        <v>-874</v>
      </c>
      <c r="F147" s="383">
        <f>95551.28-874</f>
        <v>94677.28</v>
      </c>
      <c r="J147" s="816"/>
      <c r="K147" s="816"/>
    </row>
    <row r="148" spans="1:11" s="11" customFormat="1" ht="46.5" customHeight="1">
      <c r="A148" s="812"/>
      <c r="B148" s="813"/>
      <c r="C148" s="813" t="s">
        <v>892</v>
      </c>
      <c r="D148" s="382">
        <v>4269.5</v>
      </c>
      <c r="E148" s="382">
        <f t="shared" si="3"/>
        <v>0</v>
      </c>
      <c r="F148" s="382">
        <v>4269.5</v>
      </c>
      <c r="J148" s="816"/>
      <c r="K148" s="816"/>
    </row>
    <row r="149" spans="1:11" s="11" customFormat="1" ht="43.5" customHeight="1">
      <c r="A149" s="812" t="s">
        <v>271</v>
      </c>
      <c r="B149" s="813" t="s">
        <v>893</v>
      </c>
      <c r="C149" s="813" t="s">
        <v>894</v>
      </c>
      <c r="D149" s="382">
        <f>2299.02+1500</f>
        <v>3799.02</v>
      </c>
      <c r="E149" s="382">
        <f t="shared" si="3"/>
        <v>570.00000000000045</v>
      </c>
      <c r="F149" s="382">
        <f>2299.02+1500+570</f>
        <v>4369.0200000000004</v>
      </c>
      <c r="J149" s="816"/>
      <c r="K149" s="816"/>
    </row>
    <row r="150" spans="1:11" s="11" customFormat="1" ht="33" customHeight="1">
      <c r="A150" s="812" t="s">
        <v>625</v>
      </c>
      <c r="B150" s="813" t="s">
        <v>895</v>
      </c>
      <c r="C150" s="813" t="s">
        <v>896</v>
      </c>
      <c r="D150" s="382">
        <f>SUM(D151:D156)</f>
        <v>80651.399999999994</v>
      </c>
      <c r="E150" s="382">
        <f>SUM(E151:E156)</f>
        <v>45272.19</v>
      </c>
      <c r="F150" s="382">
        <f>SUM(F151:F156)</f>
        <v>125923.59</v>
      </c>
      <c r="J150" s="816"/>
      <c r="K150" s="816"/>
    </row>
    <row r="151" spans="1:11" s="11" customFormat="1" ht="30" hidden="1" customHeight="1">
      <c r="A151" s="812" t="s">
        <v>271</v>
      </c>
      <c r="B151" s="813" t="s">
        <v>1225</v>
      </c>
      <c r="C151" s="813" t="s">
        <v>1226</v>
      </c>
      <c r="D151" s="382"/>
      <c r="E151" s="382">
        <f t="shared" si="3"/>
        <v>33.228000000000002</v>
      </c>
      <c r="F151" s="382">
        <v>33.228000000000002</v>
      </c>
      <c r="J151" s="816"/>
      <c r="K151" s="816"/>
    </row>
    <row r="152" spans="1:11" s="11" customFormat="1" ht="45" hidden="1" customHeight="1">
      <c r="A152" s="812" t="s">
        <v>271</v>
      </c>
      <c r="B152" s="813" t="s">
        <v>898</v>
      </c>
      <c r="C152" s="813" t="s">
        <v>899</v>
      </c>
      <c r="D152" s="382">
        <f>26139+10640.6+3386.6+201+20000</f>
        <v>60367.199999999997</v>
      </c>
      <c r="E152" s="382">
        <f t="shared" si="3"/>
        <v>30155</v>
      </c>
      <c r="F152" s="382">
        <f>26139+10640.6+3386.6+201+20000+155+30000</f>
        <v>90522.2</v>
      </c>
      <c r="J152" s="816"/>
      <c r="K152" s="816"/>
    </row>
    <row r="153" spans="1:11" s="11" customFormat="1" ht="31.5" hidden="1" customHeight="1">
      <c r="A153" s="812" t="s">
        <v>271</v>
      </c>
      <c r="B153" s="813" t="s">
        <v>1130</v>
      </c>
      <c r="C153" s="813" t="s">
        <v>1131</v>
      </c>
      <c r="D153" s="382">
        <v>1000</v>
      </c>
      <c r="E153" s="382">
        <f t="shared" si="3"/>
        <v>0</v>
      </c>
      <c r="F153" s="382">
        <v>1000</v>
      </c>
      <c r="J153" s="816"/>
      <c r="K153" s="816"/>
    </row>
    <row r="154" spans="1:11" s="11" customFormat="1" ht="60" hidden="1" customHeight="1">
      <c r="A154" s="812" t="s">
        <v>271</v>
      </c>
      <c r="B154" s="813" t="s">
        <v>1227</v>
      </c>
      <c r="C154" s="813" t="s">
        <v>1228</v>
      </c>
      <c r="D154" s="382"/>
      <c r="E154" s="382">
        <f t="shared" si="3"/>
        <v>3601.962</v>
      </c>
      <c r="F154" s="382">
        <v>3601.962</v>
      </c>
      <c r="J154" s="816"/>
      <c r="K154" s="816"/>
    </row>
    <row r="155" spans="1:11" s="11" customFormat="1" ht="30" hidden="1" customHeight="1">
      <c r="A155" s="812" t="s">
        <v>271</v>
      </c>
      <c r="B155" s="813" t="s">
        <v>1229</v>
      </c>
      <c r="C155" s="813" t="s">
        <v>1230</v>
      </c>
      <c r="D155" s="382"/>
      <c r="E155" s="382">
        <f t="shared" si="3"/>
        <v>8150</v>
      </c>
      <c r="F155" s="382">
        <v>8150</v>
      </c>
      <c r="J155" s="816"/>
      <c r="K155" s="816"/>
    </row>
    <row r="156" spans="1:11" s="179" customFormat="1" ht="34.5" customHeight="1">
      <c r="A156" s="812" t="s">
        <v>271</v>
      </c>
      <c r="B156" s="813" t="s">
        <v>900</v>
      </c>
      <c r="C156" s="813" t="s">
        <v>901</v>
      </c>
      <c r="D156" s="382">
        <f>SUM(D159:D166)</f>
        <v>19284.2</v>
      </c>
      <c r="E156" s="382">
        <f t="shared" si="3"/>
        <v>3332</v>
      </c>
      <c r="F156" s="382">
        <f>SUM(F159:F166)</f>
        <v>22616.2</v>
      </c>
      <c r="J156" s="816"/>
      <c r="K156" s="816"/>
    </row>
    <row r="157" spans="1:11" s="11" customFormat="1" ht="51" customHeight="1">
      <c r="A157" s="812" t="s">
        <v>271</v>
      </c>
      <c r="B157" s="813" t="s">
        <v>1239</v>
      </c>
      <c r="C157" s="813" t="s">
        <v>903</v>
      </c>
      <c r="D157" s="382"/>
      <c r="E157" s="382">
        <f t="shared" si="3"/>
        <v>0</v>
      </c>
      <c r="F157" s="382"/>
      <c r="J157" s="816"/>
      <c r="K157" s="816"/>
    </row>
    <row r="158" spans="1:11" s="11" customFormat="1" ht="30" hidden="1" customHeight="1">
      <c r="A158" s="812" t="s">
        <v>271</v>
      </c>
      <c r="B158" s="813" t="s">
        <v>902</v>
      </c>
      <c r="C158" s="813" t="s">
        <v>897</v>
      </c>
      <c r="D158" s="382"/>
      <c r="E158" s="382">
        <f t="shared" si="3"/>
        <v>0</v>
      </c>
      <c r="F158" s="382"/>
      <c r="J158" s="816"/>
      <c r="K158" s="816"/>
    </row>
    <row r="159" spans="1:11" s="11" customFormat="1" ht="30">
      <c r="A159" s="812"/>
      <c r="B159" s="813"/>
      <c r="C159" s="813" t="s">
        <v>904</v>
      </c>
      <c r="D159" s="382">
        <v>806</v>
      </c>
      <c r="E159" s="382">
        <f t="shared" si="3"/>
        <v>0</v>
      </c>
      <c r="F159" s="382">
        <v>806</v>
      </c>
      <c r="J159" s="816"/>
      <c r="K159" s="816"/>
    </row>
    <row r="160" spans="1:11" s="11" customFormat="1" ht="90" hidden="1" customHeight="1">
      <c r="A160" s="812"/>
      <c r="B160" s="813"/>
      <c r="C160" s="813" t="s">
        <v>905</v>
      </c>
      <c r="D160" s="382">
        <v>0</v>
      </c>
      <c r="E160" s="382">
        <f t="shared" si="3"/>
        <v>0</v>
      </c>
      <c r="F160" s="382">
        <v>0</v>
      </c>
      <c r="J160" s="816"/>
      <c r="K160" s="816"/>
    </row>
    <row r="161" spans="1:11" s="11" customFormat="1" ht="60" hidden="1" customHeight="1">
      <c r="A161" s="812"/>
      <c r="B161" s="813"/>
      <c r="C161" s="813" t="s">
        <v>906</v>
      </c>
      <c r="D161" s="382">
        <v>0</v>
      </c>
      <c r="E161" s="382">
        <f t="shared" si="3"/>
        <v>0</v>
      </c>
      <c r="F161" s="382">
        <v>0</v>
      </c>
      <c r="J161" s="816"/>
      <c r="K161" s="816"/>
    </row>
    <row r="162" spans="1:11" s="11" customFormat="1" ht="30" customHeight="1">
      <c r="A162" s="812"/>
      <c r="B162" s="813"/>
      <c r="C162" s="813" t="s">
        <v>907</v>
      </c>
      <c r="D162" s="382">
        <v>5613.8</v>
      </c>
      <c r="E162" s="382">
        <f t="shared" si="3"/>
        <v>0</v>
      </c>
      <c r="F162" s="382">
        <v>5613.8</v>
      </c>
      <c r="G162" s="816"/>
      <c r="J162" s="816"/>
      <c r="K162" s="816"/>
    </row>
    <row r="163" spans="1:11" s="11" customFormat="1" ht="30" hidden="1" customHeight="1">
      <c r="A163" s="812"/>
      <c r="B163" s="813"/>
      <c r="C163" s="813" t="s">
        <v>908</v>
      </c>
      <c r="D163" s="382">
        <v>12424.2</v>
      </c>
      <c r="E163" s="382">
        <f t="shared" si="3"/>
        <v>1250</v>
      </c>
      <c r="F163" s="382">
        <f>12424.2+1250</f>
        <v>13674.2</v>
      </c>
      <c r="J163" s="816"/>
      <c r="K163" s="816"/>
    </row>
    <row r="164" spans="1:11" s="11" customFormat="1" ht="30" hidden="1" customHeight="1">
      <c r="A164" s="812"/>
      <c r="B164" s="813"/>
      <c r="C164" s="813" t="s">
        <v>1231</v>
      </c>
      <c r="D164" s="382"/>
      <c r="E164" s="382">
        <f t="shared" si="3"/>
        <v>2067</v>
      </c>
      <c r="F164" s="382">
        <v>2067</v>
      </c>
      <c r="J164" s="816"/>
      <c r="K164" s="816"/>
    </row>
    <row r="165" spans="1:11" s="11" customFormat="1" ht="62.25" customHeight="1">
      <c r="A165" s="812"/>
      <c r="B165" s="813"/>
      <c r="C165" s="813" t="s">
        <v>909</v>
      </c>
      <c r="D165" s="382">
        <v>396.7</v>
      </c>
      <c r="E165" s="382">
        <f t="shared" si="3"/>
        <v>15</v>
      </c>
      <c r="F165" s="382">
        <v>411.7</v>
      </c>
      <c r="J165" s="816"/>
      <c r="K165" s="816"/>
    </row>
    <row r="166" spans="1:11" s="11" customFormat="1" ht="45">
      <c r="A166" s="812"/>
      <c r="B166" s="813"/>
      <c r="C166" s="813" t="s">
        <v>910</v>
      </c>
      <c r="D166" s="382">
        <v>43.5</v>
      </c>
      <c r="E166" s="382">
        <f t="shared" si="3"/>
        <v>0</v>
      </c>
      <c r="F166" s="382">
        <v>43.5</v>
      </c>
      <c r="J166" s="816"/>
      <c r="K166" s="816"/>
    </row>
    <row r="167" spans="1:11" s="11" customFormat="1" ht="60" hidden="1" customHeight="1">
      <c r="A167" s="812" t="s">
        <v>271</v>
      </c>
      <c r="B167" s="813" t="s">
        <v>900</v>
      </c>
      <c r="C167" s="813" t="s">
        <v>911</v>
      </c>
      <c r="D167" s="382"/>
      <c r="E167" s="382">
        <f t="shared" si="3"/>
        <v>0</v>
      </c>
      <c r="F167" s="382"/>
      <c r="J167" s="816"/>
      <c r="K167" s="816"/>
    </row>
    <row r="168" spans="1:11" s="11" customFormat="1" ht="60" hidden="1" customHeight="1">
      <c r="A168" s="812" t="s">
        <v>271</v>
      </c>
      <c r="B168" s="813" t="s">
        <v>900</v>
      </c>
      <c r="C168" s="813" t="s">
        <v>912</v>
      </c>
      <c r="D168" s="382"/>
      <c r="E168" s="382">
        <f t="shared" si="3"/>
        <v>0</v>
      </c>
      <c r="F168" s="382"/>
      <c r="J168" s="816"/>
      <c r="K168" s="816"/>
    </row>
    <row r="169" spans="1:11" s="11" customFormat="1" ht="60" hidden="1" customHeight="1">
      <c r="A169" s="812" t="s">
        <v>271</v>
      </c>
      <c r="B169" s="813" t="s">
        <v>900</v>
      </c>
      <c r="C169" s="813" t="s">
        <v>913</v>
      </c>
      <c r="D169" s="382"/>
      <c r="E169" s="382">
        <f t="shared" si="3"/>
        <v>0</v>
      </c>
      <c r="F169" s="382"/>
      <c r="J169" s="816"/>
      <c r="K169" s="816"/>
    </row>
    <row r="170" spans="1:11" s="11" customFormat="1" ht="30">
      <c r="A170" s="812" t="s">
        <v>625</v>
      </c>
      <c r="B170" s="813" t="s">
        <v>914</v>
      </c>
      <c r="C170" s="813" t="s">
        <v>915</v>
      </c>
      <c r="D170" s="511">
        <f>SUM(D171:D183)+D207+D208+D210+D212+D213+D215+D214</f>
        <v>181888.8</v>
      </c>
      <c r="E170" s="511">
        <f>SUM(E171:E183)+E207+E208+E210+E212+E213+E215+E214</f>
        <v>10788.502999999999</v>
      </c>
      <c r="F170" s="511">
        <f>SUM(F171:F183)+F207+F208+F210+F212+F213+F215+F214</f>
        <v>192677.30299999999</v>
      </c>
      <c r="G170" s="816"/>
      <c r="J170" s="816"/>
      <c r="K170" s="816"/>
    </row>
    <row r="171" spans="1:11" s="11" customFormat="1" ht="50.25" customHeight="1">
      <c r="A171" s="812" t="s">
        <v>271</v>
      </c>
      <c r="B171" s="813" t="s">
        <v>916</v>
      </c>
      <c r="C171" s="813" t="s">
        <v>917</v>
      </c>
      <c r="D171" s="382">
        <v>10564.1</v>
      </c>
      <c r="E171" s="382">
        <f t="shared" si="3"/>
        <v>3910</v>
      </c>
      <c r="F171" s="382">
        <f>10564.1+3910</f>
        <v>14474.1</v>
      </c>
      <c r="G171" s="384"/>
      <c r="J171" s="816"/>
      <c r="K171" s="816"/>
    </row>
    <row r="172" spans="1:11" s="11" customFormat="1" ht="58.5" customHeight="1">
      <c r="A172" s="812" t="s">
        <v>271</v>
      </c>
      <c r="B172" s="813" t="s">
        <v>918</v>
      </c>
      <c r="C172" s="813" t="s">
        <v>919</v>
      </c>
      <c r="D172" s="382">
        <f>175.8</f>
        <v>175.8</v>
      </c>
      <c r="E172" s="382">
        <f t="shared" si="3"/>
        <v>0</v>
      </c>
      <c r="F172" s="382">
        <f>175.8</f>
        <v>175.8</v>
      </c>
      <c r="J172" s="816"/>
      <c r="K172" s="816"/>
    </row>
    <row r="173" spans="1:11" s="11" customFormat="1" ht="75" hidden="1" customHeight="1">
      <c r="A173" s="812" t="s">
        <v>271</v>
      </c>
      <c r="B173" s="813" t="s">
        <v>920</v>
      </c>
      <c r="C173" s="813" t="s">
        <v>921</v>
      </c>
      <c r="D173" s="382">
        <v>115</v>
      </c>
      <c r="E173" s="382">
        <f t="shared" si="3"/>
        <v>0</v>
      </c>
      <c r="F173" s="382">
        <v>115</v>
      </c>
      <c r="J173" s="816"/>
      <c r="K173" s="816"/>
    </row>
    <row r="174" spans="1:11" s="11" customFormat="1" ht="75" hidden="1" customHeight="1">
      <c r="A174" s="812" t="s">
        <v>271</v>
      </c>
      <c r="B174" s="813" t="s">
        <v>922</v>
      </c>
      <c r="C174" s="813" t="s">
        <v>923</v>
      </c>
      <c r="D174" s="382">
        <v>0</v>
      </c>
      <c r="E174" s="382">
        <f t="shared" si="3"/>
        <v>0</v>
      </c>
      <c r="F174" s="382">
        <v>0</v>
      </c>
      <c r="J174" s="816"/>
      <c r="K174" s="816"/>
    </row>
    <row r="175" spans="1:11" s="11" customFormat="1" ht="75.75" hidden="1" customHeight="1">
      <c r="A175" s="812" t="s">
        <v>271</v>
      </c>
      <c r="B175" s="813" t="s">
        <v>924</v>
      </c>
      <c r="C175" s="813" t="s">
        <v>925</v>
      </c>
      <c r="D175" s="382"/>
      <c r="E175" s="382">
        <f t="shared" si="3"/>
        <v>0</v>
      </c>
      <c r="F175" s="382"/>
      <c r="J175" s="816"/>
      <c r="K175" s="816"/>
    </row>
    <row r="176" spans="1:11" s="11" customFormat="1" ht="50.25" customHeight="1">
      <c r="A176" s="812" t="s">
        <v>271</v>
      </c>
      <c r="B176" s="813" t="s">
        <v>926</v>
      </c>
      <c r="C176" s="813" t="s">
        <v>927</v>
      </c>
      <c r="D176" s="382"/>
      <c r="E176" s="382">
        <f t="shared" si="3"/>
        <v>0</v>
      </c>
      <c r="F176" s="382"/>
      <c r="J176" s="816"/>
      <c r="K176" s="816"/>
    </row>
    <row r="177" spans="1:11" s="11" customFormat="1" ht="75" customHeight="1">
      <c r="A177" s="812" t="s">
        <v>271</v>
      </c>
      <c r="B177" s="813" t="s">
        <v>928</v>
      </c>
      <c r="C177" s="813" t="s">
        <v>929</v>
      </c>
      <c r="D177" s="382">
        <v>230</v>
      </c>
      <c r="E177" s="382">
        <f t="shared" si="3"/>
        <v>0</v>
      </c>
      <c r="F177" s="382">
        <v>230</v>
      </c>
      <c r="J177" s="816"/>
      <c r="K177" s="816"/>
    </row>
    <row r="178" spans="1:11" s="11" customFormat="1" ht="65.25" customHeight="1">
      <c r="A178" s="812" t="s">
        <v>271</v>
      </c>
      <c r="B178" s="813" t="s">
        <v>930</v>
      </c>
      <c r="C178" s="813" t="s">
        <v>931</v>
      </c>
      <c r="D178" s="382">
        <v>508.5</v>
      </c>
      <c r="E178" s="382">
        <f t="shared" si="3"/>
        <v>33</v>
      </c>
      <c r="F178" s="382">
        <v>541.5</v>
      </c>
      <c r="J178" s="816"/>
      <c r="K178" s="816"/>
    </row>
    <row r="179" spans="1:11" s="11" customFormat="1" ht="78.75" customHeight="1">
      <c r="A179" s="812" t="s">
        <v>271</v>
      </c>
      <c r="B179" s="813" t="s">
        <v>1240</v>
      </c>
      <c r="C179" s="813" t="s">
        <v>932</v>
      </c>
      <c r="D179" s="382"/>
      <c r="E179" s="382">
        <f t="shared" si="3"/>
        <v>0</v>
      </c>
      <c r="F179" s="382"/>
      <c r="J179" s="816"/>
      <c r="K179" s="816"/>
    </row>
    <row r="180" spans="1:11" s="11" customFormat="1" ht="103.5" hidden="1" customHeight="1">
      <c r="A180" s="812" t="s">
        <v>271</v>
      </c>
      <c r="B180" s="813" t="s">
        <v>933</v>
      </c>
      <c r="C180" s="813" t="s">
        <v>934</v>
      </c>
      <c r="D180" s="382"/>
      <c r="E180" s="382">
        <f t="shared" si="3"/>
        <v>0</v>
      </c>
      <c r="F180" s="382"/>
      <c r="J180" s="816"/>
      <c r="K180" s="816"/>
    </row>
    <row r="181" spans="1:11" s="11" customFormat="1" ht="75" hidden="1" customHeight="1">
      <c r="A181" s="812" t="s">
        <v>271</v>
      </c>
      <c r="B181" s="813" t="s">
        <v>935</v>
      </c>
      <c r="C181" s="813" t="s">
        <v>936</v>
      </c>
      <c r="D181" s="382">
        <f>870+1715</f>
        <v>2585</v>
      </c>
      <c r="E181" s="382">
        <f t="shared" si="3"/>
        <v>0</v>
      </c>
      <c r="F181" s="382">
        <f>870+1715</f>
        <v>2585</v>
      </c>
      <c r="J181" s="816"/>
      <c r="K181" s="816"/>
    </row>
    <row r="182" spans="1:11" s="11" customFormat="1" ht="65.25" hidden="1" customHeight="1">
      <c r="A182" s="812" t="s">
        <v>271</v>
      </c>
      <c r="B182" s="813" t="s">
        <v>937</v>
      </c>
      <c r="C182" s="813" t="s">
        <v>938</v>
      </c>
      <c r="D182" s="382">
        <v>8129.1</v>
      </c>
      <c r="E182" s="382">
        <f t="shared" si="3"/>
        <v>0</v>
      </c>
      <c r="F182" s="382">
        <v>8129.1</v>
      </c>
      <c r="J182" s="816"/>
      <c r="K182" s="816"/>
    </row>
    <row r="183" spans="1:11" s="179" customFormat="1" ht="43.5" customHeight="1">
      <c r="A183" s="812" t="s">
        <v>271</v>
      </c>
      <c r="B183" s="813" t="s">
        <v>939</v>
      </c>
      <c r="C183" s="813" t="s">
        <v>940</v>
      </c>
      <c r="D183" s="382">
        <f>SUM(D191:D206)</f>
        <v>138465.69999999998</v>
      </c>
      <c r="E183" s="382">
        <f>SUM(E191:E206)</f>
        <v>3824.203</v>
      </c>
      <c r="F183" s="382">
        <f>SUM(F191:F206)</f>
        <v>142289.90299999999</v>
      </c>
      <c r="G183" s="384"/>
      <c r="J183" s="816"/>
      <c r="K183" s="816"/>
    </row>
    <row r="184" spans="1:11" s="11" customFormat="1" ht="51.75" customHeight="1">
      <c r="A184" s="812" t="s">
        <v>271</v>
      </c>
      <c r="B184" s="813" t="s">
        <v>1241</v>
      </c>
      <c r="C184" s="813" t="s">
        <v>942</v>
      </c>
      <c r="D184" s="382"/>
      <c r="E184" s="382">
        <f t="shared" si="3"/>
        <v>0</v>
      </c>
      <c r="F184" s="382"/>
      <c r="G184" s="384"/>
      <c r="J184" s="816"/>
      <c r="K184" s="816"/>
    </row>
    <row r="185" spans="1:11" s="11" customFormat="1" ht="60" hidden="1" customHeight="1">
      <c r="A185" s="812" t="s">
        <v>271</v>
      </c>
      <c r="B185" s="813" t="s">
        <v>941</v>
      </c>
      <c r="C185" s="813" t="s">
        <v>943</v>
      </c>
      <c r="D185" s="382"/>
      <c r="E185" s="382">
        <f t="shared" si="3"/>
        <v>0</v>
      </c>
      <c r="F185" s="382"/>
      <c r="G185" s="384"/>
      <c r="J185" s="816"/>
      <c r="K185" s="816"/>
    </row>
    <row r="186" spans="1:11" s="11" customFormat="1" ht="60" hidden="1" customHeight="1">
      <c r="A186" s="812" t="s">
        <v>271</v>
      </c>
      <c r="B186" s="813" t="s">
        <v>941</v>
      </c>
      <c r="C186" s="813" t="s">
        <v>944</v>
      </c>
      <c r="D186" s="382"/>
      <c r="E186" s="382">
        <f t="shared" si="3"/>
        <v>0</v>
      </c>
      <c r="F186" s="382"/>
      <c r="G186" s="384"/>
      <c r="J186" s="816"/>
      <c r="K186" s="816"/>
    </row>
    <row r="187" spans="1:11" s="11" customFormat="1" ht="45" customHeight="1">
      <c r="A187" s="812" t="s">
        <v>271</v>
      </c>
      <c r="B187" s="813" t="s">
        <v>1241</v>
      </c>
      <c r="C187" s="813" t="s">
        <v>945</v>
      </c>
      <c r="D187" s="382"/>
      <c r="E187" s="382">
        <f t="shared" si="3"/>
        <v>0</v>
      </c>
      <c r="F187" s="382"/>
      <c r="G187" s="384"/>
      <c r="J187" s="816"/>
      <c r="K187" s="816"/>
    </row>
    <row r="188" spans="1:11" s="11" customFormat="1" ht="47.25" customHeight="1">
      <c r="A188" s="812" t="s">
        <v>271</v>
      </c>
      <c r="B188" s="813" t="s">
        <v>1242</v>
      </c>
      <c r="C188" s="813" t="s">
        <v>903</v>
      </c>
      <c r="D188" s="382"/>
      <c r="E188" s="382">
        <f t="shared" si="3"/>
        <v>0</v>
      </c>
      <c r="F188" s="382"/>
      <c r="G188" s="384"/>
      <c r="J188" s="816"/>
      <c r="K188" s="816"/>
    </row>
    <row r="189" spans="1:11" s="11" customFormat="1" ht="42.75" customHeight="1">
      <c r="A189" s="812" t="s">
        <v>271</v>
      </c>
      <c r="B189" s="813" t="s">
        <v>1241</v>
      </c>
      <c r="C189" s="813" t="s">
        <v>897</v>
      </c>
      <c r="D189" s="382"/>
      <c r="E189" s="382">
        <f t="shared" si="3"/>
        <v>0</v>
      </c>
      <c r="F189" s="382"/>
      <c r="G189" s="384"/>
      <c r="J189" s="816"/>
      <c r="K189" s="816"/>
    </row>
    <row r="190" spans="1:11" s="11" customFormat="1" ht="75" hidden="1" customHeight="1">
      <c r="A190" s="812" t="s">
        <v>271</v>
      </c>
      <c r="B190" s="813" t="s">
        <v>941</v>
      </c>
      <c r="C190" s="813" t="s">
        <v>946</v>
      </c>
      <c r="D190" s="382"/>
      <c r="E190" s="382">
        <f t="shared" si="3"/>
        <v>0</v>
      </c>
      <c r="F190" s="382"/>
      <c r="G190" s="384"/>
      <c r="J190" s="816"/>
      <c r="K190" s="816"/>
    </row>
    <row r="191" spans="1:11" s="11" customFormat="1" ht="75" hidden="1" customHeight="1">
      <c r="A191" s="812"/>
      <c r="B191" s="813"/>
      <c r="C191" s="813" t="s">
        <v>947</v>
      </c>
      <c r="D191" s="382">
        <v>413</v>
      </c>
      <c r="E191" s="382">
        <f t="shared" si="3"/>
        <v>0</v>
      </c>
      <c r="F191" s="382">
        <v>413</v>
      </c>
      <c r="G191" s="384"/>
      <c r="J191" s="816"/>
      <c r="K191" s="816"/>
    </row>
    <row r="192" spans="1:11" s="11" customFormat="1" ht="90" hidden="1" customHeight="1">
      <c r="A192" s="812"/>
      <c r="B192" s="813"/>
      <c r="C192" s="813" t="s">
        <v>948</v>
      </c>
      <c r="D192" s="382">
        <v>1050</v>
      </c>
      <c r="E192" s="382">
        <f t="shared" si="3"/>
        <v>0</v>
      </c>
      <c r="F192" s="382">
        <v>1050</v>
      </c>
      <c r="J192" s="816"/>
      <c r="K192" s="816"/>
    </row>
    <row r="193" spans="1:11" s="11" customFormat="1" ht="51.75" hidden="1" customHeight="1">
      <c r="A193" s="812"/>
      <c r="B193" s="813"/>
      <c r="C193" s="813" t="s">
        <v>949</v>
      </c>
      <c r="D193" s="382">
        <v>7812.2</v>
      </c>
      <c r="E193" s="382">
        <f t="shared" si="3"/>
        <v>239</v>
      </c>
      <c r="F193" s="382">
        <v>8051.2</v>
      </c>
      <c r="J193" s="816"/>
      <c r="K193" s="816"/>
    </row>
    <row r="194" spans="1:11" s="11" customFormat="1" ht="90" hidden="1" customHeight="1">
      <c r="A194" s="812"/>
      <c r="B194" s="813"/>
      <c r="C194" s="813" t="s">
        <v>950</v>
      </c>
      <c r="D194" s="382">
        <v>0.5</v>
      </c>
      <c r="E194" s="382">
        <f t="shared" si="3"/>
        <v>0</v>
      </c>
      <c r="F194" s="382">
        <v>0.5</v>
      </c>
      <c r="J194" s="816"/>
      <c r="K194" s="816"/>
    </row>
    <row r="195" spans="1:11" s="11" customFormat="1" ht="60" hidden="1" customHeight="1">
      <c r="A195" s="812"/>
      <c r="B195" s="813"/>
      <c r="C195" s="813" t="s">
        <v>951</v>
      </c>
      <c r="D195" s="382">
        <v>105221.7</v>
      </c>
      <c r="E195" s="382">
        <f t="shared" si="3"/>
        <v>2693</v>
      </c>
      <c r="F195" s="382">
        <v>107914.7</v>
      </c>
      <c r="J195" s="816"/>
      <c r="K195" s="816"/>
    </row>
    <row r="196" spans="1:11" s="11" customFormat="1" ht="60" hidden="1" customHeight="1">
      <c r="A196" s="812"/>
      <c r="B196" s="813"/>
      <c r="C196" s="813" t="s">
        <v>952</v>
      </c>
      <c r="D196" s="382">
        <v>685</v>
      </c>
      <c r="E196" s="382">
        <f t="shared" si="3"/>
        <v>36</v>
      </c>
      <c r="F196" s="382">
        <v>721</v>
      </c>
      <c r="J196" s="816"/>
      <c r="K196" s="816"/>
    </row>
    <row r="197" spans="1:11" s="11" customFormat="1" ht="48.75" customHeight="1">
      <c r="A197" s="812"/>
      <c r="B197" s="813"/>
      <c r="C197" s="813" t="s">
        <v>953</v>
      </c>
      <c r="D197" s="382"/>
      <c r="E197" s="382">
        <f t="shared" si="3"/>
        <v>0</v>
      </c>
      <c r="F197" s="382"/>
      <c r="J197" s="816"/>
      <c r="K197" s="816"/>
    </row>
    <row r="198" spans="1:11" s="11" customFormat="1" ht="30">
      <c r="A198" s="812"/>
      <c r="B198" s="813"/>
      <c r="C198" s="813" t="s">
        <v>954</v>
      </c>
      <c r="D198" s="382">
        <v>327</v>
      </c>
      <c r="E198" s="382">
        <f t="shared" si="3"/>
        <v>0</v>
      </c>
      <c r="F198" s="382">
        <v>327</v>
      </c>
      <c r="J198" s="816"/>
      <c r="K198" s="816"/>
    </row>
    <row r="199" spans="1:11" s="11" customFormat="1" ht="30">
      <c r="A199" s="812"/>
      <c r="B199" s="813"/>
      <c r="C199" s="813" t="s">
        <v>955</v>
      </c>
      <c r="D199" s="382">
        <v>897</v>
      </c>
      <c r="E199" s="382">
        <f t="shared" si="3"/>
        <v>0</v>
      </c>
      <c r="F199" s="382">
        <v>897</v>
      </c>
      <c r="J199" s="816"/>
      <c r="K199" s="816"/>
    </row>
    <row r="200" spans="1:11" s="11" customFormat="1" ht="42.75" customHeight="1">
      <c r="A200" s="812"/>
      <c r="B200" s="813"/>
      <c r="C200" s="813" t="s">
        <v>956</v>
      </c>
      <c r="D200" s="382">
        <v>7042</v>
      </c>
      <c r="E200" s="382">
        <f t="shared" si="3"/>
        <v>0</v>
      </c>
      <c r="F200" s="382">
        <v>7042</v>
      </c>
      <c r="J200" s="816"/>
      <c r="K200" s="816"/>
    </row>
    <row r="201" spans="1:11" s="11" customFormat="1" ht="30">
      <c r="A201" s="812"/>
      <c r="B201" s="813"/>
      <c r="C201" s="813" t="s">
        <v>957</v>
      </c>
      <c r="D201" s="382">
        <v>3840</v>
      </c>
      <c r="E201" s="382">
        <f t="shared" si="3"/>
        <v>0</v>
      </c>
      <c r="F201" s="382">
        <v>3840</v>
      </c>
      <c r="J201" s="816"/>
      <c r="K201" s="816"/>
    </row>
    <row r="202" spans="1:11" s="11" customFormat="1" ht="30">
      <c r="A202" s="812"/>
      <c r="B202" s="813"/>
      <c r="C202" s="813" t="s">
        <v>958</v>
      </c>
      <c r="D202" s="382">
        <v>7021</v>
      </c>
      <c r="E202" s="382">
        <f t="shared" si="3"/>
        <v>0</v>
      </c>
      <c r="F202" s="382">
        <f>7021</f>
        <v>7021</v>
      </c>
      <c r="J202" s="816"/>
      <c r="K202" s="816"/>
    </row>
    <row r="203" spans="1:11" s="11" customFormat="1" ht="57" hidden="1" customHeight="1">
      <c r="A203" s="812"/>
      <c r="B203" s="813"/>
      <c r="C203" s="813" t="s">
        <v>1232</v>
      </c>
      <c r="D203" s="382"/>
      <c r="E203" s="382">
        <f t="shared" si="3"/>
        <v>856.20299999999997</v>
      </c>
      <c r="F203" s="382">
        <v>856.20299999999997</v>
      </c>
      <c r="J203" s="816"/>
      <c r="K203" s="816"/>
    </row>
    <row r="204" spans="1:11" s="11" customFormat="1" ht="39" customHeight="1">
      <c r="A204" s="812"/>
      <c r="B204" s="813"/>
      <c r="C204" s="813" t="s">
        <v>959</v>
      </c>
      <c r="D204" s="382">
        <v>2592</v>
      </c>
      <c r="E204" s="382">
        <f t="shared" si="3"/>
        <v>0</v>
      </c>
      <c r="F204" s="382">
        <v>2592</v>
      </c>
      <c r="J204" s="816"/>
      <c r="K204" s="816"/>
    </row>
    <row r="205" spans="1:11" s="11" customFormat="1" ht="41.25" customHeight="1">
      <c r="A205" s="812"/>
      <c r="B205" s="813"/>
      <c r="C205" s="813" t="s">
        <v>960</v>
      </c>
      <c r="D205" s="382">
        <v>54.3</v>
      </c>
      <c r="E205" s="382">
        <f t="shared" si="3"/>
        <v>0</v>
      </c>
      <c r="F205" s="382">
        <v>54.3</v>
      </c>
      <c r="J205" s="816"/>
      <c r="K205" s="816"/>
    </row>
    <row r="206" spans="1:11" s="11" customFormat="1" ht="41.25" customHeight="1">
      <c r="A206" s="812"/>
      <c r="B206" s="813"/>
      <c r="C206" s="813" t="s">
        <v>961</v>
      </c>
      <c r="D206" s="382">
        <v>1510</v>
      </c>
      <c r="E206" s="382">
        <f t="shared" si="3"/>
        <v>0</v>
      </c>
      <c r="F206" s="382">
        <v>1510</v>
      </c>
      <c r="J206" s="816"/>
      <c r="K206" s="816"/>
    </row>
    <row r="207" spans="1:11" s="11" customFormat="1" ht="96" customHeight="1">
      <c r="A207" s="812" t="s">
        <v>271</v>
      </c>
      <c r="B207" s="813" t="s">
        <v>962</v>
      </c>
      <c r="C207" s="813" t="s">
        <v>963</v>
      </c>
      <c r="D207" s="382">
        <v>3419</v>
      </c>
      <c r="E207" s="382">
        <f t="shared" si="3"/>
        <v>0</v>
      </c>
      <c r="F207" s="382">
        <v>3419</v>
      </c>
      <c r="J207" s="816"/>
      <c r="K207" s="816"/>
    </row>
    <row r="208" spans="1:11" s="11" customFormat="1" ht="77.25" customHeight="1">
      <c r="A208" s="812" t="s">
        <v>271</v>
      </c>
      <c r="B208" s="813" t="s">
        <v>964</v>
      </c>
      <c r="C208" s="813" t="s">
        <v>965</v>
      </c>
      <c r="D208" s="382">
        <v>9499.7000000000007</v>
      </c>
      <c r="E208" s="382">
        <f t="shared" si="3"/>
        <v>1870.5999999999985</v>
      </c>
      <c r="F208" s="382">
        <v>11370.3</v>
      </c>
      <c r="J208" s="816"/>
      <c r="K208" s="816"/>
    </row>
    <row r="209" spans="1:13" s="11" customFormat="1" ht="77.25" customHeight="1">
      <c r="A209" s="812" t="s">
        <v>271</v>
      </c>
      <c r="B209" s="813" t="s">
        <v>966</v>
      </c>
      <c r="C209" s="813" t="s">
        <v>967</v>
      </c>
      <c r="D209" s="382"/>
      <c r="E209" s="382">
        <f t="shared" si="3"/>
        <v>0</v>
      </c>
      <c r="F209" s="382"/>
      <c r="J209" s="816"/>
      <c r="K209" s="816"/>
    </row>
    <row r="210" spans="1:13" s="11" customFormat="1" ht="111" customHeight="1">
      <c r="A210" s="812" t="s">
        <v>271</v>
      </c>
      <c r="B210" s="813" t="s">
        <v>968</v>
      </c>
      <c r="C210" s="813" t="s">
        <v>969</v>
      </c>
      <c r="D210" s="382">
        <v>1403.9</v>
      </c>
      <c r="E210" s="382">
        <f t="shared" si="3"/>
        <v>0</v>
      </c>
      <c r="F210" s="382">
        <v>1403.9</v>
      </c>
      <c r="J210" s="816"/>
      <c r="K210" s="816"/>
    </row>
    <row r="211" spans="1:13" s="11" customFormat="1" ht="180" customHeight="1">
      <c r="A211" s="812" t="s">
        <v>271</v>
      </c>
      <c r="B211" s="813" t="s">
        <v>970</v>
      </c>
      <c r="C211" s="813" t="s">
        <v>971</v>
      </c>
      <c r="D211" s="382"/>
      <c r="E211" s="382">
        <f t="shared" ref="E211:E225" si="4">F211-D211</f>
        <v>0</v>
      </c>
      <c r="F211" s="382"/>
      <c r="J211" s="816"/>
      <c r="K211" s="816"/>
    </row>
    <row r="212" spans="1:13" s="11" customFormat="1" ht="42" customHeight="1">
      <c r="A212" s="812" t="s">
        <v>271</v>
      </c>
      <c r="B212" s="813" t="s">
        <v>972</v>
      </c>
      <c r="C212" s="813" t="s">
        <v>973</v>
      </c>
      <c r="D212" s="382">
        <v>2828</v>
      </c>
      <c r="E212" s="382">
        <f t="shared" si="4"/>
        <v>0</v>
      </c>
      <c r="F212" s="382">
        <v>2828</v>
      </c>
      <c r="J212" s="816"/>
      <c r="K212" s="816"/>
    </row>
    <row r="213" spans="1:13" s="11" customFormat="1" ht="65.25" customHeight="1">
      <c r="A213" s="812" t="s">
        <v>271</v>
      </c>
      <c r="B213" s="813" t="s">
        <v>974</v>
      </c>
      <c r="C213" s="813" t="s">
        <v>975</v>
      </c>
      <c r="D213" s="382">
        <v>2883.7</v>
      </c>
      <c r="E213" s="382">
        <f t="shared" si="4"/>
        <v>0</v>
      </c>
      <c r="F213" s="382">
        <v>2883.7</v>
      </c>
      <c r="J213" s="816"/>
      <c r="K213" s="816"/>
    </row>
    <row r="214" spans="1:13" s="11" customFormat="1" ht="60.75" hidden="1" customHeight="1">
      <c r="A214" s="812" t="s">
        <v>271</v>
      </c>
      <c r="B214" s="813" t="s">
        <v>1233</v>
      </c>
      <c r="C214" s="813" t="s">
        <v>1234</v>
      </c>
      <c r="D214" s="382"/>
      <c r="E214" s="382">
        <f t="shared" si="4"/>
        <v>1116</v>
      </c>
      <c r="F214" s="382">
        <v>1116</v>
      </c>
      <c r="J214" s="816"/>
      <c r="K214" s="816"/>
    </row>
    <row r="215" spans="1:13" s="11" customFormat="1" ht="96.75" customHeight="1">
      <c r="A215" s="812" t="s">
        <v>271</v>
      </c>
      <c r="B215" s="813" t="s">
        <v>976</v>
      </c>
      <c r="C215" s="813" t="s">
        <v>977</v>
      </c>
      <c r="D215" s="382">
        <v>1081.3</v>
      </c>
      <c r="E215" s="382">
        <f t="shared" si="4"/>
        <v>34.700000000000045</v>
      </c>
      <c r="F215" s="382">
        <v>1116</v>
      </c>
      <c r="J215" s="816"/>
      <c r="K215" s="816"/>
    </row>
    <row r="216" spans="1:13" s="11" customFormat="1" ht="168.75" hidden="1" customHeight="1">
      <c r="A216" s="812" t="s">
        <v>271</v>
      </c>
      <c r="B216" s="813" t="s">
        <v>1235</v>
      </c>
      <c r="C216" s="813" t="s">
        <v>1236</v>
      </c>
      <c r="D216" s="382">
        <v>0</v>
      </c>
      <c r="E216" s="382">
        <f t="shared" si="4"/>
        <v>598.6</v>
      </c>
      <c r="F216" s="382">
        <v>598.6</v>
      </c>
      <c r="J216" s="816"/>
      <c r="K216" s="816"/>
    </row>
    <row r="217" spans="1:13" s="11" customFormat="1" ht="48.75" customHeight="1">
      <c r="A217" s="812" t="s">
        <v>271</v>
      </c>
      <c r="B217" s="813" t="s">
        <v>1237</v>
      </c>
      <c r="C217" s="813" t="s">
        <v>1238</v>
      </c>
      <c r="D217" s="382"/>
      <c r="E217" s="382">
        <f t="shared" si="4"/>
        <v>58400</v>
      </c>
      <c r="F217" s="382">
        <v>58400</v>
      </c>
      <c r="J217" s="816"/>
      <c r="K217" s="816"/>
    </row>
    <row r="218" spans="1:13" s="11" customFormat="1" ht="78" customHeight="1">
      <c r="A218" s="812" t="s">
        <v>271</v>
      </c>
      <c r="B218" s="813" t="s">
        <v>978</v>
      </c>
      <c r="C218" s="813" t="s">
        <v>979</v>
      </c>
      <c r="D218" s="382">
        <v>84.368899999999996</v>
      </c>
      <c r="E218" s="382">
        <f t="shared" si="4"/>
        <v>0</v>
      </c>
      <c r="F218" s="382">
        <v>84.368899999999996</v>
      </c>
      <c r="J218" s="816"/>
      <c r="K218" s="816"/>
    </row>
    <row r="219" spans="1:13" s="11" customFormat="1" ht="71.25" customHeight="1">
      <c r="A219" s="812" t="s">
        <v>271</v>
      </c>
      <c r="B219" s="813" t="s">
        <v>980</v>
      </c>
      <c r="C219" s="813" t="s">
        <v>879</v>
      </c>
      <c r="D219" s="382">
        <v>-1258.0241799999999</v>
      </c>
      <c r="E219" s="382">
        <f t="shared" si="4"/>
        <v>0</v>
      </c>
      <c r="F219" s="382">
        <v>-1258.0241799999999</v>
      </c>
      <c r="G219" s="816"/>
      <c r="J219" s="816"/>
      <c r="K219" s="816"/>
    </row>
    <row r="220" spans="1:13" s="113" customFormat="1" ht="26.25" hidden="1" customHeight="1">
      <c r="A220" s="812"/>
      <c r="B220" s="813"/>
      <c r="C220" s="813" t="s">
        <v>981</v>
      </c>
      <c r="D220" s="382">
        <f>D10+D143</f>
        <v>428038.61398000002</v>
      </c>
      <c r="E220" s="382">
        <f>E10+E143</f>
        <v>122433.96232000001</v>
      </c>
      <c r="F220" s="382">
        <f>F10+F143</f>
        <v>550472.57629999996</v>
      </c>
      <c r="G220" s="819">
        <v>407598.06</v>
      </c>
      <c r="H220" s="819">
        <f>G220+F219-F218</f>
        <v>406255.66691999999</v>
      </c>
      <c r="J220" s="819"/>
      <c r="K220" s="819"/>
      <c r="L220" s="819"/>
    </row>
    <row r="221" spans="1:13" s="113" customFormat="1" ht="30" hidden="1" customHeight="1">
      <c r="A221" s="812"/>
      <c r="B221" s="813"/>
      <c r="C221" s="813" t="s">
        <v>982</v>
      </c>
      <c r="D221" s="382">
        <f>D10</f>
        <v>63052.269260000001</v>
      </c>
      <c r="E221" s="382">
        <f t="shared" si="4"/>
        <v>7678.6693200000009</v>
      </c>
      <c r="F221" s="382">
        <f>F10</f>
        <v>70730.938580000002</v>
      </c>
      <c r="G221" s="819"/>
      <c r="J221" s="819"/>
      <c r="K221" s="819"/>
    </row>
    <row r="222" spans="1:13" ht="45" hidden="1" customHeight="1">
      <c r="A222" s="385"/>
      <c r="B222" s="820"/>
      <c r="C222" s="798" t="s">
        <v>983</v>
      </c>
      <c r="D222" s="382"/>
      <c r="E222" s="382">
        <f t="shared" si="4"/>
        <v>0</v>
      </c>
      <c r="F222" s="382"/>
      <c r="J222" s="821"/>
      <c r="K222" s="819"/>
    </row>
    <row r="223" spans="1:13" ht="15" hidden="1" customHeight="1">
      <c r="A223" s="385"/>
      <c r="B223" s="820"/>
      <c r="C223" s="798" t="s">
        <v>984</v>
      </c>
      <c r="D223" s="386"/>
      <c r="E223" s="382">
        <f t="shared" si="4"/>
        <v>0</v>
      </c>
      <c r="F223" s="386"/>
      <c r="G223" s="821">
        <f>F223+F219-F218</f>
        <v>-1342.3930799999998</v>
      </c>
      <c r="J223" s="822"/>
      <c r="K223" s="819"/>
      <c r="L223" s="821" t="e">
        <f>#REF!--121312.97</f>
        <v>#REF!</v>
      </c>
    </row>
    <row r="224" spans="1:13" ht="30" hidden="1" customHeight="1">
      <c r="A224" s="385"/>
      <c r="B224" s="820"/>
      <c r="C224" s="823" t="s">
        <v>985</v>
      </c>
      <c r="D224" s="382">
        <v>0</v>
      </c>
      <c r="E224" s="382">
        <f t="shared" si="4"/>
        <v>0</v>
      </c>
      <c r="F224" s="382">
        <v>0</v>
      </c>
      <c r="G224" s="821"/>
      <c r="K224" s="819"/>
      <c r="L224">
        <v>15039.66</v>
      </c>
      <c r="M224" s="822">
        <f>L225-F225</f>
        <v>-550472.57629999996</v>
      </c>
    </row>
    <row r="225" spans="1:14" ht="21.75" customHeight="1">
      <c r="A225" s="385"/>
      <c r="B225" s="820"/>
      <c r="C225" s="798" t="s">
        <v>986</v>
      </c>
      <c r="D225" s="827">
        <f>D220+D222-D224</f>
        <v>428038.61398000002</v>
      </c>
      <c r="E225" s="382">
        <f t="shared" si="4"/>
        <v>122433.96231999993</v>
      </c>
      <c r="F225" s="827">
        <f>F220+F222-F224</f>
        <v>550472.57629999996</v>
      </c>
      <c r="H225" s="821"/>
      <c r="J225" s="821"/>
      <c r="K225" s="819"/>
      <c r="L225" s="824"/>
      <c r="M225" s="822"/>
      <c r="N225" s="822"/>
    </row>
    <row r="240" spans="1:14">
      <c r="F240" s="821"/>
    </row>
  </sheetData>
  <mergeCells count="2">
    <mergeCell ref="D4:F4"/>
    <mergeCell ref="B6:D6"/>
  </mergeCells>
  <pageMargins left="0.70866141732283472" right="0" top="0.35433070866141736" bottom="3.937007874015748E-2" header="0.31496062992125984" footer="0"/>
  <pageSetup paperSize="9" scale="75" orientation="portrait" r:id="rId1"/>
  <colBreaks count="1" manualBreakCount="1">
    <brk id="6" max="2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J83"/>
  <sheetViews>
    <sheetView view="pageBreakPreview" topLeftCell="B1" zoomScaleSheetLayoutView="75" workbookViewId="0">
      <selection activeCell="I72" sqref="I72"/>
    </sheetView>
  </sheetViews>
  <sheetFormatPr defaultRowHeight="15"/>
  <cols>
    <col min="1" max="1" width="6.140625" style="2" customWidth="1"/>
    <col min="2" max="2" width="58.7109375" style="2" customWidth="1"/>
    <col min="3" max="3" width="6.42578125" style="2" customWidth="1"/>
    <col min="4" max="4" width="6" style="2" customWidth="1"/>
    <col min="5" max="5" width="12.5703125" style="2" hidden="1" customWidth="1"/>
    <col min="6" max="6" width="11.85546875" style="2" hidden="1" customWidth="1"/>
    <col min="7" max="7" width="13.5703125" style="2" customWidth="1"/>
    <col min="8" max="8" width="11.85546875" style="2" customWidth="1"/>
    <col min="9" max="9" width="13.5703125" style="2" customWidth="1"/>
    <col min="10" max="10" width="9.42578125" style="2" bestFit="1" customWidth="1"/>
    <col min="11" max="16384" width="9.140625" style="2"/>
  </cols>
  <sheetData>
    <row r="2" spans="2:10" ht="12.75" customHeight="1">
      <c r="B2" s="1"/>
      <c r="C2" s="865" t="s">
        <v>8</v>
      </c>
      <c r="D2" s="866"/>
      <c r="E2" s="866"/>
      <c r="F2" s="866"/>
      <c r="G2" s="866"/>
      <c r="H2" s="866"/>
      <c r="I2" s="866"/>
    </row>
    <row r="3" spans="2:10" ht="37.5" customHeight="1">
      <c r="B3" s="1"/>
      <c r="C3" s="867" t="s">
        <v>1246</v>
      </c>
      <c r="D3" s="867"/>
      <c r="E3" s="867"/>
      <c r="F3" s="867"/>
      <c r="G3" s="867"/>
      <c r="H3" s="868"/>
      <c r="I3" s="868"/>
    </row>
    <row r="4" spans="2:10" ht="9.75" customHeight="1">
      <c r="B4" s="1"/>
      <c r="C4" s="3"/>
      <c r="D4" s="3"/>
      <c r="E4" s="3"/>
      <c r="F4" s="3"/>
      <c r="G4" s="3"/>
      <c r="H4" s="4"/>
      <c r="I4" s="4"/>
    </row>
    <row r="5" spans="2:10" ht="15.75" customHeight="1">
      <c r="B5" s="869" t="s">
        <v>9</v>
      </c>
      <c r="C5" s="870"/>
      <c r="D5" s="870"/>
      <c r="E5" s="870"/>
      <c r="F5" s="871"/>
      <c r="G5" s="871"/>
      <c r="H5" s="872"/>
      <c r="I5" s="872"/>
    </row>
    <row r="6" spans="2:10" ht="33" customHeight="1">
      <c r="B6" s="873" t="s">
        <v>10</v>
      </c>
      <c r="C6" s="874"/>
      <c r="D6" s="874"/>
      <c r="E6" s="874"/>
      <c r="F6" s="874"/>
      <c r="G6" s="874"/>
      <c r="H6" s="874"/>
      <c r="I6" s="874"/>
    </row>
    <row r="7" spans="2:10">
      <c r="B7" s="5"/>
      <c r="C7" s="6"/>
      <c r="D7" s="6"/>
      <c r="F7" s="1"/>
      <c r="H7" s="1"/>
      <c r="I7" s="2" t="s">
        <v>11</v>
      </c>
    </row>
    <row r="8" spans="2:10" ht="42" customHeight="1">
      <c r="B8" s="419" t="s">
        <v>12</v>
      </c>
      <c r="C8" s="419" t="s">
        <v>13</v>
      </c>
      <c r="D8" s="419" t="s">
        <v>14</v>
      </c>
      <c r="E8" s="419" t="s">
        <v>15</v>
      </c>
      <c r="F8" s="420" t="s">
        <v>16</v>
      </c>
      <c r="G8" s="419" t="s">
        <v>17</v>
      </c>
      <c r="H8" s="420" t="s">
        <v>16</v>
      </c>
      <c r="I8" s="419" t="s">
        <v>18</v>
      </c>
    </row>
    <row r="9" spans="2:10">
      <c r="B9" s="414" t="s">
        <v>19</v>
      </c>
      <c r="C9" s="864" t="s">
        <v>20</v>
      </c>
      <c r="D9" s="864"/>
      <c r="E9" s="418">
        <f>E10+E11+E12+E13+E14+E15+E16+E18+E22</f>
        <v>23726.144929999995</v>
      </c>
      <c r="F9" s="418">
        <f>F10+F11+F12+F13+F14+F15+F16+F18+F22</f>
        <v>1264</v>
      </c>
      <c r="G9" s="418">
        <f>G10+G11+G12+G13+G14+G15+G16+G18+G22+G21+G17</f>
        <v>25476.497930000001</v>
      </c>
      <c r="H9" s="418">
        <f>H10+H11+H12+H13+H14+H15+H16+H18+H22+H21+H17</f>
        <v>140.59800000000007</v>
      </c>
      <c r="I9" s="418">
        <f>I10+I11+I12+I13+I14+I15+I16+I18+I22+I21+I17</f>
        <v>25617.095929999996</v>
      </c>
      <c r="J9" s="10">
        <f>SUM(G10:G21)</f>
        <v>25476.497930000001</v>
      </c>
    </row>
    <row r="10" spans="2:10" ht="30">
      <c r="B10" s="205" t="s">
        <v>21</v>
      </c>
      <c r="C10" s="8" t="s">
        <v>22</v>
      </c>
      <c r="D10" s="8" t="s">
        <v>23</v>
      </c>
      <c r="E10" s="7">
        <f>'[1]10 прил(2011г)чистовик'!J651</f>
        <v>1080.095</v>
      </c>
      <c r="F10" s="7">
        <f>'[1]10 прил(2011г)чистовик'!K651</f>
        <v>0</v>
      </c>
      <c r="G10" s="9">
        <f>'[1]10 прил(2011г)чистовик'!J651</f>
        <v>1080.095</v>
      </c>
      <c r="H10" s="9">
        <f>'10 прил(гл.расп,расх)'!K711</f>
        <v>0</v>
      </c>
      <c r="I10" s="9">
        <f>G10+H10</f>
        <v>1080.095</v>
      </c>
      <c r="J10" s="10">
        <f>G9-J9</f>
        <v>0</v>
      </c>
    </row>
    <row r="11" spans="2:10" ht="45">
      <c r="B11" s="205" t="s">
        <v>24</v>
      </c>
      <c r="C11" s="8" t="s">
        <v>22</v>
      </c>
      <c r="D11" s="8" t="s">
        <v>25</v>
      </c>
      <c r="E11" s="7">
        <f>'[1]10 прил(2011г)чистовик'!J652</f>
        <v>1677.1489999999999</v>
      </c>
      <c r="F11" s="7">
        <f>'[1]10 прил(2011г)чистовик'!K652</f>
        <v>0</v>
      </c>
      <c r="G11" s="9">
        <f>'10 прил(гл.расп,расх)'!J712</f>
        <v>1706.816</v>
      </c>
      <c r="H11" s="9">
        <f>'10 прил(гл.расп,расх)'!K712</f>
        <v>2.133</v>
      </c>
      <c r="I11" s="9">
        <f>'10 прил(гл.расп,расх)'!L712</f>
        <v>1708.9490000000001</v>
      </c>
    </row>
    <row r="12" spans="2:10" ht="60">
      <c r="B12" s="205" t="s">
        <v>26</v>
      </c>
      <c r="C12" s="8" t="s">
        <v>22</v>
      </c>
      <c r="D12" s="8" t="s">
        <v>27</v>
      </c>
      <c r="E12" s="7">
        <f>'[1]10 прил(2011г)чистовик'!J653</f>
        <v>17629.555999999997</v>
      </c>
      <c r="F12" s="7">
        <f>'[1]10 прил(2011г)чистовик'!K653</f>
        <v>1264</v>
      </c>
      <c r="G12" s="9">
        <f>'10 прил(гл.расп,расх)'!J713</f>
        <v>16633.749</v>
      </c>
      <c r="H12" s="9">
        <f>'10 прил(гл.расп,расх)'!K713</f>
        <v>633.178</v>
      </c>
      <c r="I12" s="9">
        <f>'10 прил(гл.расп,расх)'!L713</f>
        <v>17266.926999999996</v>
      </c>
    </row>
    <row r="13" spans="2:10" ht="12.75" customHeight="1">
      <c r="B13" s="205" t="s">
        <v>28</v>
      </c>
      <c r="C13" s="8" t="s">
        <v>22</v>
      </c>
      <c r="D13" s="8" t="s">
        <v>29</v>
      </c>
      <c r="E13" s="7">
        <f>'[1]10 прил(2011г)чистовик'!J654</f>
        <v>0</v>
      </c>
      <c r="F13" s="7">
        <f>'[1]10 прил(2011г)чистовик'!K654</f>
        <v>0</v>
      </c>
      <c r="G13" s="9">
        <f>'10 прил(гл.расп,расх)'!J714</f>
        <v>0</v>
      </c>
      <c r="H13" s="9">
        <f>'10 прил(гл.расп,расх)'!K714</f>
        <v>0</v>
      </c>
      <c r="I13" s="9">
        <f>'10 прил(гл.расп,расх)'!L714</f>
        <v>0</v>
      </c>
    </row>
    <row r="14" spans="2:10" ht="45">
      <c r="B14" s="205" t="s">
        <v>30</v>
      </c>
      <c r="C14" s="8" t="s">
        <v>22</v>
      </c>
      <c r="D14" s="8" t="s">
        <v>31</v>
      </c>
      <c r="E14" s="7">
        <f>'[1]10 прил(2011г)чистовик'!J655</f>
        <v>3205.056</v>
      </c>
      <c r="F14" s="7">
        <f>'[1]10 прил(2011г)чистовик'!K655</f>
        <v>0</v>
      </c>
      <c r="G14" s="9">
        <f>'10 прил(гл.расп,расх)'!J715</f>
        <v>3208.3449999999998</v>
      </c>
      <c r="H14" s="9">
        <f>'10 прил(гл.расп,расх)'!K715</f>
        <v>68.960999999999999</v>
      </c>
      <c r="I14" s="9">
        <f>'10 прил(гл.расп,расх)'!L715</f>
        <v>3277.3059999999996</v>
      </c>
    </row>
    <row r="15" spans="2:10" ht="15" customHeight="1">
      <c r="B15" s="205" t="s">
        <v>32</v>
      </c>
      <c r="C15" s="8" t="s">
        <v>22</v>
      </c>
      <c r="D15" s="8" t="s">
        <v>33</v>
      </c>
      <c r="E15" s="7">
        <f>'[1]10 прил(2011г)чистовик'!J656</f>
        <v>134.28892999999999</v>
      </c>
      <c r="F15" s="7">
        <f>'[1]10 прил(2011г)чистовик'!K656</f>
        <v>0</v>
      </c>
      <c r="G15" s="9">
        <f>'10 прил(гл.расп,расх)'!J716</f>
        <v>134.28892999999999</v>
      </c>
      <c r="H15" s="9">
        <f>'10 прил(гл.расп,расх)'!K716</f>
        <v>30</v>
      </c>
      <c r="I15" s="9">
        <f>'10 прил(гл.расп,расх)'!L716</f>
        <v>164.28892999999999</v>
      </c>
    </row>
    <row r="16" spans="2:10" hidden="1">
      <c r="B16" s="205"/>
      <c r="C16" s="8"/>
      <c r="D16" s="8"/>
      <c r="E16" s="7"/>
      <c r="F16" s="7"/>
      <c r="G16" s="9"/>
      <c r="H16" s="9"/>
      <c r="I16" s="9"/>
    </row>
    <row r="17" spans="2:10">
      <c r="B17" s="413" t="s">
        <v>36</v>
      </c>
      <c r="C17" s="8" t="s">
        <v>22</v>
      </c>
      <c r="D17" s="8" t="s">
        <v>35</v>
      </c>
      <c r="E17" s="7"/>
      <c r="F17" s="7"/>
      <c r="G17" s="9">
        <f>'10 прил(гл.расп,расх)'!J718</f>
        <v>662.71600000000001</v>
      </c>
      <c r="H17" s="9">
        <f>'10 прил(гл.расп,расх)'!K718</f>
        <v>-662.71600000000001</v>
      </c>
      <c r="I17" s="9">
        <f>'10 прил(гл.расп,расх)'!L718</f>
        <v>0</v>
      </c>
    </row>
    <row r="18" spans="2:10" hidden="1">
      <c r="B18" s="205" t="s">
        <v>36</v>
      </c>
      <c r="C18" s="8" t="s">
        <v>22</v>
      </c>
      <c r="D18" s="8" t="s">
        <v>37</v>
      </c>
      <c r="E18" s="7">
        <f>'[1]10 прил(2011г)чистовик'!J659</f>
        <v>0</v>
      </c>
      <c r="F18" s="7">
        <f>'[1]10 прил(2011г)чистовик'!K659</f>
        <v>0</v>
      </c>
      <c r="G18" s="9">
        <f>'10 прил(гл.расп,расх)'!J719</f>
        <v>0</v>
      </c>
      <c r="H18" s="9">
        <f>'10 прил(гл.расп,расх)'!K719</f>
        <v>0</v>
      </c>
      <c r="I18" s="9">
        <f>'10 прил(гл.расп,расх)'!L719</f>
        <v>0</v>
      </c>
    </row>
    <row r="19" spans="2:10" ht="14.25" hidden="1" customHeight="1">
      <c r="B19" s="205"/>
      <c r="C19" s="8"/>
      <c r="D19" s="8"/>
      <c r="E19" s="7">
        <f>'[1]10 прил(2011г)чистовик'!J660</f>
        <v>1596.53</v>
      </c>
      <c r="F19" s="7">
        <f>'[1]10 прил(2011г)чистовик'!K660</f>
        <v>450</v>
      </c>
      <c r="G19" s="9"/>
      <c r="H19" s="9"/>
      <c r="I19" s="9"/>
    </row>
    <row r="20" spans="2:10" ht="14.25" hidden="1" customHeight="1">
      <c r="B20" s="205"/>
      <c r="C20" s="8" t="s">
        <v>22</v>
      </c>
      <c r="D20" s="8" t="s">
        <v>38</v>
      </c>
      <c r="E20" s="7">
        <f>'[1]10 прил(2011г)чистовик'!J660</f>
        <v>1596.53</v>
      </c>
      <c r="F20" s="7">
        <f>'[1]10 прил(2011г)чистовик'!K660</f>
        <v>450</v>
      </c>
      <c r="G20" s="9"/>
      <c r="H20" s="9"/>
      <c r="I20" s="9"/>
    </row>
    <row r="21" spans="2:10" ht="14.25" customHeight="1">
      <c r="B21" s="413" t="s">
        <v>39</v>
      </c>
      <c r="C21" s="8" t="s">
        <v>22</v>
      </c>
      <c r="D21" s="8" t="s">
        <v>38</v>
      </c>
      <c r="E21" s="7"/>
      <c r="F21" s="7"/>
      <c r="G21" s="9">
        <f>'10 прил(гл.расп,расх)'!J720</f>
        <v>2050.4880000000003</v>
      </c>
      <c r="H21" s="9">
        <f>'10 прил(гл.расп,расх)'!K720</f>
        <v>36.042000000000002</v>
      </c>
      <c r="I21" s="9">
        <f>'10 прил(гл.расп,расх)'!L720</f>
        <v>2086.5299999999997</v>
      </c>
    </row>
    <row r="22" spans="2:10" hidden="1">
      <c r="B22" s="205" t="s">
        <v>39</v>
      </c>
      <c r="C22" s="8" t="s">
        <v>22</v>
      </c>
      <c r="D22" s="8" t="s">
        <v>40</v>
      </c>
      <c r="E22" s="7">
        <f>'[1]10 прил(2011г)чистовик'!J661</f>
        <v>0</v>
      </c>
      <c r="F22" s="7">
        <f>'[1]10 прил(2011г)чистовик'!K661</f>
        <v>0</v>
      </c>
      <c r="G22" s="9">
        <v>0</v>
      </c>
      <c r="H22" s="9">
        <f>'10 прил(гл.расп,расх)'!K723</f>
        <v>33</v>
      </c>
      <c r="I22" s="9">
        <f t="shared" ref="I22:I27" si="0">G22+H22</f>
        <v>33</v>
      </c>
    </row>
    <row r="23" spans="2:10">
      <c r="B23" s="414" t="s">
        <v>41</v>
      </c>
      <c r="C23" s="864" t="s">
        <v>42</v>
      </c>
      <c r="D23" s="864"/>
      <c r="E23" s="415"/>
      <c r="F23" s="415"/>
      <c r="G23" s="416">
        <f>G24</f>
        <v>508.5</v>
      </c>
      <c r="H23" s="416">
        <f>H24</f>
        <v>33</v>
      </c>
      <c r="I23" s="416">
        <f>I24</f>
        <v>541.5</v>
      </c>
      <c r="J23" s="10">
        <f>G24</f>
        <v>508.5</v>
      </c>
    </row>
    <row r="24" spans="2:10">
      <c r="B24" s="205" t="s">
        <v>43</v>
      </c>
      <c r="C24" s="8" t="s">
        <v>23</v>
      </c>
      <c r="D24" s="8" t="s">
        <v>25</v>
      </c>
      <c r="E24" s="7"/>
      <c r="F24" s="7"/>
      <c r="G24" s="9">
        <v>508.5</v>
      </c>
      <c r="H24" s="9">
        <f>'10 прил(гл.расп,расх)'!K723</f>
        <v>33</v>
      </c>
      <c r="I24" s="9">
        <f t="shared" si="0"/>
        <v>541.5</v>
      </c>
    </row>
    <row r="25" spans="2:10" ht="29.25">
      <c r="B25" s="414" t="s">
        <v>44</v>
      </c>
      <c r="C25" s="864" t="s">
        <v>45</v>
      </c>
      <c r="D25" s="864"/>
      <c r="E25" s="415">
        <f>SUM(E26:E27)</f>
        <v>575</v>
      </c>
      <c r="F25" s="415">
        <f>SUM(F26:F27)</f>
        <v>200</v>
      </c>
      <c r="G25" s="415">
        <f>SUM(G26:G28)</f>
        <v>775</v>
      </c>
      <c r="H25" s="415">
        <f>SUM(H26:H28)</f>
        <v>15</v>
      </c>
      <c r="I25" s="415">
        <f>SUM(I26:I28)</f>
        <v>790</v>
      </c>
      <c r="J25" s="10">
        <f>SUM(G26:G27)</f>
        <v>775</v>
      </c>
    </row>
    <row r="26" spans="2:10">
      <c r="B26" s="205" t="s">
        <v>46</v>
      </c>
      <c r="C26" s="8" t="s">
        <v>25</v>
      </c>
      <c r="D26" s="8" t="s">
        <v>23</v>
      </c>
      <c r="E26" s="7">
        <f>'[1]10 прил(2011г)чистовик'!J665</f>
        <v>500</v>
      </c>
      <c r="F26" s="7">
        <f>'[1]10 прил(2011г)чистовик'!K665</f>
        <v>200</v>
      </c>
      <c r="G26" s="9">
        <v>700</v>
      </c>
      <c r="H26" s="9">
        <f>'10 прил(гл.расп,расх)'!K725</f>
        <v>0</v>
      </c>
      <c r="I26" s="9">
        <f t="shared" si="0"/>
        <v>700</v>
      </c>
    </row>
    <row r="27" spans="2:10" ht="30">
      <c r="B27" s="205" t="s">
        <v>47</v>
      </c>
      <c r="C27" s="8" t="s">
        <v>25</v>
      </c>
      <c r="D27" s="8" t="s">
        <v>48</v>
      </c>
      <c r="E27" s="7">
        <f>'[1]10 прил(2011г)чистовик'!J666</f>
        <v>75</v>
      </c>
      <c r="F27" s="7">
        <f>'[1]10 прил(2011г)чистовик'!K666</f>
        <v>0</v>
      </c>
      <c r="G27" s="9">
        <f>'[1]10 прил(2011г)чистовик'!J666</f>
        <v>75</v>
      </c>
      <c r="H27" s="9">
        <f>'10 прил(гл.расп,расх)'!K726</f>
        <v>0</v>
      </c>
      <c r="I27" s="9">
        <f t="shared" si="0"/>
        <v>75</v>
      </c>
    </row>
    <row r="28" spans="2:10">
      <c r="B28" s="205"/>
      <c r="C28" s="8" t="s">
        <v>25</v>
      </c>
      <c r="D28" s="8" t="s">
        <v>40</v>
      </c>
      <c r="E28" s="7"/>
      <c r="F28" s="7"/>
      <c r="G28" s="9">
        <f>'10 прил(гл.расп,расх)'!J727</f>
        <v>0</v>
      </c>
      <c r="H28" s="9">
        <f>'10 прил(гл.расп,расх)'!K727</f>
        <v>15</v>
      </c>
      <c r="I28" s="9">
        <f>'10 прил(гл.расп,расх)'!L727</f>
        <v>15</v>
      </c>
    </row>
    <row r="29" spans="2:10">
      <c r="B29" s="414" t="s">
        <v>49</v>
      </c>
      <c r="C29" s="864" t="s">
        <v>50</v>
      </c>
      <c r="D29" s="864"/>
      <c r="E29" s="415">
        <f>SUM(E30:E35)</f>
        <v>2694.703</v>
      </c>
      <c r="F29" s="415">
        <f>SUM(F30:F35)</f>
        <v>70</v>
      </c>
      <c r="G29" s="415">
        <f>SUM(G30:G35)</f>
        <v>6093.7049999999999</v>
      </c>
      <c r="H29" s="415">
        <f>SUM(H30:H35)</f>
        <v>746.62800000000004</v>
      </c>
      <c r="I29" s="415">
        <f>SUM(I30:I35)</f>
        <v>6840.3330000000005</v>
      </c>
      <c r="J29" s="10">
        <f>SUM(H30:H35)</f>
        <v>746.62800000000004</v>
      </c>
    </row>
    <row r="30" spans="2:10">
      <c r="B30" s="205" t="s">
        <v>51</v>
      </c>
      <c r="C30" s="8" t="s">
        <v>27</v>
      </c>
      <c r="D30" s="8" t="s">
        <v>22</v>
      </c>
      <c r="E30" s="7"/>
      <c r="F30" s="7"/>
      <c r="G30" s="9">
        <f>'10 прил(гл.расп,расх)'!J729</f>
        <v>0</v>
      </c>
      <c r="H30" s="9">
        <f>'10 прил(гл.расп,расх)'!K729</f>
        <v>598.6</v>
      </c>
      <c r="I30" s="9">
        <f>'10 прил(гл.расп,расх)'!L729</f>
        <v>598.6</v>
      </c>
    </row>
    <row r="31" spans="2:10" ht="14.25" customHeight="1">
      <c r="B31" s="205" t="s">
        <v>52</v>
      </c>
      <c r="C31" s="8" t="s">
        <v>27</v>
      </c>
      <c r="D31" s="8" t="s">
        <v>29</v>
      </c>
      <c r="E31" s="7">
        <f>'[1]10 прил(2011г)чистовик'!J668</f>
        <v>160</v>
      </c>
      <c r="F31" s="7">
        <f>'[1]10 прил(2011г)чистовик'!K668</f>
        <v>70</v>
      </c>
      <c r="G31" s="9">
        <f>'10 прил(гл.расп,расх)'!J730</f>
        <v>2559</v>
      </c>
      <c r="H31" s="9">
        <f>'10 прил(гл.расп,расх)'!K730</f>
        <v>40</v>
      </c>
      <c r="I31" s="9">
        <f>'10 прил(гл.расп,расх)'!L730</f>
        <v>2599</v>
      </c>
    </row>
    <row r="32" spans="2:10" hidden="1">
      <c r="B32" s="205" t="s">
        <v>53</v>
      </c>
      <c r="C32" s="8" t="s">
        <v>27</v>
      </c>
      <c r="D32" s="8" t="s">
        <v>54</v>
      </c>
      <c r="E32" s="7">
        <v>0</v>
      </c>
      <c r="F32" s="7"/>
      <c r="G32" s="9"/>
      <c r="H32" s="9">
        <f>'10 прил(гл.расп,расх)'!K732</f>
        <v>0</v>
      </c>
      <c r="I32" s="9">
        <f>G32+H32</f>
        <v>0</v>
      </c>
    </row>
    <row r="33" spans="2:10" hidden="1">
      <c r="B33" s="205" t="s">
        <v>55</v>
      </c>
      <c r="C33" s="8" t="s">
        <v>27</v>
      </c>
      <c r="D33" s="8" t="s">
        <v>48</v>
      </c>
      <c r="E33" s="7">
        <f>'[1]10 прил(2011г)чистовик'!J669</f>
        <v>0</v>
      </c>
      <c r="F33" s="7">
        <f>'[1]10 прил(2011г)чистовик'!K669</f>
        <v>0</v>
      </c>
      <c r="G33" s="9">
        <f>'[1]10 прил(2011г)чистовик'!J669</f>
        <v>0</v>
      </c>
      <c r="H33" s="9"/>
      <c r="I33" s="9">
        <f>G33+H33</f>
        <v>0</v>
      </c>
    </row>
    <row r="34" spans="2:10" ht="27" hidden="1" customHeight="1">
      <c r="B34" s="46" t="s">
        <v>56</v>
      </c>
      <c r="C34" s="8" t="s">
        <v>27</v>
      </c>
      <c r="D34" s="8" t="s">
        <v>35</v>
      </c>
      <c r="E34" s="7">
        <f>'[1]10 прил(2011г)чистовик'!J670</f>
        <v>0</v>
      </c>
      <c r="F34" s="7">
        <f>'[1]10 прил(2011г)чистовик'!K670</f>
        <v>0</v>
      </c>
      <c r="G34" s="9"/>
      <c r="H34" s="9">
        <v>0</v>
      </c>
      <c r="I34" s="9">
        <f>G34+H34</f>
        <v>0</v>
      </c>
    </row>
    <row r="35" spans="2:10">
      <c r="B35" s="205" t="s">
        <v>57</v>
      </c>
      <c r="C35" s="8" t="s">
        <v>27</v>
      </c>
      <c r="D35" s="8" t="s">
        <v>37</v>
      </c>
      <c r="E35" s="7">
        <f>'[1]10 прил(2011г)чистовик'!J671</f>
        <v>2534.703</v>
      </c>
      <c r="F35" s="7">
        <f>'[1]10 прил(2011г)чистовик'!K671</f>
        <v>0</v>
      </c>
      <c r="G35" s="9">
        <f>'10 прил(гл.расп,расх)'!J733</f>
        <v>3534.7049999999999</v>
      </c>
      <c r="H35" s="9">
        <f>'10 прил(гл.расп,расх)'!K733</f>
        <v>108.02799999999999</v>
      </c>
      <c r="I35" s="9">
        <f>'10 прил(гл.расп,расх)'!L733</f>
        <v>3642.7330000000002</v>
      </c>
    </row>
    <row r="36" spans="2:10">
      <c r="B36" s="414" t="s">
        <v>58</v>
      </c>
      <c r="C36" s="864" t="s">
        <v>59</v>
      </c>
      <c r="D36" s="864"/>
      <c r="E36" s="415">
        <f>SUM(E37:E40)</f>
        <v>16056.14</v>
      </c>
      <c r="F36" s="415">
        <f>SUM(F37:F40)</f>
        <v>990.6</v>
      </c>
      <c r="G36" s="415">
        <f>SUM(G37:G40)</f>
        <v>23255.03</v>
      </c>
      <c r="H36" s="415">
        <f>SUM(H37:H40)</f>
        <v>1830.6119999999999</v>
      </c>
      <c r="I36" s="415">
        <f>SUM(I37:I40)</f>
        <v>25085.641999999996</v>
      </c>
      <c r="J36" s="10">
        <f>SUM(G37:G40)</f>
        <v>23255.03</v>
      </c>
    </row>
    <row r="37" spans="2:10">
      <c r="B37" s="205" t="s">
        <v>60</v>
      </c>
      <c r="C37" s="8" t="s">
        <v>29</v>
      </c>
      <c r="D37" s="8" t="s">
        <v>22</v>
      </c>
      <c r="E37" s="7">
        <f>'[1]10 прил(2011г)чистовик'!J673</f>
        <v>1400</v>
      </c>
      <c r="F37" s="7">
        <f>'[1]10 прил(2011г)чистовик'!K673</f>
        <v>80</v>
      </c>
      <c r="G37" s="9">
        <f>'10 прил(гл.расп,расх)'!J735</f>
        <v>1480</v>
      </c>
      <c r="H37" s="9">
        <f>'10 прил(гл.расп,расх)'!K735</f>
        <v>-284.41000000000003</v>
      </c>
      <c r="I37" s="9">
        <f>'10 прил(гл.расп,расх)'!L735</f>
        <v>1195.5900000000001</v>
      </c>
    </row>
    <row r="38" spans="2:10">
      <c r="B38" s="205" t="s">
        <v>61</v>
      </c>
      <c r="C38" s="8" t="s">
        <v>29</v>
      </c>
      <c r="D38" s="8" t="s">
        <v>23</v>
      </c>
      <c r="E38" s="7">
        <f>'[1]10 прил(2011г)чистовик'!J674</f>
        <v>14356.14</v>
      </c>
      <c r="F38" s="7">
        <f>'[1]10 прил(2011г)чистовик'!K674</f>
        <v>710.6</v>
      </c>
      <c r="G38" s="9">
        <f>'10 прил(гл.расп,расх)'!J736</f>
        <v>19775.03</v>
      </c>
      <c r="H38" s="9">
        <f>'10 прил(гл.расп,расх)'!K736</f>
        <v>1715.0219999999999</v>
      </c>
      <c r="I38" s="9">
        <f>'10 прил(гл.расп,расх)'!L736</f>
        <v>21490.051999999996</v>
      </c>
    </row>
    <row r="39" spans="2:10" ht="15" customHeight="1">
      <c r="B39" s="205" t="s">
        <v>62</v>
      </c>
      <c r="C39" s="8" t="s">
        <v>29</v>
      </c>
      <c r="D39" s="8" t="s">
        <v>25</v>
      </c>
      <c r="E39" s="7">
        <f>'[1]10 прил(2011г)чистовик'!J675</f>
        <v>300</v>
      </c>
      <c r="F39" s="7">
        <f>'[1]10 прил(2011г)чистовик'!K675</f>
        <v>200</v>
      </c>
      <c r="G39" s="9">
        <f>'10 прил(гл.расп,расх)'!J737</f>
        <v>2000</v>
      </c>
      <c r="H39" s="9">
        <f>'10 прил(гл.расп,расх)'!K737</f>
        <v>400</v>
      </c>
      <c r="I39" s="9">
        <f>'10 прил(гл.расп,расх)'!L737</f>
        <v>2400</v>
      </c>
    </row>
    <row r="40" spans="2:10" ht="12.75" customHeight="1">
      <c r="B40" s="205" t="s">
        <v>63</v>
      </c>
      <c r="C40" s="8" t="s">
        <v>29</v>
      </c>
      <c r="D40" s="8" t="s">
        <v>29</v>
      </c>
      <c r="E40" s="7">
        <f>'[1]10 прил(2011г)чистовик'!J676</f>
        <v>0</v>
      </c>
      <c r="F40" s="7">
        <f>'[1]10 прил(2011г)чистовик'!K676</f>
        <v>0</v>
      </c>
      <c r="G40" s="9">
        <v>0</v>
      </c>
      <c r="H40" s="9">
        <f>'10 прил(гл.расп,расх)'!K738</f>
        <v>0</v>
      </c>
      <c r="I40" s="9">
        <f>G40+H40</f>
        <v>0</v>
      </c>
    </row>
    <row r="41" spans="2:10">
      <c r="B41" s="414" t="s">
        <v>64</v>
      </c>
      <c r="C41" s="864" t="s">
        <v>65</v>
      </c>
      <c r="D41" s="864"/>
      <c r="E41" s="415">
        <f>SUM(E42:E46)</f>
        <v>202387.06693</v>
      </c>
      <c r="F41" s="415">
        <f>SUM(F42:F46)</f>
        <v>4473.2110400000001</v>
      </c>
      <c r="G41" s="415">
        <f>SUM(G42:G46)</f>
        <v>231373.49909</v>
      </c>
      <c r="H41" s="415">
        <f>SUM(H42:H46)</f>
        <v>45367.607000000004</v>
      </c>
      <c r="I41" s="415">
        <f>SUM(I42:I46)</f>
        <v>276741.10609000002</v>
      </c>
      <c r="J41" s="10">
        <f>SUM(G42:G46)</f>
        <v>231373.49909</v>
      </c>
    </row>
    <row r="42" spans="2:10" ht="15" customHeight="1">
      <c r="B42" s="205" t="s">
        <v>66</v>
      </c>
      <c r="C42" s="8" t="s">
        <v>33</v>
      </c>
      <c r="D42" s="8" t="s">
        <v>22</v>
      </c>
      <c r="E42" s="7">
        <f>'[1]10 прил(2011г)чистовик'!J678</f>
        <v>565</v>
      </c>
      <c r="F42" s="7">
        <f>'[1]10 прил(2011г)чистовик'!K678</f>
        <v>263</v>
      </c>
      <c r="G42" s="9">
        <f>'10 прил(гл.расп,расх)'!J740</f>
        <v>828</v>
      </c>
      <c r="H42" s="9">
        <f>'10 прил(гл.расп,расх)'!K740</f>
        <v>92.933000000000007</v>
      </c>
      <c r="I42" s="9">
        <f>'10 прил(гл.расп,расх)'!L740</f>
        <v>920.93299999999999</v>
      </c>
    </row>
    <row r="43" spans="2:10">
      <c r="B43" s="205" t="s">
        <v>67</v>
      </c>
      <c r="C43" s="8" t="s">
        <v>33</v>
      </c>
      <c r="D43" s="8" t="s">
        <v>23</v>
      </c>
      <c r="E43" s="7">
        <f>'[1]10 прил(2011г)чистовик'!J679</f>
        <v>191668.53093000001</v>
      </c>
      <c r="F43" s="7">
        <f>'[1]10 прил(2011г)чистовик'!K679</f>
        <v>4208.9560600000004</v>
      </c>
      <c r="G43" s="9">
        <f>'10 прил(гл.расп,расх)'!J741</f>
        <v>219238.61408999999</v>
      </c>
      <c r="H43" s="9">
        <f>'10 прил(гл.расп,расх)'!K741</f>
        <v>45078.957999999999</v>
      </c>
      <c r="I43" s="9">
        <f>'10 прил(гл.расп,расх)'!L741</f>
        <v>264317.57208999997</v>
      </c>
    </row>
    <row r="44" spans="2:10" ht="30">
      <c r="B44" s="205" t="s">
        <v>68</v>
      </c>
      <c r="C44" s="8" t="s">
        <v>33</v>
      </c>
      <c r="D44" s="8" t="s">
        <v>29</v>
      </c>
      <c r="E44" s="7">
        <f>'[1]10 прил(2011г)чистовик'!J680</f>
        <v>740.91</v>
      </c>
      <c r="F44" s="7">
        <f>'[1]10 прил(2011г)чистовик'!K680</f>
        <v>0</v>
      </c>
      <c r="G44" s="9">
        <f>'10 прил(гл.расп,расх)'!J742</f>
        <v>740.91000000000008</v>
      </c>
      <c r="H44" s="9">
        <f>'10 прил(гл.расп,расх)'!K742</f>
        <v>55.9</v>
      </c>
      <c r="I44" s="9">
        <f>'10 прил(гл.расп,расх)'!L742</f>
        <v>796.81</v>
      </c>
    </row>
    <row r="45" spans="2:10">
      <c r="B45" s="205" t="s">
        <v>69</v>
      </c>
      <c r="C45" s="8" t="s">
        <v>33</v>
      </c>
      <c r="D45" s="8" t="s">
        <v>33</v>
      </c>
      <c r="E45" s="7">
        <f>'[1]10 прил(2011г)чистовик'!J681</f>
        <v>2380.06</v>
      </c>
      <c r="F45" s="7">
        <f>'[1]10 прил(2011г)чистовик'!K681</f>
        <v>0</v>
      </c>
      <c r="G45" s="9">
        <f>'10 прил(гл.расп,расх)'!J743</f>
        <v>3469.136</v>
      </c>
      <c r="H45" s="9">
        <f>'10 прил(гл.расп,расх)'!K743</f>
        <v>23.138999999999999</v>
      </c>
      <c r="I45" s="9">
        <f>'10 прил(гл.расп,расх)'!L743</f>
        <v>3492.2749999999996</v>
      </c>
    </row>
    <row r="46" spans="2:10">
      <c r="B46" s="205" t="s">
        <v>70</v>
      </c>
      <c r="C46" s="8" t="s">
        <v>33</v>
      </c>
      <c r="D46" s="8" t="s">
        <v>48</v>
      </c>
      <c r="E46" s="7">
        <f>'[1]10 прил(2011г)чистовик'!J682</f>
        <v>7032.5659999999998</v>
      </c>
      <c r="F46" s="7">
        <f>'[1]10 прил(2011г)чистовик'!K682</f>
        <v>1.25498</v>
      </c>
      <c r="G46" s="9">
        <f>'10 прил(гл.расп,расх)'!J744</f>
        <v>7096.8389999999999</v>
      </c>
      <c r="H46" s="9">
        <f>'10 прил(гл.расп,расх)'!K744</f>
        <v>116.67699999999999</v>
      </c>
      <c r="I46" s="9">
        <f>'10 прил(гл.расп,расх)'!L744</f>
        <v>7213.5159999999996</v>
      </c>
    </row>
    <row r="47" spans="2:10">
      <c r="B47" s="414" t="s">
        <v>71</v>
      </c>
      <c r="C47" s="864" t="s">
        <v>72</v>
      </c>
      <c r="D47" s="864"/>
      <c r="E47" s="415">
        <f>SUM(E48:E51)</f>
        <v>4058.8519999999999</v>
      </c>
      <c r="F47" s="415">
        <f>SUM(F48:F51)</f>
        <v>648.88</v>
      </c>
      <c r="G47" s="415">
        <f>SUM(G48:G51)</f>
        <v>6889.0434000000005</v>
      </c>
      <c r="H47" s="415">
        <f>SUM(H48:H51)</f>
        <v>391.23900000000003</v>
      </c>
      <c r="I47" s="415">
        <f>SUM(I48:I51)</f>
        <v>7280.2824000000001</v>
      </c>
      <c r="J47" s="10">
        <f>SUM(G48:G50)</f>
        <v>6889.0434000000005</v>
      </c>
    </row>
    <row r="48" spans="2:10">
      <c r="B48" s="205" t="s">
        <v>73</v>
      </c>
      <c r="C48" s="8" t="s">
        <v>54</v>
      </c>
      <c r="D48" s="8" t="s">
        <v>22</v>
      </c>
      <c r="E48" s="7">
        <f>'[1]10 прил(2011г)чистовик'!J684</f>
        <v>4058.8519999999999</v>
      </c>
      <c r="F48" s="7">
        <f>'[1]10 прил(2011г)чистовик'!K684</f>
        <v>648.88</v>
      </c>
      <c r="G48" s="9">
        <f>'10 прил(гл.расп,расх)'!J746</f>
        <v>4754.2640000000001</v>
      </c>
      <c r="H48" s="9">
        <f>'10 прил(гл.расп,расх)'!K746</f>
        <v>284.22800000000001</v>
      </c>
      <c r="I48" s="9">
        <f>'10 прил(гл.расп,расх)'!L746</f>
        <v>5038.4920000000002</v>
      </c>
    </row>
    <row r="49" spans="2:10" hidden="1">
      <c r="B49" s="205" t="s">
        <v>74</v>
      </c>
      <c r="C49" s="8" t="s">
        <v>54</v>
      </c>
      <c r="D49" s="8" t="s">
        <v>27</v>
      </c>
      <c r="E49" s="7">
        <f>'[1]10 прил(2011г)чистовик'!J685</f>
        <v>0</v>
      </c>
      <c r="F49" s="7">
        <f>'[1]10 прил(2011г)чистовик'!K685</f>
        <v>0</v>
      </c>
      <c r="G49" s="9">
        <f>'[1]10 прил(2011г)чистовик'!J685</f>
        <v>0</v>
      </c>
      <c r="H49" s="9"/>
      <c r="I49" s="9">
        <f>G49+H49</f>
        <v>0</v>
      </c>
    </row>
    <row r="50" spans="2:10">
      <c r="B50" s="205" t="s">
        <v>75</v>
      </c>
      <c r="C50" s="8" t="s">
        <v>54</v>
      </c>
      <c r="D50" s="8" t="s">
        <v>27</v>
      </c>
      <c r="E50" s="7"/>
      <c r="F50" s="7"/>
      <c r="G50" s="9">
        <f>'10 прил(гл.расп,расх)'!J748</f>
        <v>2134.7793999999999</v>
      </c>
      <c r="H50" s="9">
        <f>'10 прил(гл.расп,расх)'!K748</f>
        <v>107.011</v>
      </c>
      <c r="I50" s="9">
        <f>'10 прил(гл.расп,расх)'!L748</f>
        <v>2241.7903999999999</v>
      </c>
    </row>
    <row r="51" spans="2:10" ht="30" hidden="1">
      <c r="B51" s="205" t="s">
        <v>76</v>
      </c>
      <c r="C51" s="8" t="s">
        <v>54</v>
      </c>
      <c r="D51" s="8" t="s">
        <v>31</v>
      </c>
      <c r="E51" s="7">
        <f>'[1]10 прил(2011г)чистовик'!J687</f>
        <v>0</v>
      </c>
      <c r="F51" s="7">
        <f>'[1]10 прил(2011г)чистовик'!K687</f>
        <v>0</v>
      </c>
      <c r="G51" s="9">
        <f>'[1]10 прил(2011г)чистовик'!J687</f>
        <v>0</v>
      </c>
      <c r="H51" s="9">
        <f>'[1]10 прил(2011г)чистовик'!K687</f>
        <v>0</v>
      </c>
      <c r="I51" s="9">
        <f>'[1]10 прил(2011г)чистовик'!L687</f>
        <v>0</v>
      </c>
    </row>
    <row r="52" spans="2:10">
      <c r="B52" s="414" t="s">
        <v>77</v>
      </c>
      <c r="C52" s="864" t="s">
        <v>78</v>
      </c>
      <c r="D52" s="864"/>
      <c r="E52" s="415">
        <f>SUM(E53:E59)</f>
        <v>43853.96</v>
      </c>
      <c r="F52" s="415">
        <f>SUM(F53:F59)</f>
        <v>100</v>
      </c>
      <c r="G52" s="415">
        <f>SUM(G53:G59)</f>
        <v>46263.425000000003</v>
      </c>
      <c r="H52" s="415">
        <f>SUM(H53:H59)</f>
        <v>60368.07357</v>
      </c>
      <c r="I52" s="415">
        <f>SUM(I53:I59)</f>
        <v>106631.49857</v>
      </c>
      <c r="J52" s="10">
        <f>SUM(G53:G58)</f>
        <v>46263.425000000003</v>
      </c>
    </row>
    <row r="53" spans="2:10">
      <c r="B53" s="205" t="s">
        <v>79</v>
      </c>
      <c r="C53" s="8" t="s">
        <v>48</v>
      </c>
      <c r="D53" s="8" t="s">
        <v>22</v>
      </c>
      <c r="E53" s="7">
        <f>'[1]10 прил(2011г)чистовик'!J689</f>
        <v>38155.259999999995</v>
      </c>
      <c r="F53" s="7">
        <f>'[1]10 прил(2011г)чистовик'!K689</f>
        <v>100</v>
      </c>
      <c r="G53" s="9">
        <f>'10 прил(гл.расп,расх)'!J751</f>
        <v>39555.724999999999</v>
      </c>
      <c r="H53" s="9">
        <f>'10 прил(гл.расп,расх)'!K751</f>
        <v>60215.07357</v>
      </c>
      <c r="I53" s="9">
        <f>'10 прил(гл.расп,расх)'!L751</f>
        <v>99770.798569999999</v>
      </c>
    </row>
    <row r="54" spans="2:10">
      <c r="B54" s="205" t="s">
        <v>80</v>
      </c>
      <c r="C54" s="8" t="s">
        <v>48</v>
      </c>
      <c r="D54" s="8" t="s">
        <v>23</v>
      </c>
      <c r="E54" s="7">
        <f>'[1]10 прил(2011г)чистовик'!J690</f>
        <v>4948.8</v>
      </c>
      <c r="F54" s="7">
        <f>'[1]10 прил(2011г)чистовик'!K690</f>
        <v>0</v>
      </c>
      <c r="G54" s="9">
        <f>'10 прил(гл.расп,расх)'!J752</f>
        <v>5157.8</v>
      </c>
      <c r="H54" s="9">
        <f>'10 прил(гл.расп,расх)'!K752</f>
        <v>153</v>
      </c>
      <c r="I54" s="9">
        <f>'10 прил(гл.расп,расх)'!L752</f>
        <v>5310.8</v>
      </c>
    </row>
    <row r="55" spans="2:10">
      <c r="B55" s="205" t="s">
        <v>81</v>
      </c>
      <c r="C55" s="8" t="s">
        <v>48</v>
      </c>
      <c r="D55" s="8" t="s">
        <v>27</v>
      </c>
      <c r="E55" s="7">
        <f>'[1]10 прил(2011г)чистовик'!J691</f>
        <v>749.9</v>
      </c>
      <c r="F55" s="7">
        <f>'[1]10 прил(2011г)чистовик'!K691</f>
        <v>0</v>
      </c>
      <c r="G55" s="9">
        <f>'10 прил(гл.расп,расх)'!J753</f>
        <v>749.9</v>
      </c>
      <c r="H55" s="9">
        <f>'10 прил(гл.расп,расх)'!K753</f>
        <v>0</v>
      </c>
      <c r="I55" s="9">
        <f>'10 прил(гл.расп,расх)'!L753</f>
        <v>749.9</v>
      </c>
    </row>
    <row r="56" spans="2:10" ht="12.75" hidden="1" customHeight="1">
      <c r="B56" s="205" t="s">
        <v>82</v>
      </c>
      <c r="C56" s="8" t="s">
        <v>48</v>
      </c>
      <c r="D56" s="8" t="s">
        <v>54</v>
      </c>
      <c r="E56" s="7"/>
      <c r="F56" s="7"/>
      <c r="G56" s="9"/>
      <c r="H56" s="9">
        <f>'10 прил(гл.расп,расх)'!K754</f>
        <v>0</v>
      </c>
      <c r="I56" s="9">
        <f>G56+H56</f>
        <v>0</v>
      </c>
    </row>
    <row r="57" spans="2:10" hidden="1">
      <c r="B57" s="205" t="s">
        <v>83</v>
      </c>
      <c r="C57" s="8" t="s">
        <v>48</v>
      </c>
      <c r="D57" s="8" t="s">
        <v>54</v>
      </c>
      <c r="E57" s="7">
        <f>'[1]10 прил(2011г)чистовик'!J692</f>
        <v>0</v>
      </c>
      <c r="F57" s="7">
        <f>'[1]10 прил(2011г)чистовик'!K692</f>
        <v>0</v>
      </c>
      <c r="G57" s="9">
        <f>'[1]10 прил(2011г)чистовик'!J692</f>
        <v>0</v>
      </c>
      <c r="H57" s="9">
        <f>'10 прил(гл.расп,расх)'!K755</f>
        <v>0</v>
      </c>
      <c r="I57" s="9">
        <f>G57+H57</f>
        <v>0</v>
      </c>
    </row>
    <row r="58" spans="2:10">
      <c r="B58" s="205" t="s">
        <v>84</v>
      </c>
      <c r="C58" s="8" t="s">
        <v>48</v>
      </c>
      <c r="D58" s="8" t="s">
        <v>48</v>
      </c>
      <c r="E58" s="7"/>
      <c r="F58" s="7"/>
      <c r="G58" s="9">
        <f>'10 прил(гл.расп,расх)'!J755</f>
        <v>800</v>
      </c>
      <c r="H58" s="9">
        <f>'10 прил(гл.расп,расх)'!K755</f>
        <v>0</v>
      </c>
      <c r="I58" s="9">
        <f>'10 прил(гл.расп,расх)'!L755</f>
        <v>800</v>
      </c>
    </row>
    <row r="59" spans="2:10" ht="30" hidden="1">
      <c r="B59" s="205" t="s">
        <v>85</v>
      </c>
      <c r="C59" s="8" t="s">
        <v>48</v>
      </c>
      <c r="D59" s="8" t="s">
        <v>86</v>
      </c>
      <c r="E59" s="7">
        <f>'[1]10 прил(2011г)чистовик'!J694</f>
        <v>0</v>
      </c>
      <c r="F59" s="7">
        <f>'[1]10 прил(2011г)чистовик'!K694</f>
        <v>0</v>
      </c>
      <c r="G59" s="9">
        <f>'[1]10 прил(2011г)чистовик'!J694</f>
        <v>0</v>
      </c>
      <c r="H59" s="9">
        <f>'[1]10 прил(2011г)чистовик'!K694</f>
        <v>0</v>
      </c>
      <c r="I59" s="9">
        <f>'[1]10 прил(2011г)чистовик'!L694</f>
        <v>0</v>
      </c>
    </row>
    <row r="60" spans="2:10">
      <c r="B60" s="414" t="s">
        <v>87</v>
      </c>
      <c r="C60" s="864" t="s">
        <v>88</v>
      </c>
      <c r="D60" s="864"/>
      <c r="E60" s="415">
        <f>SUM(E61:E65)</f>
        <v>66168.008399999992</v>
      </c>
      <c r="F60" s="415">
        <f>SUM(F61:F65)</f>
        <v>938.56299999999999</v>
      </c>
      <c r="G60" s="415">
        <f>SUM(G61:G65)</f>
        <v>67717.989000000001</v>
      </c>
      <c r="H60" s="415">
        <f>SUM(H61:H65)</f>
        <v>11916.909</v>
      </c>
      <c r="I60" s="415">
        <f>SUM(I61:I65)</f>
        <v>79634.897999999986</v>
      </c>
      <c r="J60" s="10">
        <f>SUM(G61:G65)</f>
        <v>67717.989000000001</v>
      </c>
    </row>
    <row r="61" spans="2:10">
      <c r="B61" s="205" t="s">
        <v>89</v>
      </c>
      <c r="C61" s="8" t="s">
        <v>86</v>
      </c>
      <c r="D61" s="8" t="s">
        <v>22</v>
      </c>
      <c r="E61" s="7">
        <f>'[1]10 прил(2011г)чистовик'!J696</f>
        <v>1593.18</v>
      </c>
      <c r="F61" s="7">
        <f>'[1]10 прил(2011г)чистовик'!K696</f>
        <v>0</v>
      </c>
      <c r="G61" s="9">
        <f>'10 прил(гл.расп,расх)'!J758</f>
        <v>1593.18</v>
      </c>
      <c r="H61" s="9">
        <f>'10 прил(гл.расп,расх)'!K758</f>
        <v>0</v>
      </c>
      <c r="I61" s="9">
        <f>'10 прил(гл.расп,расх)'!L758</f>
        <v>1593.18</v>
      </c>
    </row>
    <row r="62" spans="2:10">
      <c r="B62" s="205" t="s">
        <v>90</v>
      </c>
      <c r="C62" s="8" t="s">
        <v>86</v>
      </c>
      <c r="D62" s="8" t="s">
        <v>23</v>
      </c>
      <c r="E62" s="7">
        <f>'[1]10 прил(2011г)чистовик'!J697</f>
        <v>6711.6473999999998</v>
      </c>
      <c r="F62" s="7">
        <f>'[1]10 прил(2011г)чистовик'!K697</f>
        <v>212.857</v>
      </c>
      <c r="G62" s="9">
        <f>'10 прил(гл.расп,расх)'!J759</f>
        <v>6930.4129999999996</v>
      </c>
      <c r="H62" s="9">
        <f>'10 прил(гл.расп,расх)'!K759</f>
        <v>1198.347</v>
      </c>
      <c r="I62" s="9">
        <f>'10 прил(гл.расп,расх)'!L759</f>
        <v>8128.76</v>
      </c>
    </row>
    <row r="63" spans="2:10">
      <c r="B63" s="205" t="s">
        <v>91</v>
      </c>
      <c r="C63" s="8" t="s">
        <v>86</v>
      </c>
      <c r="D63" s="8" t="s">
        <v>25</v>
      </c>
      <c r="E63" s="7">
        <f>'[1]10 прил(2011г)чистовик'!J698</f>
        <v>44962.2</v>
      </c>
      <c r="F63" s="7">
        <f>'[1]10 прил(2011г)чистовик'!K698</f>
        <v>725.70600000000002</v>
      </c>
      <c r="G63" s="9">
        <f>'10 прил(гл.расп,расх)'!J760</f>
        <v>46296.866000000002</v>
      </c>
      <c r="H63" s="9">
        <f>'10 прил(гл.расп,расх)'!K760</f>
        <v>5428.9619999999995</v>
      </c>
      <c r="I63" s="9">
        <f>'10 прил(гл.расп,расх)'!L760</f>
        <v>51725.827999999994</v>
      </c>
    </row>
    <row r="64" spans="2:10">
      <c r="B64" s="205" t="s">
        <v>92</v>
      </c>
      <c r="C64" s="8" t="s">
        <v>86</v>
      </c>
      <c r="D64" s="8" t="s">
        <v>27</v>
      </c>
      <c r="E64" s="7">
        <f>'[1]10 прил(2011г)чистовик'!J699</f>
        <v>10903.6</v>
      </c>
      <c r="F64" s="7">
        <f>'[1]10 прил(2011г)чистовик'!K699</f>
        <v>0</v>
      </c>
      <c r="G64" s="9">
        <f>'10 прил(гл.расп,расх)'!J761</f>
        <v>10903.6</v>
      </c>
      <c r="H64" s="9">
        <f>'10 прил(гл.расп,расх)'!K761</f>
        <v>5289.6</v>
      </c>
      <c r="I64" s="9">
        <f>'10 прил(гл.расп,расх)'!L761</f>
        <v>16193.2</v>
      </c>
    </row>
    <row r="65" spans="2:10">
      <c r="B65" s="205" t="s">
        <v>93</v>
      </c>
      <c r="C65" s="8" t="s">
        <v>86</v>
      </c>
      <c r="D65" s="8" t="s">
        <v>31</v>
      </c>
      <c r="E65" s="7">
        <f>'[1]10 прил(2011г)чистовик'!J700</f>
        <v>1997.3809999999999</v>
      </c>
      <c r="F65" s="7">
        <f>'[1]10 прил(2011г)чистовик'!K700</f>
        <v>0</v>
      </c>
      <c r="G65" s="9">
        <f>'10 прил(гл.расп,расх)'!J762</f>
        <v>1993.93</v>
      </c>
      <c r="H65" s="9">
        <f>'10 прил(гл.расп,расх)'!K762</f>
        <v>0</v>
      </c>
      <c r="I65" s="9">
        <f>'10 прил(гл.расп,расх)'!L762</f>
        <v>1993.93</v>
      </c>
    </row>
    <row r="66" spans="2:10" hidden="1">
      <c r="B66" s="414" t="s">
        <v>94</v>
      </c>
      <c r="C66" s="864" t="s">
        <v>95</v>
      </c>
      <c r="D66" s="875"/>
      <c r="E66" s="415" t="e">
        <f>E67+E68+E69+E70</f>
        <v>#REF!</v>
      </c>
      <c r="F66" s="415" t="e">
        <f>F67+F68+F69+F70</f>
        <v>#REF!</v>
      </c>
      <c r="G66" s="415" t="e">
        <f>G67+G68+G69+G70</f>
        <v>#REF!</v>
      </c>
      <c r="H66" s="9">
        <f>'10 прил(гл.расп,расх)'!K763</f>
        <v>0</v>
      </c>
      <c r="I66" s="415" t="e">
        <f>I67+I68+I69+I70</f>
        <v>#REF!</v>
      </c>
    </row>
    <row r="67" spans="2:10" ht="29.25" hidden="1" customHeight="1">
      <c r="B67" s="205" t="s">
        <v>96</v>
      </c>
      <c r="C67" s="8" t="s">
        <v>35</v>
      </c>
      <c r="D67" s="8" t="s">
        <v>22</v>
      </c>
      <c r="E67" s="7" t="e">
        <f>'[1]10 прил(2011г)чистовик'!J702</f>
        <v>#REF!</v>
      </c>
      <c r="F67" s="7" t="e">
        <f>'[1]10 прил(2011г)чистовик'!K702</f>
        <v>#REF!</v>
      </c>
      <c r="G67" s="9" t="e">
        <f>'[1]10 прил(2011г)чистовик'!J702</f>
        <v>#REF!</v>
      </c>
      <c r="H67" s="9">
        <f>'10 прил(гл.расп,расх)'!K764</f>
        <v>0</v>
      </c>
      <c r="I67" s="9" t="e">
        <f>'[1]10 прил(2011г)чистовик'!L702</f>
        <v>#REF!</v>
      </c>
    </row>
    <row r="68" spans="2:10" ht="25.5" hidden="1" customHeight="1">
      <c r="B68" s="205" t="s">
        <v>97</v>
      </c>
      <c r="C68" s="8" t="s">
        <v>35</v>
      </c>
      <c r="D68" s="8" t="s">
        <v>23</v>
      </c>
      <c r="E68" s="7" t="e">
        <f>'[1]10 прил(2011г)чистовик'!J703</f>
        <v>#REF!</v>
      </c>
      <c r="F68" s="7" t="e">
        <f>'[1]10 прил(2011г)чистовик'!K703</f>
        <v>#REF!</v>
      </c>
      <c r="G68" s="9" t="e">
        <f>'[1]10 прил(2011г)чистовик'!J703</f>
        <v>#REF!</v>
      </c>
      <c r="H68" s="9">
        <f>'10 прил(гл.расп,расх)'!K765</f>
        <v>0</v>
      </c>
      <c r="I68" s="9" t="e">
        <f>'[1]10 прил(2011г)чистовик'!L703</f>
        <v>#REF!</v>
      </c>
    </row>
    <row r="69" spans="2:10" ht="30.75" hidden="1" customHeight="1">
      <c r="B69" s="205" t="s">
        <v>98</v>
      </c>
      <c r="C69" s="8" t="s">
        <v>35</v>
      </c>
      <c r="D69" s="8" t="s">
        <v>25</v>
      </c>
      <c r="E69" s="7" t="e">
        <f>'[1]10 прил(2011г)чистовик'!J704</f>
        <v>#REF!</v>
      </c>
      <c r="F69" s="7" t="e">
        <f>'[1]10 прил(2011г)чистовик'!K704</f>
        <v>#REF!</v>
      </c>
      <c r="G69" s="9" t="e">
        <f>'[1]10 прил(2011г)чистовик'!J704</f>
        <v>#REF!</v>
      </c>
      <c r="H69" s="9">
        <f>'10 прил(гл.расп,расх)'!K766</f>
        <v>0</v>
      </c>
      <c r="I69" s="9" t="e">
        <f>'[1]10 прил(2011г)чистовик'!L704</f>
        <v>#REF!</v>
      </c>
    </row>
    <row r="70" spans="2:10" ht="17.25" hidden="1" customHeight="1" thickBot="1">
      <c r="B70" s="205" t="s">
        <v>6</v>
      </c>
      <c r="C70" s="8" t="s">
        <v>35</v>
      </c>
      <c r="D70" s="8" t="s">
        <v>27</v>
      </c>
      <c r="E70" s="7" t="e">
        <f>'[1]10 прил(2011г)чистовик'!J705</f>
        <v>#REF!</v>
      </c>
      <c r="F70" s="7" t="e">
        <f>'[1]10 прил(2011г)чистовик'!K705</f>
        <v>#REF!</v>
      </c>
      <c r="G70" s="9" t="e">
        <f>'[1]10 прил(2011г)чистовик'!J705</f>
        <v>#REF!</v>
      </c>
      <c r="H70" s="9">
        <f>'10 прил(гл.расп,расх)'!K767</f>
        <v>0</v>
      </c>
      <c r="I70" s="9" t="e">
        <f>'[1]10 прил(2011г)чистовик'!L705</f>
        <v>#REF!</v>
      </c>
    </row>
    <row r="71" spans="2:10" ht="17.25" customHeight="1">
      <c r="B71" s="414" t="s">
        <v>83</v>
      </c>
      <c r="C71" s="864" t="s">
        <v>95</v>
      </c>
      <c r="D71" s="864"/>
      <c r="E71" s="415"/>
      <c r="F71" s="415"/>
      <c r="G71" s="416">
        <f>G72</f>
        <v>932.53899999999999</v>
      </c>
      <c r="H71" s="416">
        <f>H72</f>
        <v>414.64400000000001</v>
      </c>
      <c r="I71" s="416">
        <f>I72</f>
        <v>1347.183</v>
      </c>
      <c r="J71" s="10">
        <f>SUM(G72)</f>
        <v>932.53899999999999</v>
      </c>
    </row>
    <row r="72" spans="2:10" ht="17.25" customHeight="1">
      <c r="B72" s="205" t="s">
        <v>99</v>
      </c>
      <c r="C72" s="8" t="s">
        <v>35</v>
      </c>
      <c r="D72" s="8" t="s">
        <v>22</v>
      </c>
      <c r="E72" s="7"/>
      <c r="F72" s="7"/>
      <c r="G72" s="9">
        <f>'10 прил(гл.расп,расх)'!J769</f>
        <v>932.53899999999999</v>
      </c>
      <c r="H72" s="9">
        <f>'10 прил(гл.расп,расх)'!K769</f>
        <v>414.64400000000001</v>
      </c>
      <c r="I72" s="9">
        <f>'10 прил(гл.расп,расх)'!L769</f>
        <v>1347.183</v>
      </c>
    </row>
    <row r="73" spans="2:10" ht="17.25" customHeight="1">
      <c r="B73" s="414" t="s">
        <v>100</v>
      </c>
      <c r="C73" s="864" t="s">
        <v>101</v>
      </c>
      <c r="D73" s="864"/>
      <c r="E73" s="415"/>
      <c r="F73" s="415"/>
      <c r="G73" s="416">
        <f>G74</f>
        <v>891.8</v>
      </c>
      <c r="H73" s="416">
        <f>H74</f>
        <v>63.3</v>
      </c>
      <c r="I73" s="416">
        <f>I74</f>
        <v>955.09999999999991</v>
      </c>
      <c r="J73" s="10">
        <f>G74</f>
        <v>891.8</v>
      </c>
    </row>
    <row r="74" spans="2:10" ht="17.25" customHeight="1">
      <c r="B74" s="205" t="s">
        <v>74</v>
      </c>
      <c r="C74" s="8" t="s">
        <v>37</v>
      </c>
      <c r="D74" s="8" t="s">
        <v>23</v>
      </c>
      <c r="E74" s="7"/>
      <c r="F74" s="7"/>
      <c r="G74" s="9">
        <f>'10 прил(гл.расп,расх)'!J772</f>
        <v>891.8</v>
      </c>
      <c r="H74" s="9">
        <f>'10 прил(гл.расп,расх)'!K772</f>
        <v>63.3</v>
      </c>
      <c r="I74" s="9">
        <f>'10 прил(гл.расп,расх)'!L772</f>
        <v>955.09999999999991</v>
      </c>
    </row>
    <row r="75" spans="2:10" ht="17.25" customHeight="1">
      <c r="B75" s="414" t="s">
        <v>34</v>
      </c>
      <c r="C75" s="864" t="s">
        <v>102</v>
      </c>
      <c r="D75" s="864"/>
      <c r="E75" s="7"/>
      <c r="F75" s="7"/>
      <c r="G75" s="416">
        <f>G76</f>
        <v>144.07</v>
      </c>
      <c r="H75" s="416">
        <f>H76</f>
        <v>18</v>
      </c>
      <c r="I75" s="416">
        <f>I76</f>
        <v>162.07</v>
      </c>
      <c r="J75" s="10">
        <f>G76</f>
        <v>144.07</v>
      </c>
    </row>
    <row r="76" spans="2:10" ht="28.5" customHeight="1">
      <c r="B76" s="205" t="s">
        <v>103</v>
      </c>
      <c r="C76" s="8" t="s">
        <v>38</v>
      </c>
      <c r="D76" s="8" t="s">
        <v>22</v>
      </c>
      <c r="E76" s="7"/>
      <c r="F76" s="7"/>
      <c r="G76" s="9">
        <f>'10 прил(гл.расп,расх)'!J776</f>
        <v>144.07</v>
      </c>
      <c r="H76" s="9">
        <f>'10 прил(гл.расп,расх)'!K776</f>
        <v>18</v>
      </c>
      <c r="I76" s="9">
        <f>'10 прил(гл.расп,расх)'!L776</f>
        <v>162.07</v>
      </c>
    </row>
    <row r="77" spans="2:10" ht="27.75" customHeight="1">
      <c r="B77" s="414" t="s">
        <v>104</v>
      </c>
      <c r="C77" s="864" t="s">
        <v>105</v>
      </c>
      <c r="D77" s="864"/>
      <c r="E77" s="415"/>
      <c r="F77" s="415"/>
      <c r="G77" s="416">
        <f>G78+G79+G80</f>
        <v>32757.17</v>
      </c>
      <c r="H77" s="416">
        <f>H78+H79+H80</f>
        <v>1160.0999999999999</v>
      </c>
      <c r="I77" s="416">
        <f>I78+I79+I80</f>
        <v>33917.269999999997</v>
      </c>
      <c r="J77" s="10">
        <f>SUM(G78:G80)</f>
        <v>32757.17</v>
      </c>
    </row>
    <row r="78" spans="2:10" ht="28.5" customHeight="1">
      <c r="B78" s="205" t="s">
        <v>106</v>
      </c>
      <c r="C78" s="8" t="s">
        <v>40</v>
      </c>
      <c r="D78" s="8" t="s">
        <v>22</v>
      </c>
      <c r="E78" s="7"/>
      <c r="F78" s="7"/>
      <c r="G78" s="9">
        <f>'10 прил(гл.расп,расх)'!J779</f>
        <v>25131.67</v>
      </c>
      <c r="H78" s="9">
        <f>'10 прил(гл.расп,расх)'!K779</f>
        <v>0</v>
      </c>
      <c r="I78" s="9">
        <f>'10 прил(гл.расп,расх)'!L779</f>
        <v>25131.67</v>
      </c>
    </row>
    <row r="79" spans="2:10" ht="17.25" hidden="1" customHeight="1">
      <c r="B79" s="205" t="s">
        <v>107</v>
      </c>
      <c r="C79" s="8" t="s">
        <v>40</v>
      </c>
      <c r="D79" s="8" t="s">
        <v>23</v>
      </c>
      <c r="E79" s="7"/>
      <c r="F79" s="7"/>
      <c r="G79" s="9"/>
      <c r="H79" s="9">
        <f>'10 прил(гл.расп,расх)'!K780</f>
        <v>0</v>
      </c>
      <c r="I79" s="9">
        <f>G79+H79</f>
        <v>0</v>
      </c>
    </row>
    <row r="80" spans="2:10" ht="30.75" customHeight="1">
      <c r="B80" s="205" t="s">
        <v>108</v>
      </c>
      <c r="C80" s="8" t="s">
        <v>40</v>
      </c>
      <c r="D80" s="8" t="s">
        <v>25</v>
      </c>
      <c r="E80" s="7"/>
      <c r="F80" s="7"/>
      <c r="G80" s="9">
        <f>'10 прил(гл.расп,расх)'!J781</f>
        <v>7625.5</v>
      </c>
      <c r="H80" s="9">
        <f>'10 прил(гл.расп,расх)'!K781</f>
        <v>1160.0999999999999</v>
      </c>
      <c r="I80" s="9">
        <f>'10 прил(гл.расп,расх)'!L781</f>
        <v>8785.6</v>
      </c>
    </row>
    <row r="81" spans="2:9">
      <c r="B81" s="414" t="s">
        <v>109</v>
      </c>
      <c r="C81" s="417"/>
      <c r="D81" s="417"/>
      <c r="E81" s="415" t="e">
        <f>E9+E25+E29+E36+E41+E47+E52+E60+E66</f>
        <v>#REF!</v>
      </c>
      <c r="F81" s="415" t="e">
        <f>F9+F25+F29+F36+F41+F47+F52+F60+F66</f>
        <v>#REF!</v>
      </c>
      <c r="G81" s="415">
        <f>G9+G23+G25+G29+G36+G41+G47+G52+G60+G71+G73+G75+G77</f>
        <v>443078.26841999998</v>
      </c>
      <c r="H81" s="415">
        <f>'10 прил(гл.расп,расх)'!K782</f>
        <v>122432.71057000002</v>
      </c>
      <c r="I81" s="415">
        <f>'10 прил(гл.расп,расх)'!L782</f>
        <v>565510.97898999997</v>
      </c>
    </row>
    <row r="82" spans="2:9">
      <c r="F82" s="10"/>
      <c r="H82" s="10"/>
    </row>
    <row r="83" spans="2:9">
      <c r="E83" s="10"/>
      <c r="F83" s="10"/>
      <c r="G83" s="10"/>
      <c r="H83" s="10"/>
      <c r="I83" s="10"/>
    </row>
  </sheetData>
  <mergeCells count="18">
    <mergeCell ref="C77:D77"/>
    <mergeCell ref="C52:D52"/>
    <mergeCell ref="C60:D60"/>
    <mergeCell ref="C66:D66"/>
    <mergeCell ref="C71:D71"/>
    <mergeCell ref="C73:D73"/>
    <mergeCell ref="C75:D75"/>
    <mergeCell ref="C47:D47"/>
    <mergeCell ref="C2:I2"/>
    <mergeCell ref="C3:I3"/>
    <mergeCell ref="B5:I5"/>
    <mergeCell ref="B6:I6"/>
    <mergeCell ref="C9:D9"/>
    <mergeCell ref="C23:D23"/>
    <mergeCell ref="C25:D25"/>
    <mergeCell ref="C29:D29"/>
    <mergeCell ref="C36:D36"/>
    <mergeCell ref="C41:D41"/>
  </mergeCells>
  <pageMargins left="0.98425196850393704" right="0.39370078740157483" top="0" bottom="0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T991"/>
  <sheetViews>
    <sheetView tabSelected="1" view="pageBreakPreview" topLeftCell="A702" zoomScale="75" zoomScaleSheetLayoutView="75" workbookViewId="0">
      <selection activeCell="E3" sqref="E3:N3"/>
    </sheetView>
  </sheetViews>
  <sheetFormatPr defaultRowHeight="15"/>
  <cols>
    <col min="1" max="1" width="35.85546875" style="11" customWidth="1"/>
    <col min="2" max="2" width="7" style="11" customWidth="1"/>
    <col min="3" max="3" width="6.7109375" style="11" customWidth="1"/>
    <col min="4" max="4" width="5.140625" style="11" customWidth="1"/>
    <col min="5" max="5" width="9.7109375" style="11" customWidth="1"/>
    <col min="6" max="6" width="5.5703125" style="11" customWidth="1"/>
    <col min="7" max="7" width="0.140625" style="11" customWidth="1"/>
    <col min="8" max="8" width="13.85546875" style="11" hidden="1" customWidth="1"/>
    <col min="9" max="9" width="12.5703125" style="11" hidden="1" customWidth="1"/>
    <col min="10" max="10" width="14.42578125" style="15" customWidth="1"/>
    <col min="11" max="11" width="14.7109375" style="723" customWidth="1"/>
    <col min="12" max="12" width="16" style="723" customWidth="1"/>
    <col min="13" max="13" width="13.28515625" style="12" hidden="1" customWidth="1"/>
    <col min="14" max="14" width="13.85546875" style="12" hidden="1" customWidth="1"/>
    <col min="15" max="15" width="14.85546875" style="11" customWidth="1"/>
    <col min="16" max="16" width="12.85546875" style="11" bestFit="1" customWidth="1"/>
    <col min="17" max="17" width="14.140625" style="11" hidden="1" customWidth="1"/>
    <col min="18" max="18" width="14" style="11" bestFit="1" customWidth="1"/>
    <col min="19" max="19" width="13.28515625" style="11" customWidth="1"/>
    <col min="20" max="20" width="11" style="11" bestFit="1" customWidth="1"/>
    <col min="21" max="16384" width="9.140625" style="11"/>
  </cols>
  <sheetData>
    <row r="2" spans="1:18">
      <c r="E2" s="878" t="s">
        <v>1031</v>
      </c>
      <c r="F2" s="879"/>
      <c r="G2" s="879"/>
      <c r="H2" s="879"/>
      <c r="I2" s="879"/>
      <c r="J2" s="879"/>
    </row>
    <row r="3" spans="1:18" ht="40.5" customHeight="1">
      <c r="E3" s="880" t="s">
        <v>1247</v>
      </c>
      <c r="F3" s="880"/>
      <c r="G3" s="880"/>
      <c r="H3" s="880"/>
      <c r="I3" s="880"/>
      <c r="J3" s="880"/>
      <c r="K3" s="880"/>
      <c r="L3" s="880"/>
      <c r="M3" s="881"/>
      <c r="N3" s="881"/>
    </row>
    <row r="4" spans="1:18">
      <c r="E4" s="13"/>
      <c r="F4" s="13"/>
      <c r="G4" s="13"/>
      <c r="H4" s="13"/>
      <c r="I4" s="13"/>
      <c r="J4" s="724"/>
      <c r="K4" s="724"/>
      <c r="L4" s="724"/>
      <c r="M4" s="4"/>
      <c r="N4" s="4"/>
      <c r="O4" s="14">
        <f>L159+L203+L211+L405+L423+L427+L429+L438+L657</f>
        <v>23512.603999999999</v>
      </c>
      <c r="P4" s="15">
        <f>L141+L461</f>
        <v>1799</v>
      </c>
    </row>
    <row r="5" spans="1:18">
      <c r="A5" s="882" t="s">
        <v>110</v>
      </c>
      <c r="B5" s="883"/>
      <c r="C5" s="883"/>
      <c r="D5" s="883"/>
      <c r="E5" s="883"/>
      <c r="F5" s="883"/>
      <c r="G5" s="883"/>
      <c r="H5" s="883"/>
      <c r="I5" s="883"/>
      <c r="J5" s="883"/>
      <c r="K5" s="883"/>
      <c r="L5" s="883"/>
      <c r="M5" s="4"/>
      <c r="N5" s="4"/>
    </row>
    <row r="6" spans="1:18" ht="51" customHeight="1">
      <c r="A6" s="873" t="s">
        <v>111</v>
      </c>
      <c r="B6" s="884"/>
      <c r="C6" s="884"/>
      <c r="D6" s="884"/>
      <c r="E6" s="884"/>
      <c r="F6" s="884"/>
      <c r="G6" s="884"/>
      <c r="H6" s="884"/>
      <c r="I6" s="884"/>
      <c r="J6" s="884"/>
      <c r="K6" s="884"/>
      <c r="L6" s="884"/>
      <c r="M6" s="11"/>
      <c r="N6" s="11"/>
    </row>
    <row r="7" spans="1:18" ht="15.75" thickBot="1"/>
    <row r="8" spans="1:18" ht="12.75" customHeight="1">
      <c r="A8" s="876" t="s">
        <v>112</v>
      </c>
      <c r="B8" s="876" t="s">
        <v>113</v>
      </c>
      <c r="C8" s="876"/>
      <c r="D8" s="876"/>
      <c r="E8" s="876"/>
      <c r="F8" s="877"/>
      <c r="G8" s="886" t="s">
        <v>114</v>
      </c>
      <c r="H8" s="888" t="s">
        <v>115</v>
      </c>
      <c r="I8" s="876" t="s">
        <v>114</v>
      </c>
      <c r="J8" s="893" t="s">
        <v>116</v>
      </c>
      <c r="K8" s="896" t="s">
        <v>114</v>
      </c>
      <c r="L8" s="899" t="s">
        <v>117</v>
      </c>
      <c r="M8" s="902" t="s">
        <v>114</v>
      </c>
      <c r="N8" s="905" t="s">
        <v>118</v>
      </c>
    </row>
    <row r="9" spans="1:18">
      <c r="A9" s="876"/>
      <c r="B9" s="876" t="s">
        <v>119</v>
      </c>
      <c r="C9" s="876"/>
      <c r="D9" s="876"/>
      <c r="E9" s="876"/>
      <c r="F9" s="877"/>
      <c r="G9" s="886"/>
      <c r="H9" s="889"/>
      <c r="I9" s="891"/>
      <c r="J9" s="894"/>
      <c r="K9" s="897"/>
      <c r="L9" s="900"/>
      <c r="M9" s="903"/>
      <c r="N9" s="906"/>
    </row>
    <row r="10" spans="1:18" ht="129" customHeight="1" thickBot="1">
      <c r="A10" s="885"/>
      <c r="B10" s="16" t="s">
        <v>120</v>
      </c>
      <c r="C10" s="512" t="s">
        <v>121</v>
      </c>
      <c r="D10" s="512" t="s">
        <v>122</v>
      </c>
      <c r="E10" s="512" t="s">
        <v>123</v>
      </c>
      <c r="F10" s="551" t="s">
        <v>124</v>
      </c>
      <c r="G10" s="887"/>
      <c r="H10" s="890"/>
      <c r="I10" s="892"/>
      <c r="J10" s="895"/>
      <c r="K10" s="898"/>
      <c r="L10" s="901"/>
      <c r="M10" s="904"/>
      <c r="N10" s="907"/>
    </row>
    <row r="11" spans="1:18" ht="15.75" thickBot="1">
      <c r="A11" s="843" t="s">
        <v>0</v>
      </c>
      <c r="B11" s="843">
        <v>1</v>
      </c>
      <c r="C11" s="843">
        <v>2</v>
      </c>
      <c r="D11" s="843">
        <v>3</v>
      </c>
      <c r="E11" s="843">
        <v>4</v>
      </c>
      <c r="F11" s="844">
        <v>5</v>
      </c>
      <c r="G11" s="845"/>
      <c r="H11" s="846"/>
      <c r="I11" s="847"/>
      <c r="J11" s="848">
        <v>6</v>
      </c>
      <c r="K11" s="849">
        <v>7</v>
      </c>
      <c r="L11" s="850">
        <v>8</v>
      </c>
      <c r="M11" s="17">
        <v>7</v>
      </c>
      <c r="N11" s="18">
        <v>8</v>
      </c>
    </row>
    <row r="12" spans="1:18" ht="15.75" thickBot="1">
      <c r="A12" s="19" t="s">
        <v>125</v>
      </c>
      <c r="B12" s="20" t="s">
        <v>126</v>
      </c>
      <c r="C12" s="21"/>
      <c r="D12" s="21"/>
      <c r="E12" s="21"/>
      <c r="F12" s="552"/>
      <c r="G12" s="513">
        <f t="shared" ref="G12:M12" si="0">G13+G20</f>
        <v>749.74423999999999</v>
      </c>
      <c r="H12" s="23">
        <f t="shared" si="0"/>
        <v>38033.199999999997</v>
      </c>
      <c r="I12" s="22">
        <f t="shared" si="0"/>
        <v>0</v>
      </c>
      <c r="J12" s="24">
        <f t="shared" si="0"/>
        <v>19488.903000000002</v>
      </c>
      <c r="K12" s="725">
        <f t="shared" si="0"/>
        <v>1943.6355699999999</v>
      </c>
      <c r="L12" s="726">
        <f>L13+L20</f>
        <v>21432.538570000001</v>
      </c>
      <c r="M12" s="25">
        <f t="shared" si="0"/>
        <v>-317.84000000000003</v>
      </c>
      <c r="N12" s="26">
        <f>N13+N20</f>
        <v>16242.11</v>
      </c>
      <c r="O12" s="27">
        <f>L12-L30-L59-L64</f>
        <v>13886.838570000002</v>
      </c>
      <c r="P12" s="11">
        <v>8935.25</v>
      </c>
      <c r="R12" s="15">
        <f>O12-P12</f>
        <v>4951.5885700000017</v>
      </c>
    </row>
    <row r="13" spans="1:18" hidden="1">
      <c r="A13" s="28" t="s">
        <v>127</v>
      </c>
      <c r="B13" s="29" t="s">
        <v>126</v>
      </c>
      <c r="C13" s="29" t="s">
        <v>33</v>
      </c>
      <c r="D13" s="30"/>
      <c r="E13" s="30"/>
      <c r="F13" s="553"/>
      <c r="G13" s="514">
        <f t="shared" ref="G13:N16" si="1">G14</f>
        <v>0</v>
      </c>
      <c r="H13" s="32">
        <f t="shared" si="1"/>
        <v>131</v>
      </c>
      <c r="I13" s="31">
        <f t="shared" si="1"/>
        <v>0</v>
      </c>
      <c r="J13" s="33">
        <f t="shared" si="1"/>
        <v>0</v>
      </c>
      <c r="K13" s="727">
        <f t="shared" si="1"/>
        <v>0</v>
      </c>
      <c r="L13" s="34">
        <f>L14</f>
        <v>0</v>
      </c>
      <c r="M13" s="35">
        <f>M14</f>
        <v>0</v>
      </c>
      <c r="N13" s="36">
        <f>N14</f>
        <v>0</v>
      </c>
    </row>
    <row r="14" spans="1:18" ht="43.5" hidden="1">
      <c r="A14" s="37" t="s">
        <v>128</v>
      </c>
      <c r="B14" s="38" t="s">
        <v>126</v>
      </c>
      <c r="C14" s="38" t="s">
        <v>33</v>
      </c>
      <c r="D14" s="38" t="s">
        <v>29</v>
      </c>
      <c r="E14" s="39"/>
      <c r="F14" s="554"/>
      <c r="G14" s="515">
        <f t="shared" ref="G14:M14" si="2">G15+G18</f>
        <v>0</v>
      </c>
      <c r="H14" s="41">
        <f t="shared" si="2"/>
        <v>131</v>
      </c>
      <c r="I14" s="40">
        <f t="shared" si="2"/>
        <v>0</v>
      </c>
      <c r="J14" s="728">
        <f t="shared" si="2"/>
        <v>0</v>
      </c>
      <c r="K14" s="42">
        <f t="shared" si="2"/>
        <v>0</v>
      </c>
      <c r="L14" s="43">
        <f t="shared" si="2"/>
        <v>0</v>
      </c>
      <c r="M14" s="44">
        <f t="shared" si="2"/>
        <v>0</v>
      </c>
      <c r="N14" s="45">
        <f>N15+N18</f>
        <v>0</v>
      </c>
    </row>
    <row r="15" spans="1:18" ht="30" hidden="1">
      <c r="A15" s="46" t="s">
        <v>129</v>
      </c>
      <c r="B15" s="39" t="s">
        <v>126</v>
      </c>
      <c r="C15" s="39" t="s">
        <v>33</v>
      </c>
      <c r="D15" s="39" t="s">
        <v>29</v>
      </c>
      <c r="E15" s="39" t="s">
        <v>130</v>
      </c>
      <c r="F15" s="554"/>
      <c r="G15" s="515">
        <f t="shared" si="1"/>
        <v>-125</v>
      </c>
      <c r="H15" s="41">
        <f t="shared" si="1"/>
        <v>131</v>
      </c>
      <c r="I15" s="40">
        <f t="shared" si="1"/>
        <v>0</v>
      </c>
      <c r="J15" s="728">
        <f t="shared" si="1"/>
        <v>0</v>
      </c>
      <c r="K15" s="42">
        <f t="shared" si="1"/>
        <v>0</v>
      </c>
      <c r="L15" s="43">
        <f t="shared" si="1"/>
        <v>0</v>
      </c>
      <c r="M15" s="44">
        <f t="shared" si="1"/>
        <v>0</v>
      </c>
      <c r="N15" s="45">
        <f t="shared" si="1"/>
        <v>0</v>
      </c>
    </row>
    <row r="16" spans="1:18" ht="30" hidden="1">
      <c r="A16" s="46" t="s">
        <v>131</v>
      </c>
      <c r="B16" s="39" t="s">
        <v>126</v>
      </c>
      <c r="C16" s="39" t="s">
        <v>33</v>
      </c>
      <c r="D16" s="39" t="s">
        <v>29</v>
      </c>
      <c r="E16" s="39" t="s">
        <v>132</v>
      </c>
      <c r="F16" s="554"/>
      <c r="G16" s="515">
        <f t="shared" si="1"/>
        <v>-125</v>
      </c>
      <c r="H16" s="41">
        <f>H17</f>
        <v>131</v>
      </c>
      <c r="I16" s="40">
        <f t="shared" si="1"/>
        <v>0</v>
      </c>
      <c r="J16" s="728">
        <f t="shared" si="1"/>
        <v>0</v>
      </c>
      <c r="K16" s="42">
        <f t="shared" si="1"/>
        <v>0</v>
      </c>
      <c r="L16" s="43">
        <f t="shared" si="1"/>
        <v>0</v>
      </c>
      <c r="M16" s="44">
        <f t="shared" si="1"/>
        <v>0</v>
      </c>
      <c r="N16" s="45">
        <f t="shared" si="1"/>
        <v>0</v>
      </c>
    </row>
    <row r="17" spans="1:19" ht="30" hidden="1">
      <c r="A17" s="46" t="s">
        <v>133</v>
      </c>
      <c r="B17" s="39" t="s">
        <v>126</v>
      </c>
      <c r="C17" s="39" t="s">
        <v>33</v>
      </c>
      <c r="D17" s="39" t="s">
        <v>29</v>
      </c>
      <c r="E17" s="39" t="s">
        <v>132</v>
      </c>
      <c r="F17" s="554" t="s">
        <v>134</v>
      </c>
      <c r="G17" s="515">
        <v>-125</v>
      </c>
      <c r="H17" s="41">
        <v>131</v>
      </c>
      <c r="I17" s="40"/>
      <c r="J17" s="728">
        <v>0</v>
      </c>
      <c r="K17" s="42"/>
      <c r="L17" s="43">
        <f>J17+K17</f>
        <v>0</v>
      </c>
      <c r="M17" s="44"/>
      <c r="N17" s="45">
        <f>L17+M17</f>
        <v>0</v>
      </c>
      <c r="O17" s="47"/>
    </row>
    <row r="18" spans="1:19" ht="30" hidden="1">
      <c r="A18" s="46" t="s">
        <v>131</v>
      </c>
      <c r="B18" s="39" t="s">
        <v>126</v>
      </c>
      <c r="C18" s="39" t="s">
        <v>33</v>
      </c>
      <c r="D18" s="39" t="s">
        <v>29</v>
      </c>
      <c r="E18" s="39" t="s">
        <v>135</v>
      </c>
      <c r="F18" s="554"/>
      <c r="G18" s="515">
        <f t="shared" ref="G18:N18" si="3">G19</f>
        <v>125</v>
      </c>
      <c r="H18" s="41">
        <f t="shared" si="3"/>
        <v>0</v>
      </c>
      <c r="I18" s="40">
        <f t="shared" si="3"/>
        <v>0</v>
      </c>
      <c r="J18" s="728">
        <f t="shared" si="3"/>
        <v>0</v>
      </c>
      <c r="K18" s="42">
        <f t="shared" si="3"/>
        <v>0</v>
      </c>
      <c r="L18" s="43">
        <f t="shared" si="3"/>
        <v>0</v>
      </c>
      <c r="M18" s="44">
        <f t="shared" si="3"/>
        <v>0</v>
      </c>
      <c r="N18" s="45">
        <f t="shared" si="3"/>
        <v>0</v>
      </c>
    </row>
    <row r="19" spans="1:19" ht="30" hidden="1">
      <c r="A19" s="46" t="s">
        <v>136</v>
      </c>
      <c r="B19" s="39" t="s">
        <v>126</v>
      </c>
      <c r="C19" s="39" t="s">
        <v>33</v>
      </c>
      <c r="D19" s="39" t="s">
        <v>29</v>
      </c>
      <c r="E19" s="39" t="s">
        <v>135</v>
      </c>
      <c r="F19" s="554" t="s">
        <v>134</v>
      </c>
      <c r="G19" s="515">
        <v>125</v>
      </c>
      <c r="H19" s="41"/>
      <c r="I19" s="40"/>
      <c r="J19" s="728"/>
      <c r="K19" s="42"/>
      <c r="L19" s="43">
        <f>J19+K19</f>
        <v>0</v>
      </c>
      <c r="M19" s="44"/>
      <c r="N19" s="45">
        <f>L19+M19</f>
        <v>0</v>
      </c>
    </row>
    <row r="20" spans="1:19">
      <c r="A20" s="48" t="s">
        <v>137</v>
      </c>
      <c r="B20" s="49" t="s">
        <v>126</v>
      </c>
      <c r="C20" s="49" t="s">
        <v>48</v>
      </c>
      <c r="D20" s="39"/>
      <c r="E20" s="39"/>
      <c r="F20" s="554"/>
      <c r="G20" s="515">
        <f t="shared" ref="G20:M20" si="4">G21+G40+G83+G60</f>
        <v>749.74423999999999</v>
      </c>
      <c r="H20" s="41">
        <f t="shared" si="4"/>
        <v>37902.199999999997</v>
      </c>
      <c r="I20" s="40">
        <f t="shared" si="4"/>
        <v>0</v>
      </c>
      <c r="J20" s="728">
        <f>J21+J40+J83+J60+J65</f>
        <v>19488.903000000002</v>
      </c>
      <c r="K20" s="42">
        <f>K21+K40+K83+K60+K65</f>
        <v>1943.6355699999999</v>
      </c>
      <c r="L20" s="42">
        <f>L21+L40+L83+L60+L65</f>
        <v>21432.538570000001</v>
      </c>
      <c r="M20" s="44">
        <f t="shared" si="4"/>
        <v>-317.84000000000003</v>
      </c>
      <c r="N20" s="45">
        <f>N21+N40+N83+N60</f>
        <v>16242.11</v>
      </c>
    </row>
    <row r="21" spans="1:19" ht="29.25" customHeight="1">
      <c r="A21" s="37" t="s">
        <v>79</v>
      </c>
      <c r="B21" s="38" t="s">
        <v>126</v>
      </c>
      <c r="C21" s="38" t="s">
        <v>48</v>
      </c>
      <c r="D21" s="38" t="s">
        <v>22</v>
      </c>
      <c r="E21" s="39"/>
      <c r="F21" s="554"/>
      <c r="G21" s="516">
        <f>G27+G31+G22</f>
        <v>-5232</v>
      </c>
      <c r="H21" s="51">
        <f>H27+H31+H22</f>
        <v>30796.129999999997</v>
      </c>
      <c r="I21" s="50">
        <f>I27+I31+I22</f>
        <v>0</v>
      </c>
      <c r="J21" s="52">
        <f>J27+J31+J22+J38+J25</f>
        <v>12781.203</v>
      </c>
      <c r="K21" s="729">
        <f>K27+K31+K22+K38+K25</f>
        <v>1790.6355699999999</v>
      </c>
      <c r="L21" s="53">
        <f>L27+L31+L22+L38+L25</f>
        <v>14571.83857</v>
      </c>
      <c r="M21" s="54">
        <f>M27+M31+M22+M38</f>
        <v>-1006.6600000000001</v>
      </c>
      <c r="N21" s="55">
        <f>N27+N31+N22+N38</f>
        <v>11091.59</v>
      </c>
    </row>
    <row r="22" spans="1:19" ht="29.25" hidden="1" customHeight="1">
      <c r="A22" s="56" t="s">
        <v>138</v>
      </c>
      <c r="B22" s="39" t="s">
        <v>126</v>
      </c>
      <c r="C22" s="39" t="s">
        <v>48</v>
      </c>
      <c r="D22" s="39" t="s">
        <v>22</v>
      </c>
      <c r="E22" s="39" t="s">
        <v>139</v>
      </c>
      <c r="F22" s="554"/>
      <c r="G22" s="517">
        <f t="shared" ref="G22:N23" si="5">G23</f>
        <v>320</v>
      </c>
      <c r="H22" s="58">
        <f t="shared" si="5"/>
        <v>0</v>
      </c>
      <c r="I22" s="57">
        <f t="shared" si="5"/>
        <v>0</v>
      </c>
      <c r="J22" s="52">
        <f t="shared" si="5"/>
        <v>0</v>
      </c>
      <c r="K22" s="729">
        <f t="shared" si="5"/>
        <v>0</v>
      </c>
      <c r="L22" s="53">
        <f t="shared" si="5"/>
        <v>0</v>
      </c>
      <c r="M22" s="59">
        <f t="shared" si="5"/>
        <v>0</v>
      </c>
      <c r="N22" s="60">
        <f t="shared" si="5"/>
        <v>0</v>
      </c>
    </row>
    <row r="23" spans="1:19" ht="21.75" hidden="1" customHeight="1">
      <c r="A23" s="56" t="s">
        <v>140</v>
      </c>
      <c r="B23" s="39" t="s">
        <v>126</v>
      </c>
      <c r="C23" s="39" t="s">
        <v>48</v>
      </c>
      <c r="D23" s="39" t="s">
        <v>22</v>
      </c>
      <c r="E23" s="39" t="s">
        <v>141</v>
      </c>
      <c r="F23" s="554"/>
      <c r="G23" s="517">
        <f t="shared" si="5"/>
        <v>320</v>
      </c>
      <c r="H23" s="58">
        <f t="shared" si="5"/>
        <v>0</v>
      </c>
      <c r="I23" s="57">
        <f t="shared" si="5"/>
        <v>0</v>
      </c>
      <c r="J23" s="52">
        <f t="shared" si="5"/>
        <v>0</v>
      </c>
      <c r="K23" s="729">
        <f t="shared" si="5"/>
        <v>0</v>
      </c>
      <c r="L23" s="53">
        <f t="shared" si="5"/>
        <v>0</v>
      </c>
      <c r="M23" s="59">
        <f t="shared" si="5"/>
        <v>0</v>
      </c>
      <c r="N23" s="60">
        <f t="shared" si="5"/>
        <v>0</v>
      </c>
    </row>
    <row r="24" spans="1:19" ht="23.25" hidden="1" customHeight="1">
      <c r="A24" s="46" t="s">
        <v>142</v>
      </c>
      <c r="B24" s="39" t="s">
        <v>126</v>
      </c>
      <c r="C24" s="39" t="s">
        <v>48</v>
      </c>
      <c r="D24" s="39" t="s">
        <v>22</v>
      </c>
      <c r="E24" s="39" t="s">
        <v>141</v>
      </c>
      <c r="F24" s="554" t="s">
        <v>143</v>
      </c>
      <c r="G24" s="517">
        <v>320</v>
      </c>
      <c r="H24" s="41"/>
      <c r="I24" s="57"/>
      <c r="J24" s="728">
        <f>H24+I24</f>
        <v>0</v>
      </c>
      <c r="K24" s="729"/>
      <c r="L24" s="43">
        <f>J24+K24</f>
        <v>0</v>
      </c>
      <c r="M24" s="59"/>
      <c r="N24" s="45">
        <f>L24+M24</f>
        <v>0</v>
      </c>
    </row>
    <row r="25" spans="1:19" ht="90">
      <c r="A25" s="46" t="s">
        <v>1126</v>
      </c>
      <c r="B25" s="39" t="s">
        <v>126</v>
      </c>
      <c r="C25" s="39" t="s">
        <v>48</v>
      </c>
      <c r="D25" s="39" t="s">
        <v>22</v>
      </c>
      <c r="E25" s="39" t="s">
        <v>1125</v>
      </c>
      <c r="F25" s="554"/>
      <c r="G25" s="517"/>
      <c r="H25" s="41"/>
      <c r="I25" s="57"/>
      <c r="J25" s="43">
        <f>J26</f>
        <v>782.95299999999997</v>
      </c>
      <c r="K25" s="43">
        <f>K26</f>
        <v>943.63557000000003</v>
      </c>
      <c r="L25" s="43">
        <f>L26</f>
        <v>1726.5885699999999</v>
      </c>
      <c r="M25" s="59"/>
      <c r="N25" s="45"/>
    </row>
    <row r="26" spans="1:19" ht="30">
      <c r="A26" s="46" t="s">
        <v>142</v>
      </c>
      <c r="B26" s="39" t="s">
        <v>126</v>
      </c>
      <c r="C26" s="39" t="s">
        <v>48</v>
      </c>
      <c r="D26" s="39" t="s">
        <v>22</v>
      </c>
      <c r="E26" s="39" t="s">
        <v>1125</v>
      </c>
      <c r="F26" s="554" t="s">
        <v>143</v>
      </c>
      <c r="G26" s="517"/>
      <c r="H26" s="41"/>
      <c r="I26" s="57"/>
      <c r="J26" s="728">
        <v>782.95299999999997</v>
      </c>
      <c r="K26" s="42">
        <f>943.63557</f>
        <v>943.63557000000003</v>
      </c>
      <c r="L26" s="43">
        <f>J26+K26</f>
        <v>1726.5885699999999</v>
      </c>
      <c r="M26" s="59"/>
      <c r="N26" s="45"/>
    </row>
    <row r="27" spans="1:19" ht="30">
      <c r="A27" s="46" t="s">
        <v>144</v>
      </c>
      <c r="B27" s="39" t="s">
        <v>126</v>
      </c>
      <c r="C27" s="39" t="s">
        <v>48</v>
      </c>
      <c r="D27" s="39" t="s">
        <v>22</v>
      </c>
      <c r="E27" s="39" t="s">
        <v>145</v>
      </c>
      <c r="F27" s="554"/>
      <c r="G27" s="291">
        <f t="shared" ref="G27:N27" si="6">G28</f>
        <v>-1834</v>
      </c>
      <c r="H27" s="62">
        <f t="shared" si="6"/>
        <v>26303.19</v>
      </c>
      <c r="I27" s="61">
        <f t="shared" si="6"/>
        <v>0</v>
      </c>
      <c r="J27" s="728">
        <f>J28</f>
        <v>11998.25</v>
      </c>
      <c r="K27" s="42">
        <f t="shared" si="6"/>
        <v>847</v>
      </c>
      <c r="L27" s="43">
        <f t="shared" si="6"/>
        <v>12845.25</v>
      </c>
      <c r="M27" s="63">
        <f t="shared" si="6"/>
        <v>-1747.96</v>
      </c>
      <c r="N27" s="64">
        <f t="shared" si="6"/>
        <v>10350.290000000001</v>
      </c>
    </row>
    <row r="28" spans="1:19" ht="30">
      <c r="A28" s="46" t="s">
        <v>146</v>
      </c>
      <c r="B28" s="39" t="s">
        <v>126</v>
      </c>
      <c r="C28" s="39" t="s">
        <v>48</v>
      </c>
      <c r="D28" s="39" t="s">
        <v>22</v>
      </c>
      <c r="E28" s="39" t="s">
        <v>147</v>
      </c>
      <c r="F28" s="554"/>
      <c r="G28" s="291">
        <f t="shared" ref="G28:M28" si="7">G29+G30</f>
        <v>-1834</v>
      </c>
      <c r="H28" s="62">
        <f t="shared" si="7"/>
        <v>26303.19</v>
      </c>
      <c r="I28" s="61">
        <f t="shared" si="7"/>
        <v>0</v>
      </c>
      <c r="J28" s="42">
        <f>J29+J30+J34+J36</f>
        <v>11998.25</v>
      </c>
      <c r="K28" s="42">
        <f>K29+K30+K34+K36</f>
        <v>847</v>
      </c>
      <c r="L28" s="42">
        <f>L29+L30+L34+L36</f>
        <v>12845.25</v>
      </c>
      <c r="M28" s="63">
        <f t="shared" si="7"/>
        <v>-1747.96</v>
      </c>
      <c r="N28" s="64">
        <f>N29+N30</f>
        <v>10350.290000000001</v>
      </c>
    </row>
    <row r="29" spans="1:19" ht="30">
      <c r="A29" s="46" t="s">
        <v>142</v>
      </c>
      <c r="B29" s="39" t="s">
        <v>126</v>
      </c>
      <c r="C29" s="39" t="s">
        <v>48</v>
      </c>
      <c r="D29" s="39" t="s">
        <v>22</v>
      </c>
      <c r="E29" s="39" t="s">
        <v>147</v>
      </c>
      <c r="F29" s="554" t="s">
        <v>143</v>
      </c>
      <c r="G29" s="291">
        <f>-2164-3718+200-200+220+3718</f>
        <v>-1944</v>
      </c>
      <c r="H29" s="41">
        <v>25958.19</v>
      </c>
      <c r="I29" s="61"/>
      <c r="J29" s="728">
        <v>6935.25</v>
      </c>
      <c r="K29" s="42">
        <f>501-354+354</f>
        <v>501</v>
      </c>
      <c r="L29" s="43">
        <f>J29+K29</f>
        <v>7436.25</v>
      </c>
      <c r="M29" s="63">
        <f>-155.84+35.88-1595-33</f>
        <v>-1747.96</v>
      </c>
      <c r="N29" s="45">
        <f>L29+M29</f>
        <v>5688.29</v>
      </c>
      <c r="O29" s="65">
        <v>6820.25</v>
      </c>
      <c r="P29" s="66">
        <f>L29-O29</f>
        <v>616</v>
      </c>
    </row>
    <row r="30" spans="1:19" ht="60">
      <c r="A30" s="46" t="s">
        <v>148</v>
      </c>
      <c r="B30" s="39" t="s">
        <v>126</v>
      </c>
      <c r="C30" s="39" t="s">
        <v>48</v>
      </c>
      <c r="D30" s="39" t="s">
        <v>22</v>
      </c>
      <c r="E30" s="39" t="s">
        <v>149</v>
      </c>
      <c r="F30" s="554" t="s">
        <v>143</v>
      </c>
      <c r="G30" s="515">
        <v>110</v>
      </c>
      <c r="H30" s="41">
        <v>345</v>
      </c>
      <c r="I30" s="40"/>
      <c r="J30" s="728">
        <v>4662</v>
      </c>
      <c r="K30" s="42"/>
      <c r="L30" s="43">
        <f>J30+K30</f>
        <v>4662</v>
      </c>
      <c r="M30" s="44"/>
      <c r="N30" s="45">
        <f>L30+M30</f>
        <v>4662</v>
      </c>
      <c r="O30" s="11">
        <v>4662</v>
      </c>
      <c r="P30" s="15">
        <f>L30-O30</f>
        <v>0</v>
      </c>
      <c r="S30" s="15">
        <f>L30+L117+L684+L152</f>
        <v>10008.799999999999</v>
      </c>
    </row>
    <row r="31" spans="1:19" ht="24.75" customHeight="1">
      <c r="A31" s="46" t="s">
        <v>150</v>
      </c>
      <c r="B31" s="39" t="s">
        <v>126</v>
      </c>
      <c r="C31" s="39" t="s">
        <v>48</v>
      </c>
      <c r="D31" s="39" t="s">
        <v>22</v>
      </c>
      <c r="E31" s="39" t="s">
        <v>151</v>
      </c>
      <c r="F31" s="554"/>
      <c r="G31" s="515">
        <f t="shared" ref="G31:N32" si="8">G32</f>
        <v>-3718</v>
      </c>
      <c r="H31" s="41">
        <f t="shared" si="8"/>
        <v>4492.9399999999996</v>
      </c>
      <c r="I31" s="40">
        <f t="shared" si="8"/>
        <v>0</v>
      </c>
      <c r="J31" s="728">
        <f t="shared" si="8"/>
        <v>0</v>
      </c>
      <c r="K31" s="42">
        <f t="shared" si="8"/>
        <v>0</v>
      </c>
      <c r="L31" s="43">
        <f t="shared" si="8"/>
        <v>0</v>
      </c>
      <c r="M31" s="44">
        <f t="shared" si="8"/>
        <v>0</v>
      </c>
      <c r="N31" s="45">
        <f t="shared" si="8"/>
        <v>0</v>
      </c>
    </row>
    <row r="32" spans="1:19" ht="21" customHeight="1">
      <c r="A32" s="46" t="s">
        <v>146</v>
      </c>
      <c r="B32" s="39" t="s">
        <v>126</v>
      </c>
      <c r="C32" s="39" t="s">
        <v>48</v>
      </c>
      <c r="D32" s="39" t="s">
        <v>22</v>
      </c>
      <c r="E32" s="39" t="s">
        <v>152</v>
      </c>
      <c r="F32" s="554"/>
      <c r="G32" s="515">
        <f t="shared" si="8"/>
        <v>-3718</v>
      </c>
      <c r="H32" s="41">
        <f t="shared" si="8"/>
        <v>4492.9399999999996</v>
      </c>
      <c r="I32" s="40">
        <f t="shared" si="8"/>
        <v>0</v>
      </c>
      <c r="J32" s="728">
        <f t="shared" si="8"/>
        <v>0</v>
      </c>
      <c r="K32" s="42">
        <f t="shared" si="8"/>
        <v>0</v>
      </c>
      <c r="L32" s="43">
        <f t="shared" si="8"/>
        <v>0</v>
      </c>
      <c r="M32" s="44">
        <f t="shared" si="8"/>
        <v>0</v>
      </c>
      <c r="N32" s="45">
        <f t="shared" si="8"/>
        <v>0</v>
      </c>
    </row>
    <row r="33" spans="1:19" ht="29.25" customHeight="1">
      <c r="A33" s="46" t="s">
        <v>153</v>
      </c>
      <c r="B33" s="39" t="s">
        <v>126</v>
      </c>
      <c r="C33" s="39" t="s">
        <v>48</v>
      </c>
      <c r="D33" s="39" t="s">
        <v>22</v>
      </c>
      <c r="E33" s="39" t="s">
        <v>152</v>
      </c>
      <c r="F33" s="554" t="s">
        <v>143</v>
      </c>
      <c r="G33" s="515">
        <v>-3718</v>
      </c>
      <c r="H33" s="41">
        <v>4492.9399999999996</v>
      </c>
      <c r="I33" s="40"/>
      <c r="J33" s="728"/>
      <c r="K33" s="42"/>
      <c r="L33" s="43">
        <f>J33+K33</f>
        <v>0</v>
      </c>
      <c r="M33" s="44"/>
      <c r="N33" s="45">
        <f>L33+M33</f>
        <v>0</v>
      </c>
    </row>
    <row r="34" spans="1:19" ht="41.25" customHeight="1">
      <c r="A34" s="46" t="s">
        <v>154</v>
      </c>
      <c r="B34" s="39" t="s">
        <v>126</v>
      </c>
      <c r="C34" s="39" t="s">
        <v>48</v>
      </c>
      <c r="D34" s="39" t="s">
        <v>22</v>
      </c>
      <c r="E34" s="39" t="s">
        <v>155</v>
      </c>
      <c r="F34" s="554"/>
      <c r="G34" s="518"/>
      <c r="H34" s="41"/>
      <c r="I34" s="67"/>
      <c r="J34" s="728">
        <f>J35</f>
        <v>401</v>
      </c>
      <c r="K34" s="42">
        <f>K35</f>
        <v>346</v>
      </c>
      <c r="L34" s="43">
        <f>L35</f>
        <v>747</v>
      </c>
      <c r="M34" s="44"/>
      <c r="N34" s="45"/>
      <c r="S34" s="15">
        <f>K35+K52+K120</f>
        <v>800</v>
      </c>
    </row>
    <row r="35" spans="1:19" ht="29.25" customHeight="1">
      <c r="A35" s="46" t="s">
        <v>153</v>
      </c>
      <c r="B35" s="39" t="s">
        <v>126</v>
      </c>
      <c r="C35" s="39" t="s">
        <v>48</v>
      </c>
      <c r="D35" s="39" t="s">
        <v>22</v>
      </c>
      <c r="E35" s="39" t="s">
        <v>155</v>
      </c>
      <c r="F35" s="554" t="s">
        <v>143</v>
      </c>
      <c r="G35" s="518"/>
      <c r="H35" s="41"/>
      <c r="I35" s="67"/>
      <c r="J35" s="728">
        <v>401</v>
      </c>
      <c r="K35" s="42">
        <f>250+96</f>
        <v>346</v>
      </c>
      <c r="L35" s="43">
        <f>J35+K35</f>
        <v>747</v>
      </c>
      <c r="M35" s="44"/>
      <c r="N35" s="45"/>
      <c r="O35" s="65"/>
      <c r="S35" s="15">
        <f>L122</f>
        <v>851.3673</v>
      </c>
    </row>
    <row r="36" spans="1:19" ht="18.75" hidden="1" customHeight="1">
      <c r="A36" s="46" t="s">
        <v>156</v>
      </c>
      <c r="B36" s="39" t="s">
        <v>126</v>
      </c>
      <c r="C36" s="39" t="s">
        <v>48</v>
      </c>
      <c r="D36" s="39" t="s">
        <v>22</v>
      </c>
      <c r="E36" s="39" t="s">
        <v>157</v>
      </c>
      <c r="F36" s="554"/>
      <c r="G36" s="518"/>
      <c r="H36" s="41"/>
      <c r="I36" s="67"/>
      <c r="J36" s="728">
        <f>J37</f>
        <v>0</v>
      </c>
      <c r="K36" s="42">
        <f>K37</f>
        <v>0</v>
      </c>
      <c r="L36" s="43">
        <f>L37</f>
        <v>0</v>
      </c>
      <c r="M36" s="44"/>
      <c r="N36" s="45"/>
    </row>
    <row r="37" spans="1:19" ht="15" hidden="1" customHeight="1">
      <c r="A37" s="46" t="s">
        <v>153</v>
      </c>
      <c r="B37" s="39" t="s">
        <v>126</v>
      </c>
      <c r="C37" s="39" t="s">
        <v>48</v>
      </c>
      <c r="D37" s="39" t="s">
        <v>22</v>
      </c>
      <c r="E37" s="39" t="s">
        <v>157</v>
      </c>
      <c r="F37" s="554" t="s">
        <v>143</v>
      </c>
      <c r="G37" s="518"/>
      <c r="H37" s="41"/>
      <c r="I37" s="67"/>
      <c r="J37" s="728"/>
      <c r="K37" s="42"/>
      <c r="L37" s="730">
        <f>J37+K37</f>
        <v>0</v>
      </c>
      <c r="M37" s="44"/>
      <c r="N37" s="45"/>
    </row>
    <row r="38" spans="1:19" ht="60.75" hidden="1" customHeight="1">
      <c r="A38" s="68" t="s">
        <v>158</v>
      </c>
      <c r="B38" s="69" t="s">
        <v>126</v>
      </c>
      <c r="C38" s="69" t="s">
        <v>48</v>
      </c>
      <c r="D38" s="69" t="s">
        <v>22</v>
      </c>
      <c r="E38" s="69" t="s">
        <v>159</v>
      </c>
      <c r="F38" s="555"/>
      <c r="G38" s="519"/>
      <c r="H38" s="71"/>
      <c r="I38" s="70"/>
      <c r="J38" s="731">
        <f>J39</f>
        <v>0</v>
      </c>
      <c r="K38" s="732">
        <f>K39</f>
        <v>0</v>
      </c>
      <c r="L38" s="730">
        <f>L39</f>
        <v>0</v>
      </c>
      <c r="M38" s="44">
        <f>M39</f>
        <v>741.3</v>
      </c>
      <c r="N38" s="45">
        <f>N39</f>
        <v>741.3</v>
      </c>
    </row>
    <row r="39" spans="1:19" ht="15.75" hidden="1" customHeight="1">
      <c r="A39" s="68" t="s">
        <v>160</v>
      </c>
      <c r="B39" s="69" t="s">
        <v>126</v>
      </c>
      <c r="C39" s="69" t="s">
        <v>48</v>
      </c>
      <c r="D39" s="69" t="s">
        <v>22</v>
      </c>
      <c r="E39" s="69" t="s">
        <v>159</v>
      </c>
      <c r="F39" s="555" t="s">
        <v>161</v>
      </c>
      <c r="G39" s="519"/>
      <c r="H39" s="71"/>
      <c r="I39" s="70"/>
      <c r="J39" s="731"/>
      <c r="K39" s="732"/>
      <c r="L39" s="730">
        <f>J39+K39</f>
        <v>0</v>
      </c>
      <c r="M39" s="72">
        <v>741.3</v>
      </c>
      <c r="N39" s="73">
        <f>L39+M39</f>
        <v>741.3</v>
      </c>
    </row>
    <row r="40" spans="1:19">
      <c r="A40" s="74" t="s">
        <v>80</v>
      </c>
      <c r="B40" s="75" t="s">
        <v>126</v>
      </c>
      <c r="C40" s="75" t="s">
        <v>48</v>
      </c>
      <c r="D40" s="75" t="s">
        <v>23</v>
      </c>
      <c r="E40" s="30"/>
      <c r="F40" s="553"/>
      <c r="G40" s="520">
        <f>G48+G57+G42</f>
        <v>3129.74424</v>
      </c>
      <c r="H40" s="77">
        <f>H48+H57+H42</f>
        <v>6056.41</v>
      </c>
      <c r="I40" s="76">
        <f>I48+I57+I42</f>
        <v>0</v>
      </c>
      <c r="J40" s="733">
        <f>J48+J57+J42+J55</f>
        <v>5157.8</v>
      </c>
      <c r="K40" s="78">
        <f>K48+K57+K42+K55</f>
        <v>153</v>
      </c>
      <c r="L40" s="79">
        <f>L48+L57+L42+L55</f>
        <v>5310.8</v>
      </c>
      <c r="M40" s="79">
        <f>M48+M57+M42+M55</f>
        <v>657.7</v>
      </c>
      <c r="N40" s="80">
        <f>N48+N57+N42+N55</f>
        <v>4369.5</v>
      </c>
    </row>
    <row r="41" spans="1:19" ht="30">
      <c r="A41" s="46" t="s">
        <v>150</v>
      </c>
      <c r="B41" s="39" t="s">
        <v>126</v>
      </c>
      <c r="C41" s="39" t="s">
        <v>48</v>
      </c>
      <c r="D41" s="39" t="s">
        <v>23</v>
      </c>
      <c r="E41" s="39" t="s">
        <v>151</v>
      </c>
      <c r="F41" s="554"/>
      <c r="G41" s="521">
        <f t="shared" ref="G41:N42" si="9">G42</f>
        <v>3718</v>
      </c>
      <c r="H41" s="82">
        <f t="shared" si="9"/>
        <v>0</v>
      </c>
      <c r="I41" s="81">
        <f t="shared" si="9"/>
        <v>0</v>
      </c>
      <c r="J41" s="728">
        <f t="shared" si="9"/>
        <v>390</v>
      </c>
      <c r="K41" s="42">
        <f t="shared" si="9"/>
        <v>0</v>
      </c>
      <c r="L41" s="43">
        <f t="shared" si="9"/>
        <v>390</v>
      </c>
      <c r="M41" s="43">
        <f t="shared" si="9"/>
        <v>163</v>
      </c>
      <c r="N41" s="83">
        <f t="shared" si="9"/>
        <v>553</v>
      </c>
    </row>
    <row r="42" spans="1:19" ht="30">
      <c r="A42" s="46" t="s">
        <v>146</v>
      </c>
      <c r="B42" s="39" t="s">
        <v>126</v>
      </c>
      <c r="C42" s="39" t="s">
        <v>48</v>
      </c>
      <c r="D42" s="39" t="s">
        <v>23</v>
      </c>
      <c r="E42" s="39" t="s">
        <v>152</v>
      </c>
      <c r="F42" s="554"/>
      <c r="G42" s="518">
        <f t="shared" si="9"/>
        <v>3718</v>
      </c>
      <c r="H42" s="84">
        <f t="shared" si="9"/>
        <v>0</v>
      </c>
      <c r="I42" s="67">
        <f t="shared" si="9"/>
        <v>0</v>
      </c>
      <c r="J42" s="728">
        <f>J43+J44+J46</f>
        <v>390</v>
      </c>
      <c r="K42" s="42">
        <f>K43+K44+K46</f>
        <v>0</v>
      </c>
      <c r="L42" s="42">
        <f>L43+L44+L46</f>
        <v>390</v>
      </c>
      <c r="M42" s="63">
        <f t="shared" si="9"/>
        <v>163</v>
      </c>
      <c r="N42" s="45">
        <f t="shared" si="9"/>
        <v>553</v>
      </c>
    </row>
    <row r="43" spans="1:19" ht="30">
      <c r="A43" s="46" t="s">
        <v>153</v>
      </c>
      <c r="B43" s="39" t="s">
        <v>126</v>
      </c>
      <c r="C43" s="39" t="s">
        <v>48</v>
      </c>
      <c r="D43" s="39" t="s">
        <v>23</v>
      </c>
      <c r="E43" s="39" t="s">
        <v>152</v>
      </c>
      <c r="F43" s="554" t="s">
        <v>143</v>
      </c>
      <c r="G43" s="518">
        <v>3718</v>
      </c>
      <c r="H43" s="41"/>
      <c r="I43" s="67"/>
      <c r="J43" s="728">
        <v>390</v>
      </c>
      <c r="K43" s="42"/>
      <c r="L43" s="43">
        <f>J43+K43</f>
        <v>390</v>
      </c>
      <c r="M43" s="63">
        <f>16+147</f>
        <v>163</v>
      </c>
      <c r="N43" s="45">
        <f>L43+M43</f>
        <v>553</v>
      </c>
      <c r="O43" s="85">
        <v>390</v>
      </c>
      <c r="P43" s="66">
        <f>L43-O43</f>
        <v>0</v>
      </c>
    </row>
    <row r="44" spans="1:19" ht="45" hidden="1">
      <c r="A44" s="46" t="s">
        <v>154</v>
      </c>
      <c r="B44" s="39" t="s">
        <v>126</v>
      </c>
      <c r="C44" s="39" t="s">
        <v>48</v>
      </c>
      <c r="D44" s="39" t="s">
        <v>23</v>
      </c>
      <c r="E44" s="39" t="s">
        <v>162</v>
      </c>
      <c r="F44" s="554"/>
      <c r="G44" s="518"/>
      <c r="H44" s="41"/>
      <c r="I44" s="67"/>
      <c r="J44" s="728">
        <f>J45</f>
        <v>0</v>
      </c>
      <c r="K44" s="42">
        <f>K45</f>
        <v>0</v>
      </c>
      <c r="L44" s="43">
        <f>L45</f>
        <v>0</v>
      </c>
      <c r="M44" s="63"/>
      <c r="N44" s="45"/>
    </row>
    <row r="45" spans="1:19" ht="30" hidden="1">
      <c r="A45" s="46" t="s">
        <v>153</v>
      </c>
      <c r="B45" s="39" t="s">
        <v>126</v>
      </c>
      <c r="C45" s="39" t="s">
        <v>48</v>
      </c>
      <c r="D45" s="39" t="s">
        <v>23</v>
      </c>
      <c r="E45" s="39" t="s">
        <v>162</v>
      </c>
      <c r="F45" s="554" t="s">
        <v>143</v>
      </c>
      <c r="G45" s="518"/>
      <c r="H45" s="41"/>
      <c r="I45" s="67"/>
      <c r="J45" s="728"/>
      <c r="K45" s="42"/>
      <c r="L45" s="43">
        <f>J45+K45</f>
        <v>0</v>
      </c>
      <c r="M45" s="63"/>
      <c r="N45" s="45"/>
    </row>
    <row r="46" spans="1:19" ht="45" hidden="1">
      <c r="A46" s="46" t="s">
        <v>156</v>
      </c>
      <c r="B46" s="39" t="s">
        <v>126</v>
      </c>
      <c r="C46" s="39" t="s">
        <v>48</v>
      </c>
      <c r="D46" s="39" t="s">
        <v>23</v>
      </c>
      <c r="E46" s="39" t="s">
        <v>163</v>
      </c>
      <c r="F46" s="554"/>
      <c r="G46" s="518"/>
      <c r="H46" s="41"/>
      <c r="I46" s="67"/>
      <c r="J46" s="728">
        <f>J47</f>
        <v>0</v>
      </c>
      <c r="K46" s="42">
        <f>K47</f>
        <v>0</v>
      </c>
      <c r="L46" s="43">
        <f>L47</f>
        <v>0</v>
      </c>
      <c r="M46" s="63"/>
      <c r="N46" s="45"/>
    </row>
    <row r="47" spans="1:19" ht="32.25" customHeight="1">
      <c r="A47" s="46" t="s">
        <v>153</v>
      </c>
      <c r="B47" s="39" t="s">
        <v>126</v>
      </c>
      <c r="C47" s="39" t="s">
        <v>48</v>
      </c>
      <c r="D47" s="39" t="s">
        <v>23</v>
      </c>
      <c r="E47" s="39" t="s">
        <v>163</v>
      </c>
      <c r="F47" s="554" t="s">
        <v>143</v>
      </c>
      <c r="G47" s="518"/>
      <c r="H47" s="41"/>
      <c r="I47" s="67"/>
      <c r="J47" s="728"/>
      <c r="K47" s="42"/>
      <c r="L47" s="43">
        <f>J47+K47</f>
        <v>0</v>
      </c>
      <c r="M47" s="63"/>
      <c r="N47" s="45"/>
    </row>
    <row r="48" spans="1:19">
      <c r="A48" s="46" t="s">
        <v>164</v>
      </c>
      <c r="B48" s="39" t="s">
        <v>126</v>
      </c>
      <c r="C48" s="39" t="s">
        <v>48</v>
      </c>
      <c r="D48" s="39" t="s">
        <v>23</v>
      </c>
      <c r="E48" s="39" t="s">
        <v>165</v>
      </c>
      <c r="F48" s="554"/>
      <c r="G48" s="522">
        <f t="shared" ref="G48:N49" si="10">G49</f>
        <v>0</v>
      </c>
      <c r="H48" s="87">
        <f t="shared" si="10"/>
        <v>4784.91</v>
      </c>
      <c r="I48" s="86">
        <f t="shared" si="10"/>
        <v>0</v>
      </c>
      <c r="J48" s="728">
        <f>J49+J51+J53</f>
        <v>2564</v>
      </c>
      <c r="K48" s="42">
        <f>K49+K51+K53</f>
        <v>153</v>
      </c>
      <c r="L48" s="43">
        <f>L49+L51+L53</f>
        <v>2717</v>
      </c>
      <c r="M48" s="43">
        <f t="shared" si="10"/>
        <v>1270</v>
      </c>
      <c r="N48" s="83">
        <f t="shared" si="10"/>
        <v>2388</v>
      </c>
    </row>
    <row r="49" spans="1:19" ht="30">
      <c r="A49" s="46" t="s">
        <v>146</v>
      </c>
      <c r="B49" s="39" t="s">
        <v>126</v>
      </c>
      <c r="C49" s="39" t="s">
        <v>48</v>
      </c>
      <c r="D49" s="39" t="s">
        <v>23</v>
      </c>
      <c r="E49" s="39" t="s">
        <v>166</v>
      </c>
      <c r="F49" s="554"/>
      <c r="G49" s="291">
        <f t="shared" si="10"/>
        <v>0</v>
      </c>
      <c r="H49" s="62">
        <f t="shared" si="10"/>
        <v>4784.91</v>
      </c>
      <c r="I49" s="61">
        <f t="shared" si="10"/>
        <v>0</v>
      </c>
      <c r="J49" s="728">
        <f t="shared" si="10"/>
        <v>965</v>
      </c>
      <c r="K49" s="42">
        <f t="shared" si="10"/>
        <v>153</v>
      </c>
      <c r="L49" s="43">
        <f t="shared" si="10"/>
        <v>1118</v>
      </c>
      <c r="M49" s="63">
        <f t="shared" si="10"/>
        <v>1270</v>
      </c>
      <c r="N49" s="64">
        <f t="shared" si="10"/>
        <v>2388</v>
      </c>
    </row>
    <row r="50" spans="1:19" ht="30">
      <c r="A50" s="46" t="s">
        <v>153</v>
      </c>
      <c r="B50" s="39" t="s">
        <v>126</v>
      </c>
      <c r="C50" s="39" t="s">
        <v>48</v>
      </c>
      <c r="D50" s="39" t="s">
        <v>23</v>
      </c>
      <c r="E50" s="39" t="s">
        <v>166</v>
      </c>
      <c r="F50" s="554" t="s">
        <v>143</v>
      </c>
      <c r="G50" s="291"/>
      <c r="H50" s="41">
        <v>4784.91</v>
      </c>
      <c r="I50" s="61"/>
      <c r="J50" s="728">
        <v>965</v>
      </c>
      <c r="K50" s="42">
        <f>-501+354+300</f>
        <v>153</v>
      </c>
      <c r="L50" s="43">
        <f>J50+K50</f>
        <v>1118</v>
      </c>
      <c r="M50" s="63">
        <f>127+1143</f>
        <v>1270</v>
      </c>
      <c r="N50" s="45">
        <f>L50+M50</f>
        <v>2388</v>
      </c>
      <c r="O50" s="65">
        <v>655</v>
      </c>
      <c r="P50" s="66">
        <f>L50-O50</f>
        <v>463</v>
      </c>
    </row>
    <row r="51" spans="1:19" ht="45">
      <c r="A51" s="46" t="s">
        <v>154</v>
      </c>
      <c r="B51" s="39" t="s">
        <v>126</v>
      </c>
      <c r="C51" s="39" t="s">
        <v>48</v>
      </c>
      <c r="D51" s="39" t="s">
        <v>23</v>
      </c>
      <c r="E51" s="39" t="s">
        <v>167</v>
      </c>
      <c r="F51" s="554"/>
      <c r="G51" s="291"/>
      <c r="H51" s="41"/>
      <c r="I51" s="61"/>
      <c r="J51" s="728">
        <f>J52</f>
        <v>1599</v>
      </c>
      <c r="K51" s="42">
        <f>K52</f>
        <v>0</v>
      </c>
      <c r="L51" s="43">
        <f>L52</f>
        <v>1599</v>
      </c>
      <c r="M51" s="63"/>
      <c r="N51" s="45"/>
    </row>
    <row r="52" spans="1:19" ht="30">
      <c r="A52" s="46" t="s">
        <v>153</v>
      </c>
      <c r="B52" s="39" t="s">
        <v>126</v>
      </c>
      <c r="C52" s="39" t="s">
        <v>48</v>
      </c>
      <c r="D52" s="39" t="s">
        <v>23</v>
      </c>
      <c r="E52" s="39" t="s">
        <v>167</v>
      </c>
      <c r="F52" s="554" t="s">
        <v>143</v>
      </c>
      <c r="G52" s="291"/>
      <c r="H52" s="41"/>
      <c r="I52" s="61"/>
      <c r="J52" s="728">
        <v>1599</v>
      </c>
      <c r="K52" s="42">
        <f>-250+250</f>
        <v>0</v>
      </c>
      <c r="L52" s="43">
        <f>J52+K52</f>
        <v>1599</v>
      </c>
      <c r="M52" s="63"/>
      <c r="N52" s="45"/>
      <c r="O52" s="65"/>
    </row>
    <row r="53" spans="1:19" ht="45" hidden="1">
      <c r="A53" s="46" t="s">
        <v>156</v>
      </c>
      <c r="B53" s="39" t="s">
        <v>126</v>
      </c>
      <c r="C53" s="39" t="s">
        <v>48</v>
      </c>
      <c r="D53" s="39" t="s">
        <v>23</v>
      </c>
      <c r="E53" s="39" t="s">
        <v>168</v>
      </c>
      <c r="F53" s="554"/>
      <c r="G53" s="291"/>
      <c r="H53" s="41"/>
      <c r="I53" s="61"/>
      <c r="J53" s="728">
        <f>J54</f>
        <v>0</v>
      </c>
      <c r="K53" s="42">
        <f>K54</f>
        <v>0</v>
      </c>
      <c r="L53" s="43">
        <f>L54</f>
        <v>0</v>
      </c>
      <c r="M53" s="63"/>
      <c r="N53" s="45"/>
    </row>
    <row r="54" spans="1:19" ht="30" hidden="1">
      <c r="A54" s="46" t="s">
        <v>153</v>
      </c>
      <c r="B54" s="39" t="s">
        <v>126</v>
      </c>
      <c r="C54" s="39" t="s">
        <v>48</v>
      </c>
      <c r="D54" s="39" t="s">
        <v>23</v>
      </c>
      <c r="E54" s="39" t="s">
        <v>168</v>
      </c>
      <c r="F54" s="554" t="s">
        <v>143</v>
      </c>
      <c r="G54" s="291"/>
      <c r="H54" s="41"/>
      <c r="I54" s="61"/>
      <c r="J54" s="728"/>
      <c r="K54" s="42"/>
      <c r="L54" s="43">
        <f>J54+K54</f>
        <v>0</v>
      </c>
      <c r="M54" s="63"/>
      <c r="N54" s="45"/>
    </row>
    <row r="55" spans="1:19" ht="12.75" hidden="1" customHeight="1">
      <c r="A55" s="46" t="s">
        <v>169</v>
      </c>
      <c r="B55" s="39" t="s">
        <v>126</v>
      </c>
      <c r="C55" s="39" t="s">
        <v>48</v>
      </c>
      <c r="D55" s="39" t="s">
        <v>23</v>
      </c>
      <c r="E55" s="39" t="s">
        <v>170</v>
      </c>
      <c r="F55" s="554"/>
      <c r="G55" s="291"/>
      <c r="H55" s="41"/>
      <c r="I55" s="61"/>
      <c r="J55" s="728">
        <f>J56</f>
        <v>0</v>
      </c>
      <c r="K55" s="42">
        <f>K56</f>
        <v>0</v>
      </c>
      <c r="L55" s="43">
        <f>L56</f>
        <v>0</v>
      </c>
      <c r="M55" s="44">
        <f>M56</f>
        <v>-741.3</v>
      </c>
      <c r="N55" s="45">
        <f>N56</f>
        <v>-741.3</v>
      </c>
    </row>
    <row r="56" spans="1:19" ht="12.75" hidden="1" customHeight="1">
      <c r="A56" s="46" t="s">
        <v>153</v>
      </c>
      <c r="B56" s="39" t="s">
        <v>126</v>
      </c>
      <c r="C56" s="39" t="s">
        <v>48</v>
      </c>
      <c r="D56" s="39" t="s">
        <v>23</v>
      </c>
      <c r="E56" s="39" t="s">
        <v>170</v>
      </c>
      <c r="F56" s="554" t="s">
        <v>143</v>
      </c>
      <c r="G56" s="291"/>
      <c r="H56" s="41"/>
      <c r="I56" s="61"/>
      <c r="J56" s="728"/>
      <c r="K56" s="42"/>
      <c r="L56" s="43">
        <f>J56+K56</f>
        <v>0</v>
      </c>
      <c r="M56" s="63">
        <v>-741.3</v>
      </c>
      <c r="N56" s="45">
        <f>L56+M56</f>
        <v>-741.3</v>
      </c>
    </row>
    <row r="57" spans="1:19" ht="30">
      <c r="A57" s="46" t="s">
        <v>171</v>
      </c>
      <c r="B57" s="39" t="s">
        <v>126</v>
      </c>
      <c r="C57" s="39" t="s">
        <v>48</v>
      </c>
      <c r="D57" s="39" t="s">
        <v>23</v>
      </c>
      <c r="E57" s="39" t="s">
        <v>172</v>
      </c>
      <c r="F57" s="554"/>
      <c r="G57" s="522">
        <f t="shared" ref="G57:N58" si="11">G58</f>
        <v>-588.25576000000001</v>
      </c>
      <c r="H57" s="87">
        <f t="shared" si="11"/>
        <v>1271.5</v>
      </c>
      <c r="I57" s="86">
        <f t="shared" si="11"/>
        <v>0</v>
      </c>
      <c r="J57" s="728">
        <f t="shared" si="11"/>
        <v>2203.8000000000002</v>
      </c>
      <c r="K57" s="42">
        <f t="shared" si="11"/>
        <v>0</v>
      </c>
      <c r="L57" s="43">
        <f t="shared" si="11"/>
        <v>2203.8000000000002</v>
      </c>
      <c r="M57" s="43">
        <f t="shared" si="11"/>
        <v>-34</v>
      </c>
      <c r="N57" s="83">
        <f t="shared" si="11"/>
        <v>2169.8000000000002</v>
      </c>
    </row>
    <row r="58" spans="1:19" ht="75">
      <c r="A58" s="46" t="s">
        <v>173</v>
      </c>
      <c r="B58" s="39" t="s">
        <v>126</v>
      </c>
      <c r="C58" s="39" t="s">
        <v>48</v>
      </c>
      <c r="D58" s="39" t="s">
        <v>23</v>
      </c>
      <c r="E58" s="39" t="s">
        <v>174</v>
      </c>
      <c r="F58" s="554"/>
      <c r="G58" s="522">
        <f t="shared" si="11"/>
        <v>-588.25576000000001</v>
      </c>
      <c r="H58" s="87">
        <f t="shared" si="11"/>
        <v>1271.5</v>
      </c>
      <c r="I58" s="86">
        <f t="shared" si="11"/>
        <v>0</v>
      </c>
      <c r="J58" s="728">
        <f t="shared" si="11"/>
        <v>2203.8000000000002</v>
      </c>
      <c r="K58" s="42">
        <f t="shared" si="11"/>
        <v>0</v>
      </c>
      <c r="L58" s="43">
        <f t="shared" si="11"/>
        <v>2203.8000000000002</v>
      </c>
      <c r="M58" s="43">
        <f t="shared" si="11"/>
        <v>-34</v>
      </c>
      <c r="N58" s="83">
        <f t="shared" si="11"/>
        <v>2169.8000000000002</v>
      </c>
    </row>
    <row r="59" spans="1:19" ht="30">
      <c r="A59" s="46" t="s">
        <v>153</v>
      </c>
      <c r="B59" s="39" t="s">
        <v>126</v>
      </c>
      <c r="C59" s="39" t="s">
        <v>48</v>
      </c>
      <c r="D59" s="39" t="s">
        <v>23</v>
      </c>
      <c r="E59" s="39" t="s">
        <v>174</v>
      </c>
      <c r="F59" s="554" t="s">
        <v>143</v>
      </c>
      <c r="G59" s="522">
        <f>99.74424-688</f>
        <v>-588.25576000000001</v>
      </c>
      <c r="H59" s="41">
        <v>1271.5</v>
      </c>
      <c r="I59" s="86"/>
      <c r="J59" s="728">
        <v>2203.8000000000002</v>
      </c>
      <c r="K59" s="42"/>
      <c r="L59" s="43">
        <f>J59+K59</f>
        <v>2203.8000000000002</v>
      </c>
      <c r="M59" s="43">
        <v>-34</v>
      </c>
      <c r="N59" s="89">
        <f>L59+M59</f>
        <v>2169.8000000000002</v>
      </c>
      <c r="O59" s="11">
        <f>2322.3-118.5</f>
        <v>2203.8000000000002</v>
      </c>
      <c r="P59" s="15">
        <f>K59</f>
        <v>0</v>
      </c>
    </row>
    <row r="60" spans="1:19">
      <c r="A60" s="37" t="s">
        <v>81</v>
      </c>
      <c r="B60" s="38" t="s">
        <v>126</v>
      </c>
      <c r="C60" s="38" t="s">
        <v>48</v>
      </c>
      <c r="D60" s="38" t="s">
        <v>27</v>
      </c>
      <c r="E60" s="38"/>
      <c r="F60" s="556"/>
      <c r="G60" s="518">
        <f t="shared" ref="G60:M60" si="12">G61+G63</f>
        <v>2852</v>
      </c>
      <c r="H60" s="90">
        <f t="shared" si="12"/>
        <v>0</v>
      </c>
      <c r="I60" s="67">
        <f t="shared" si="12"/>
        <v>0</v>
      </c>
      <c r="J60" s="734">
        <f t="shared" si="12"/>
        <v>749.9</v>
      </c>
      <c r="K60" s="91">
        <f t="shared" si="12"/>
        <v>0</v>
      </c>
      <c r="L60" s="92">
        <f t="shared" si="12"/>
        <v>749.9</v>
      </c>
      <c r="M60" s="63">
        <f t="shared" si="12"/>
        <v>-1.8800000000000026</v>
      </c>
      <c r="N60" s="64">
        <f>N61+N63</f>
        <v>748.02</v>
      </c>
    </row>
    <row r="61" spans="1:19" ht="30">
      <c r="A61" s="46" t="s">
        <v>146</v>
      </c>
      <c r="B61" s="39" t="s">
        <v>126</v>
      </c>
      <c r="C61" s="39" t="s">
        <v>48</v>
      </c>
      <c r="D61" s="39" t="s">
        <v>27</v>
      </c>
      <c r="E61" s="39" t="s">
        <v>147</v>
      </c>
      <c r="F61" s="554"/>
      <c r="G61" s="291">
        <f t="shared" ref="G61:N61" si="13">G62</f>
        <v>2164</v>
      </c>
      <c r="H61" s="62">
        <f t="shared" si="13"/>
        <v>0</v>
      </c>
      <c r="I61" s="61">
        <f t="shared" si="13"/>
        <v>0</v>
      </c>
      <c r="J61" s="728">
        <f t="shared" si="13"/>
        <v>70</v>
      </c>
      <c r="K61" s="42">
        <f t="shared" si="13"/>
        <v>0</v>
      </c>
      <c r="L61" s="43">
        <f t="shared" si="13"/>
        <v>70</v>
      </c>
      <c r="M61" s="63">
        <f t="shared" si="13"/>
        <v>-35.880000000000003</v>
      </c>
      <c r="N61" s="45">
        <f t="shared" si="13"/>
        <v>34.119999999999997</v>
      </c>
    </row>
    <row r="62" spans="1:19" ht="30">
      <c r="A62" s="46" t="s">
        <v>142</v>
      </c>
      <c r="B62" s="39" t="s">
        <v>126</v>
      </c>
      <c r="C62" s="39" t="s">
        <v>48</v>
      </c>
      <c r="D62" s="39" t="s">
        <v>27</v>
      </c>
      <c r="E62" s="39" t="s">
        <v>147</v>
      </c>
      <c r="F62" s="554" t="s">
        <v>143</v>
      </c>
      <c r="G62" s="291">
        <v>2164</v>
      </c>
      <c r="H62" s="41"/>
      <c r="I62" s="61"/>
      <c r="J62" s="728">
        <v>70</v>
      </c>
      <c r="K62" s="42"/>
      <c r="L62" s="43">
        <f>J62+K62</f>
        <v>70</v>
      </c>
      <c r="M62" s="63">
        <v>-35.880000000000003</v>
      </c>
      <c r="N62" s="45">
        <f>L62+M62</f>
        <v>34.119999999999997</v>
      </c>
      <c r="O62" s="65">
        <v>70</v>
      </c>
      <c r="P62" s="66">
        <f>L62-O62</f>
        <v>0</v>
      </c>
    </row>
    <row r="63" spans="1:19" ht="75">
      <c r="A63" s="46" t="s">
        <v>173</v>
      </c>
      <c r="B63" s="39" t="s">
        <v>126</v>
      </c>
      <c r="C63" s="39" t="s">
        <v>48</v>
      </c>
      <c r="D63" s="39" t="s">
        <v>27</v>
      </c>
      <c r="E63" s="39" t="s">
        <v>174</v>
      </c>
      <c r="F63" s="554"/>
      <c r="G63" s="291">
        <f t="shared" ref="G63:N63" si="14">G64</f>
        <v>688</v>
      </c>
      <c r="H63" s="41">
        <f t="shared" si="14"/>
        <v>0</v>
      </c>
      <c r="I63" s="61">
        <f t="shared" si="14"/>
        <v>0</v>
      </c>
      <c r="J63" s="728">
        <f t="shared" si="14"/>
        <v>679.9</v>
      </c>
      <c r="K63" s="42">
        <f t="shared" si="14"/>
        <v>0</v>
      </c>
      <c r="L63" s="43">
        <f t="shared" si="14"/>
        <v>679.9</v>
      </c>
      <c r="M63" s="63">
        <f t="shared" si="14"/>
        <v>34</v>
      </c>
      <c r="N63" s="45">
        <f t="shared" si="14"/>
        <v>713.9</v>
      </c>
    </row>
    <row r="64" spans="1:19" ht="30">
      <c r="A64" s="46" t="s">
        <v>153</v>
      </c>
      <c r="B64" s="39" t="s">
        <v>126</v>
      </c>
      <c r="C64" s="39" t="s">
        <v>48</v>
      </c>
      <c r="D64" s="39" t="s">
        <v>27</v>
      </c>
      <c r="E64" s="39" t="s">
        <v>174</v>
      </c>
      <c r="F64" s="554" t="s">
        <v>143</v>
      </c>
      <c r="G64" s="291">
        <v>688</v>
      </c>
      <c r="H64" s="41"/>
      <c r="I64" s="61"/>
      <c r="J64" s="728">
        <v>679.9</v>
      </c>
      <c r="K64" s="42"/>
      <c r="L64" s="43">
        <f>J64+K64</f>
        <v>679.9</v>
      </c>
      <c r="M64" s="63">
        <v>34</v>
      </c>
      <c r="N64" s="45">
        <f>L64+M64</f>
        <v>713.9</v>
      </c>
      <c r="O64" s="11">
        <v>679.9</v>
      </c>
      <c r="P64" s="15">
        <f>K64</f>
        <v>0</v>
      </c>
      <c r="R64" s="11">
        <f>O64+O59</f>
        <v>2883.7000000000003</v>
      </c>
      <c r="S64" s="15">
        <f>L64+L59</f>
        <v>2883.7000000000003</v>
      </c>
    </row>
    <row r="65" spans="1:19" ht="29.25">
      <c r="A65" s="37" t="s">
        <v>84</v>
      </c>
      <c r="B65" s="38" t="s">
        <v>126</v>
      </c>
      <c r="C65" s="38" t="s">
        <v>48</v>
      </c>
      <c r="D65" s="38" t="s">
        <v>48</v>
      </c>
      <c r="E65" s="38"/>
      <c r="F65" s="556"/>
      <c r="G65" s="518">
        <f t="shared" ref="G65:L67" si="15">G66</f>
        <v>0</v>
      </c>
      <c r="H65" s="90">
        <f t="shared" si="15"/>
        <v>1049.6600000000001</v>
      </c>
      <c r="I65" s="67">
        <f t="shared" si="15"/>
        <v>0</v>
      </c>
      <c r="J65" s="91">
        <f>J66+J71+J75+J77+J73+J79+J81</f>
        <v>800</v>
      </c>
      <c r="K65" s="91">
        <f>K66+K71+K75+K77+K73</f>
        <v>0</v>
      </c>
      <c r="L65" s="91">
        <f>L66+L71+L75+L77+L73+L79+L81</f>
        <v>800</v>
      </c>
      <c r="M65" s="63"/>
      <c r="N65" s="93"/>
    </row>
    <row r="66" spans="1:19" ht="45" hidden="1">
      <c r="A66" s="46" t="s">
        <v>175</v>
      </c>
      <c r="B66" s="39" t="s">
        <v>126</v>
      </c>
      <c r="C66" s="39" t="s">
        <v>48</v>
      </c>
      <c r="D66" s="39" t="s">
        <v>48</v>
      </c>
      <c r="E66" s="39" t="s">
        <v>176</v>
      </c>
      <c r="F66" s="554"/>
      <c r="G66" s="291">
        <f t="shared" si="15"/>
        <v>0</v>
      </c>
      <c r="H66" s="62">
        <f t="shared" si="15"/>
        <v>1049.6600000000001</v>
      </c>
      <c r="I66" s="61">
        <f t="shared" si="15"/>
        <v>0</v>
      </c>
      <c r="J66" s="728">
        <f t="shared" si="15"/>
        <v>0</v>
      </c>
      <c r="K66" s="42">
        <f t="shared" si="15"/>
        <v>0</v>
      </c>
      <c r="L66" s="43">
        <f t="shared" si="15"/>
        <v>0</v>
      </c>
      <c r="M66" s="63"/>
      <c r="N66" s="93"/>
    </row>
    <row r="67" spans="1:19" ht="30" hidden="1">
      <c r="A67" s="46" t="s">
        <v>146</v>
      </c>
      <c r="B67" s="39" t="s">
        <v>126</v>
      </c>
      <c r="C67" s="39" t="s">
        <v>48</v>
      </c>
      <c r="D67" s="39" t="s">
        <v>48</v>
      </c>
      <c r="E67" s="39" t="s">
        <v>177</v>
      </c>
      <c r="F67" s="554"/>
      <c r="G67" s="291">
        <f t="shared" si="15"/>
        <v>0</v>
      </c>
      <c r="H67" s="62">
        <f t="shared" si="15"/>
        <v>1049.6600000000001</v>
      </c>
      <c r="I67" s="61">
        <f t="shared" si="15"/>
        <v>0</v>
      </c>
      <c r="J67" s="728">
        <f t="shared" si="15"/>
        <v>0</v>
      </c>
      <c r="K67" s="42">
        <f t="shared" si="15"/>
        <v>0</v>
      </c>
      <c r="L67" s="43">
        <f t="shared" si="15"/>
        <v>0</v>
      </c>
      <c r="M67" s="63"/>
      <c r="N67" s="93"/>
    </row>
    <row r="68" spans="1:19" ht="30" hidden="1">
      <c r="A68" s="94" t="s">
        <v>153</v>
      </c>
      <c r="B68" s="95" t="s">
        <v>126</v>
      </c>
      <c r="C68" s="39" t="s">
        <v>48</v>
      </c>
      <c r="D68" s="39" t="s">
        <v>48</v>
      </c>
      <c r="E68" s="95" t="s">
        <v>177</v>
      </c>
      <c r="F68" s="557" t="s">
        <v>143</v>
      </c>
      <c r="G68" s="523"/>
      <c r="H68" s="97">
        <v>1049.6600000000001</v>
      </c>
      <c r="I68" s="96"/>
      <c r="J68" s="735"/>
      <c r="K68" s="736"/>
      <c r="L68" s="737">
        <f>J68+K68</f>
        <v>0</v>
      </c>
      <c r="M68" s="63"/>
      <c r="N68" s="93"/>
    </row>
    <row r="69" spans="1:19" ht="60" hidden="1">
      <c r="A69" s="98" t="s">
        <v>178</v>
      </c>
      <c r="B69" s="99" t="s">
        <v>126</v>
      </c>
      <c r="C69" s="100" t="s">
        <v>48</v>
      </c>
      <c r="D69" s="100" t="s">
        <v>48</v>
      </c>
      <c r="E69" s="101">
        <v>7952014</v>
      </c>
      <c r="F69" s="558"/>
      <c r="G69" s="104"/>
      <c r="H69" s="102"/>
      <c r="I69" s="103"/>
      <c r="J69" s="728">
        <f>J70</f>
        <v>0</v>
      </c>
      <c r="K69" s="42">
        <f>K70</f>
        <v>0</v>
      </c>
      <c r="L69" s="43">
        <f>L70</f>
        <v>0</v>
      </c>
      <c r="M69" s="63"/>
      <c r="N69" s="93"/>
    </row>
    <row r="70" spans="1:19" ht="30" hidden="1">
      <c r="A70" s="46" t="s">
        <v>136</v>
      </c>
      <c r="B70" s="100" t="s">
        <v>126</v>
      </c>
      <c r="C70" s="104" t="s">
        <v>48</v>
      </c>
      <c r="D70" s="105" t="s">
        <v>48</v>
      </c>
      <c r="E70" s="101">
        <v>7952014</v>
      </c>
      <c r="F70" s="558" t="s">
        <v>134</v>
      </c>
      <c r="G70" s="63"/>
      <c r="H70" s="102"/>
      <c r="I70" s="103"/>
      <c r="J70" s="735"/>
      <c r="K70" s="736"/>
      <c r="L70" s="737">
        <f>J70+K70</f>
        <v>0</v>
      </c>
      <c r="M70" s="63"/>
      <c r="N70" s="93"/>
    </row>
    <row r="71" spans="1:19" ht="60">
      <c r="A71" s="98" t="s">
        <v>179</v>
      </c>
      <c r="B71" s="99" t="s">
        <v>126</v>
      </c>
      <c r="C71" s="100" t="s">
        <v>48</v>
      </c>
      <c r="D71" s="100" t="s">
        <v>48</v>
      </c>
      <c r="E71" s="101">
        <v>7952013</v>
      </c>
      <c r="F71" s="558"/>
      <c r="G71" s="63"/>
      <c r="H71" s="102"/>
      <c r="I71" s="103"/>
      <c r="J71" s="728">
        <f>J72</f>
        <v>227.2</v>
      </c>
      <c r="K71" s="42">
        <f>K72</f>
        <v>0</v>
      </c>
      <c r="L71" s="43">
        <f>L72</f>
        <v>227.2</v>
      </c>
      <c r="M71" s="63"/>
      <c r="N71" s="93"/>
    </row>
    <row r="72" spans="1:19" ht="30">
      <c r="A72" s="46" t="s">
        <v>136</v>
      </c>
      <c r="B72" s="100" t="s">
        <v>126</v>
      </c>
      <c r="C72" s="104" t="s">
        <v>48</v>
      </c>
      <c r="D72" s="105" t="s">
        <v>48</v>
      </c>
      <c r="E72" s="101">
        <v>7952013</v>
      </c>
      <c r="F72" s="558" t="s">
        <v>134</v>
      </c>
      <c r="G72" s="63"/>
      <c r="H72" s="102"/>
      <c r="I72" s="103"/>
      <c r="J72" s="735">
        <v>227.2</v>
      </c>
      <c r="K72" s="736"/>
      <c r="L72" s="42">
        <f>J72+K72</f>
        <v>227.2</v>
      </c>
      <c r="M72" s="63"/>
      <c r="N72" s="93"/>
      <c r="O72" s="11">
        <v>427.2</v>
      </c>
      <c r="P72" s="15">
        <f>L72-O72</f>
        <v>-200</v>
      </c>
      <c r="S72" s="15">
        <f>K72+K74+K76+K80+K82+K78</f>
        <v>0</v>
      </c>
    </row>
    <row r="73" spans="1:19" ht="60">
      <c r="A73" s="98" t="s">
        <v>180</v>
      </c>
      <c r="B73" s="99" t="s">
        <v>126</v>
      </c>
      <c r="C73" s="100" t="s">
        <v>48</v>
      </c>
      <c r="D73" s="100" t="s">
        <v>48</v>
      </c>
      <c r="E73" s="101">
        <v>7952014</v>
      </c>
      <c r="F73" s="558"/>
      <c r="G73" s="524"/>
      <c r="H73" s="106"/>
      <c r="I73" s="107"/>
      <c r="J73" s="728">
        <f>J74</f>
        <v>150</v>
      </c>
      <c r="K73" s="42">
        <f>K74</f>
        <v>0</v>
      </c>
      <c r="L73" s="43">
        <f>L74</f>
        <v>150</v>
      </c>
      <c r="M73" s="63"/>
      <c r="N73" s="93"/>
      <c r="P73" s="15"/>
    </row>
    <row r="74" spans="1:19" ht="30">
      <c r="A74" s="46" t="s">
        <v>136</v>
      </c>
      <c r="B74" s="100" t="s">
        <v>126</v>
      </c>
      <c r="C74" s="104" t="s">
        <v>48</v>
      </c>
      <c r="D74" s="105" t="s">
        <v>48</v>
      </c>
      <c r="E74" s="101">
        <v>7952014</v>
      </c>
      <c r="F74" s="558" t="s">
        <v>134</v>
      </c>
      <c r="G74" s="151"/>
      <c r="H74" s="106"/>
      <c r="I74" s="107"/>
      <c r="J74" s="735">
        <v>150</v>
      </c>
      <c r="K74" s="736"/>
      <c r="L74" s="737">
        <f>J74+K74</f>
        <v>150</v>
      </c>
      <c r="M74" s="63"/>
      <c r="N74" s="93"/>
      <c r="O74" s="11">
        <v>150</v>
      </c>
      <c r="P74" s="15"/>
    </row>
    <row r="75" spans="1:19" ht="60">
      <c r="A75" s="98" t="s">
        <v>181</v>
      </c>
      <c r="B75" s="99" t="s">
        <v>126</v>
      </c>
      <c r="C75" s="100" t="s">
        <v>48</v>
      </c>
      <c r="D75" s="100" t="s">
        <v>48</v>
      </c>
      <c r="E75" s="101">
        <v>7952015</v>
      </c>
      <c r="F75" s="558"/>
      <c r="G75" s="63"/>
      <c r="H75" s="102"/>
      <c r="I75" s="103"/>
      <c r="J75" s="728">
        <f>J76</f>
        <v>50</v>
      </c>
      <c r="K75" s="42">
        <f>K76</f>
        <v>0</v>
      </c>
      <c r="L75" s="43">
        <f>L76</f>
        <v>50</v>
      </c>
      <c r="M75" s="63"/>
      <c r="N75" s="93"/>
    </row>
    <row r="76" spans="1:19" ht="30">
      <c r="A76" s="46" t="s">
        <v>136</v>
      </c>
      <c r="B76" s="100" t="s">
        <v>126</v>
      </c>
      <c r="C76" s="104" t="s">
        <v>48</v>
      </c>
      <c r="D76" s="105" t="s">
        <v>48</v>
      </c>
      <c r="E76" s="101">
        <v>7952015</v>
      </c>
      <c r="F76" s="558" t="s">
        <v>134</v>
      </c>
      <c r="G76" s="63"/>
      <c r="H76" s="102"/>
      <c r="I76" s="103"/>
      <c r="J76" s="735">
        <v>50</v>
      </c>
      <c r="K76" s="736"/>
      <c r="L76" s="737">
        <f>J76+K76</f>
        <v>50</v>
      </c>
      <c r="M76" s="63"/>
      <c r="N76" s="93"/>
      <c r="O76" s="11">
        <v>50</v>
      </c>
    </row>
    <row r="77" spans="1:19" ht="90">
      <c r="A77" s="98" t="s">
        <v>182</v>
      </c>
      <c r="B77" s="99" t="s">
        <v>126</v>
      </c>
      <c r="C77" s="100" t="s">
        <v>48</v>
      </c>
      <c r="D77" s="100" t="s">
        <v>48</v>
      </c>
      <c r="E77" s="101">
        <v>7952016</v>
      </c>
      <c r="F77" s="558"/>
      <c r="G77" s="63"/>
      <c r="H77" s="102"/>
      <c r="I77" s="103"/>
      <c r="J77" s="728">
        <f>J78</f>
        <v>50</v>
      </c>
      <c r="K77" s="42">
        <f>K78</f>
        <v>0</v>
      </c>
      <c r="L77" s="43">
        <f>L78</f>
        <v>50</v>
      </c>
      <c r="M77" s="63"/>
      <c r="N77" s="93"/>
    </row>
    <row r="78" spans="1:19" ht="30">
      <c r="A78" s="46" t="s">
        <v>136</v>
      </c>
      <c r="B78" s="100" t="s">
        <v>126</v>
      </c>
      <c r="C78" s="104" t="s">
        <v>48</v>
      </c>
      <c r="D78" s="105" t="s">
        <v>48</v>
      </c>
      <c r="E78" s="101">
        <v>7952016</v>
      </c>
      <c r="F78" s="558" t="s">
        <v>134</v>
      </c>
      <c r="G78" s="63"/>
      <c r="H78" s="102"/>
      <c r="I78" s="103"/>
      <c r="J78" s="728">
        <v>50</v>
      </c>
      <c r="K78" s="42"/>
      <c r="L78" s="43">
        <f>J78+K78</f>
        <v>50</v>
      </c>
      <c r="M78" s="63"/>
      <c r="N78" s="93"/>
      <c r="O78" s="11">
        <v>50</v>
      </c>
    </row>
    <row r="79" spans="1:19" ht="90">
      <c r="A79" s="98" t="s">
        <v>183</v>
      </c>
      <c r="B79" s="99" t="s">
        <v>126</v>
      </c>
      <c r="C79" s="100" t="s">
        <v>48</v>
      </c>
      <c r="D79" s="100" t="s">
        <v>48</v>
      </c>
      <c r="E79" s="101">
        <v>7952017</v>
      </c>
      <c r="F79" s="558"/>
      <c r="G79" s="63"/>
      <c r="H79" s="102"/>
      <c r="I79" s="103"/>
      <c r="J79" s="728">
        <f>J80</f>
        <v>234</v>
      </c>
      <c r="K79" s="42">
        <f>K80</f>
        <v>0</v>
      </c>
      <c r="L79" s="43">
        <f>L80</f>
        <v>234</v>
      </c>
      <c r="M79" s="63"/>
      <c r="N79" s="93"/>
    </row>
    <row r="80" spans="1:19" ht="30">
      <c r="A80" s="46" t="s">
        <v>136</v>
      </c>
      <c r="B80" s="100" t="s">
        <v>126</v>
      </c>
      <c r="C80" s="104" t="s">
        <v>48</v>
      </c>
      <c r="D80" s="105" t="s">
        <v>48</v>
      </c>
      <c r="E80" s="101">
        <v>7952017</v>
      </c>
      <c r="F80" s="558" t="s">
        <v>134</v>
      </c>
      <c r="G80" s="63"/>
      <c r="H80" s="102"/>
      <c r="I80" s="103"/>
      <c r="J80" s="735">
        <v>234</v>
      </c>
      <c r="K80" s="736"/>
      <c r="L80" s="737">
        <f>J80+K80</f>
        <v>234</v>
      </c>
      <c r="M80" s="63"/>
      <c r="N80" s="93"/>
      <c r="O80" s="11">
        <v>234</v>
      </c>
    </row>
    <row r="81" spans="1:19" ht="45">
      <c r="A81" s="98" t="s">
        <v>184</v>
      </c>
      <c r="B81" s="99" t="s">
        <v>126</v>
      </c>
      <c r="C81" s="100" t="s">
        <v>48</v>
      </c>
      <c r="D81" s="100" t="s">
        <v>48</v>
      </c>
      <c r="E81" s="101">
        <v>7952019</v>
      </c>
      <c r="F81" s="558"/>
      <c r="G81" s="63"/>
      <c r="H81" s="102"/>
      <c r="I81" s="103"/>
      <c r="J81" s="728">
        <f>J82</f>
        <v>88.8</v>
      </c>
      <c r="K81" s="42">
        <f>K82</f>
        <v>0</v>
      </c>
      <c r="L81" s="43">
        <f>L82</f>
        <v>88.8</v>
      </c>
      <c r="M81" s="63"/>
      <c r="N81" s="93"/>
    </row>
    <row r="82" spans="1:19" ht="30.75" thickBot="1">
      <c r="A82" s="46" t="s">
        <v>136</v>
      </c>
      <c r="B82" s="100" t="s">
        <v>126</v>
      </c>
      <c r="C82" s="104" t="s">
        <v>48</v>
      </c>
      <c r="D82" s="105" t="s">
        <v>48</v>
      </c>
      <c r="E82" s="101">
        <v>7952019</v>
      </c>
      <c r="F82" s="558" t="s">
        <v>134</v>
      </c>
      <c r="G82" s="63"/>
      <c r="H82" s="102"/>
      <c r="I82" s="103"/>
      <c r="J82" s="728">
        <v>88.8</v>
      </c>
      <c r="K82" s="42"/>
      <c r="L82" s="43">
        <f>J82+K82</f>
        <v>88.8</v>
      </c>
      <c r="M82" s="63"/>
      <c r="N82" s="93"/>
      <c r="O82" s="11">
        <v>88.8</v>
      </c>
    </row>
    <row r="83" spans="1:19" ht="44.25" hidden="1" thickBot="1">
      <c r="A83" s="37" t="s">
        <v>85</v>
      </c>
      <c r="B83" s="38" t="s">
        <v>126</v>
      </c>
      <c r="C83" s="38" t="s">
        <v>48</v>
      </c>
      <c r="D83" s="38" t="s">
        <v>86</v>
      </c>
      <c r="E83" s="38"/>
      <c r="F83" s="556"/>
      <c r="G83" s="518">
        <f t="shared" ref="G83:N85" si="16">G84</f>
        <v>0</v>
      </c>
      <c r="H83" s="90">
        <f t="shared" si="16"/>
        <v>1049.6600000000001</v>
      </c>
      <c r="I83" s="67">
        <f t="shared" si="16"/>
        <v>0</v>
      </c>
      <c r="J83" s="91">
        <f>J84+J87+J89+J91+J93+J95</f>
        <v>0</v>
      </c>
      <c r="K83" s="91">
        <f>K84+K87+K89+K91+K93+K95</f>
        <v>0</v>
      </c>
      <c r="L83" s="91">
        <f>L84+L87+L89+L91+L93+L95</f>
        <v>0</v>
      </c>
      <c r="M83" s="108">
        <f>M84+M87</f>
        <v>33</v>
      </c>
      <c r="N83" s="109">
        <f>N84+N87</f>
        <v>33</v>
      </c>
      <c r="O83" s="110"/>
      <c r="P83" s="111"/>
      <c r="Q83" s="112"/>
      <c r="R83" s="111"/>
      <c r="S83" s="113"/>
    </row>
    <row r="84" spans="1:19" ht="45.75" hidden="1" thickBot="1">
      <c r="A84" s="46" t="s">
        <v>175</v>
      </c>
      <c r="B84" s="39" t="s">
        <v>126</v>
      </c>
      <c r="C84" s="39" t="s">
        <v>48</v>
      </c>
      <c r="D84" s="39" t="s">
        <v>86</v>
      </c>
      <c r="E84" s="39" t="s">
        <v>176</v>
      </c>
      <c r="F84" s="554"/>
      <c r="G84" s="291">
        <f t="shared" si="16"/>
        <v>0</v>
      </c>
      <c r="H84" s="62">
        <f t="shared" si="16"/>
        <v>1049.6600000000001</v>
      </c>
      <c r="I84" s="61">
        <f t="shared" si="16"/>
        <v>0</v>
      </c>
      <c r="J84" s="728">
        <f t="shared" si="16"/>
        <v>0</v>
      </c>
      <c r="K84" s="42">
        <f t="shared" si="16"/>
        <v>0</v>
      </c>
      <c r="L84" s="43">
        <f t="shared" si="16"/>
        <v>0</v>
      </c>
      <c r="M84" s="63">
        <f t="shared" si="16"/>
        <v>0</v>
      </c>
      <c r="N84" s="114">
        <f t="shared" si="16"/>
        <v>0</v>
      </c>
      <c r="O84" s="115"/>
      <c r="P84" s="116"/>
      <c r="Q84" s="117"/>
      <c r="R84" s="116"/>
      <c r="S84" s="113"/>
    </row>
    <row r="85" spans="1:19" ht="30.75" hidden="1" thickBot="1">
      <c r="A85" s="46" t="s">
        <v>146</v>
      </c>
      <c r="B85" s="39" t="s">
        <v>126</v>
      </c>
      <c r="C85" s="39" t="s">
        <v>48</v>
      </c>
      <c r="D85" s="39" t="s">
        <v>86</v>
      </c>
      <c r="E85" s="39" t="s">
        <v>177</v>
      </c>
      <c r="F85" s="554"/>
      <c r="G85" s="291">
        <f t="shared" si="16"/>
        <v>0</v>
      </c>
      <c r="H85" s="62">
        <f t="shared" si="16"/>
        <v>1049.6600000000001</v>
      </c>
      <c r="I85" s="61">
        <f t="shared" si="16"/>
        <v>0</v>
      </c>
      <c r="J85" s="728">
        <f t="shared" si="16"/>
        <v>0</v>
      </c>
      <c r="K85" s="42">
        <f t="shared" si="16"/>
        <v>0</v>
      </c>
      <c r="L85" s="43">
        <f t="shared" si="16"/>
        <v>0</v>
      </c>
      <c r="M85" s="63">
        <f t="shared" si="16"/>
        <v>0</v>
      </c>
      <c r="N85" s="114">
        <f t="shared" si="16"/>
        <v>0</v>
      </c>
      <c r="O85" s="115"/>
      <c r="P85" s="116"/>
      <c r="Q85" s="117"/>
      <c r="R85" s="116"/>
      <c r="S85" s="113"/>
    </row>
    <row r="86" spans="1:19" ht="30.75" hidden="1" thickBot="1">
      <c r="A86" s="94" t="s">
        <v>153</v>
      </c>
      <c r="B86" s="95" t="s">
        <v>126</v>
      </c>
      <c r="C86" s="39" t="s">
        <v>48</v>
      </c>
      <c r="D86" s="39" t="s">
        <v>86</v>
      </c>
      <c r="E86" s="95" t="s">
        <v>177</v>
      </c>
      <c r="F86" s="557" t="s">
        <v>143</v>
      </c>
      <c r="G86" s="523"/>
      <c r="H86" s="97">
        <v>1049.6600000000001</v>
      </c>
      <c r="I86" s="96"/>
      <c r="J86" s="735"/>
      <c r="K86" s="736"/>
      <c r="L86" s="737">
        <f>J86+K86</f>
        <v>0</v>
      </c>
      <c r="M86" s="72"/>
      <c r="N86" s="118">
        <f>L86+M86</f>
        <v>0</v>
      </c>
      <c r="O86" s="115"/>
      <c r="P86" s="116"/>
      <c r="Q86" s="117"/>
      <c r="R86" s="119"/>
      <c r="S86" s="113"/>
    </row>
    <row r="87" spans="1:19" ht="60.75" hidden="1" thickBot="1">
      <c r="A87" s="98" t="s">
        <v>178</v>
      </c>
      <c r="B87" s="99" t="s">
        <v>126</v>
      </c>
      <c r="C87" s="100" t="s">
        <v>48</v>
      </c>
      <c r="D87" s="100" t="s">
        <v>86</v>
      </c>
      <c r="E87" s="101">
        <v>7952014</v>
      </c>
      <c r="F87" s="558"/>
      <c r="G87" s="524"/>
      <c r="H87" s="106"/>
      <c r="I87" s="107"/>
      <c r="J87" s="728">
        <f>J88</f>
        <v>0</v>
      </c>
      <c r="K87" s="42">
        <f>K88</f>
        <v>0</v>
      </c>
      <c r="L87" s="43">
        <f>L88</f>
        <v>0</v>
      </c>
      <c r="M87" s="44">
        <f>M88</f>
        <v>33</v>
      </c>
      <c r="N87" s="120">
        <f>N88</f>
        <v>33</v>
      </c>
      <c r="O87" s="115"/>
      <c r="P87" s="116"/>
      <c r="Q87" s="117"/>
      <c r="R87" s="119"/>
      <c r="S87" s="113"/>
    </row>
    <row r="88" spans="1:19" ht="30" hidden="1" customHeight="1" thickBot="1">
      <c r="A88" s="46" t="s">
        <v>136</v>
      </c>
      <c r="B88" s="100" t="s">
        <v>126</v>
      </c>
      <c r="C88" s="104" t="s">
        <v>48</v>
      </c>
      <c r="D88" s="105" t="s">
        <v>86</v>
      </c>
      <c r="E88" s="101">
        <v>7952014</v>
      </c>
      <c r="F88" s="558" t="s">
        <v>134</v>
      </c>
      <c r="G88" s="151"/>
      <c r="H88" s="106"/>
      <c r="I88" s="107"/>
      <c r="J88" s="735"/>
      <c r="K88" s="736"/>
      <c r="L88" s="737">
        <f>J88+K88</f>
        <v>0</v>
      </c>
      <c r="M88" s="121">
        <v>33</v>
      </c>
      <c r="N88" s="122">
        <f>L88+M88</f>
        <v>33</v>
      </c>
      <c r="O88" s="123"/>
      <c r="P88" s="116"/>
      <c r="Q88" s="117"/>
      <c r="R88" s="119"/>
      <c r="S88" s="113"/>
    </row>
    <row r="89" spans="1:19" ht="57.75" hidden="1" customHeight="1" thickBot="1">
      <c r="A89" s="98" t="s">
        <v>179</v>
      </c>
      <c r="B89" s="99" t="s">
        <v>126</v>
      </c>
      <c r="C89" s="100" t="s">
        <v>48</v>
      </c>
      <c r="D89" s="100" t="s">
        <v>86</v>
      </c>
      <c r="E89" s="101">
        <v>7952013</v>
      </c>
      <c r="F89" s="558"/>
      <c r="G89" s="151"/>
      <c r="H89" s="106"/>
      <c r="I89" s="107"/>
      <c r="J89" s="728">
        <f>J90</f>
        <v>0</v>
      </c>
      <c r="K89" s="42">
        <f>K90</f>
        <v>0</v>
      </c>
      <c r="L89" s="43">
        <f>L90</f>
        <v>0</v>
      </c>
      <c r="M89" s="124"/>
      <c r="N89" s="125"/>
      <c r="O89" s="115"/>
      <c r="P89" s="116"/>
      <c r="Q89" s="117"/>
      <c r="R89" s="119"/>
      <c r="S89" s="113"/>
    </row>
    <row r="90" spans="1:19" ht="30" hidden="1" customHeight="1" thickBot="1">
      <c r="A90" s="46" t="s">
        <v>136</v>
      </c>
      <c r="B90" s="100" t="s">
        <v>126</v>
      </c>
      <c r="C90" s="104" t="s">
        <v>48</v>
      </c>
      <c r="D90" s="105" t="s">
        <v>86</v>
      </c>
      <c r="E90" s="101">
        <v>7952013</v>
      </c>
      <c r="F90" s="558" t="s">
        <v>134</v>
      </c>
      <c r="G90" s="151"/>
      <c r="H90" s="106"/>
      <c r="I90" s="107"/>
      <c r="J90" s="735"/>
      <c r="K90" s="736"/>
      <c r="L90" s="42">
        <f>J90+K90</f>
        <v>0</v>
      </c>
      <c r="M90" s="124"/>
      <c r="N90" s="125"/>
      <c r="O90" s="123"/>
      <c r="P90" s="116"/>
      <c r="Q90" s="117"/>
      <c r="R90" s="119"/>
      <c r="S90" s="113"/>
    </row>
    <row r="91" spans="1:19" ht="57" hidden="1" customHeight="1" thickBot="1">
      <c r="A91" s="98" t="s">
        <v>181</v>
      </c>
      <c r="B91" s="99" t="s">
        <v>126</v>
      </c>
      <c r="C91" s="100" t="s">
        <v>48</v>
      </c>
      <c r="D91" s="100" t="s">
        <v>86</v>
      </c>
      <c r="E91" s="101">
        <v>7952015</v>
      </c>
      <c r="F91" s="558"/>
      <c r="G91" s="151"/>
      <c r="H91" s="106"/>
      <c r="I91" s="107"/>
      <c r="J91" s="728">
        <f>J92</f>
        <v>0</v>
      </c>
      <c r="K91" s="42">
        <f>K92</f>
        <v>0</v>
      </c>
      <c r="L91" s="43">
        <f>L92</f>
        <v>0</v>
      </c>
      <c r="M91" s="124"/>
      <c r="N91" s="125"/>
      <c r="O91" s="115"/>
      <c r="P91" s="116"/>
      <c r="Q91" s="117"/>
      <c r="R91" s="119"/>
      <c r="S91" s="113"/>
    </row>
    <row r="92" spans="1:19" ht="30" hidden="1" customHeight="1" thickBot="1">
      <c r="A92" s="46" t="s">
        <v>136</v>
      </c>
      <c r="B92" s="100" t="s">
        <v>126</v>
      </c>
      <c r="C92" s="104" t="s">
        <v>48</v>
      </c>
      <c r="D92" s="105" t="s">
        <v>86</v>
      </c>
      <c r="E92" s="101">
        <v>7952015</v>
      </c>
      <c r="F92" s="558" t="s">
        <v>134</v>
      </c>
      <c r="G92" s="151"/>
      <c r="H92" s="106"/>
      <c r="I92" s="107"/>
      <c r="J92" s="735"/>
      <c r="K92" s="736"/>
      <c r="L92" s="737">
        <f>J92+K92</f>
        <v>0</v>
      </c>
      <c r="M92" s="124"/>
      <c r="N92" s="125"/>
      <c r="O92" s="123"/>
      <c r="P92" s="116"/>
      <c r="Q92" s="117"/>
      <c r="R92" s="119"/>
      <c r="S92" s="113"/>
    </row>
    <row r="93" spans="1:19" ht="90" hidden="1" customHeight="1" thickBot="1">
      <c r="A93" s="98" t="s">
        <v>182</v>
      </c>
      <c r="B93" s="99" t="s">
        <v>126</v>
      </c>
      <c r="C93" s="100" t="s">
        <v>48</v>
      </c>
      <c r="D93" s="100" t="s">
        <v>86</v>
      </c>
      <c r="E93" s="101">
        <v>7952016</v>
      </c>
      <c r="F93" s="558"/>
      <c r="G93" s="151"/>
      <c r="H93" s="106"/>
      <c r="I93" s="107"/>
      <c r="J93" s="728">
        <f>J94</f>
        <v>0</v>
      </c>
      <c r="K93" s="42">
        <f>K94</f>
        <v>0</v>
      </c>
      <c r="L93" s="43">
        <f>L94</f>
        <v>0</v>
      </c>
      <c r="M93" s="124"/>
      <c r="N93" s="125"/>
      <c r="O93" s="115"/>
      <c r="P93" s="116"/>
      <c r="Q93" s="117"/>
      <c r="R93" s="119"/>
      <c r="S93" s="113"/>
    </row>
    <row r="94" spans="1:19" ht="30" hidden="1" customHeight="1" thickBot="1">
      <c r="A94" s="126" t="s">
        <v>136</v>
      </c>
      <c r="B94" s="100" t="s">
        <v>126</v>
      </c>
      <c r="C94" s="104" t="s">
        <v>48</v>
      </c>
      <c r="D94" s="105" t="s">
        <v>86</v>
      </c>
      <c r="E94" s="101">
        <v>7952016</v>
      </c>
      <c r="F94" s="558" t="s">
        <v>134</v>
      </c>
      <c r="G94" s="151"/>
      <c r="H94" s="106"/>
      <c r="I94" s="107"/>
      <c r="J94" s="728"/>
      <c r="K94" s="42"/>
      <c r="L94" s="43">
        <f>J94+K94</f>
        <v>0</v>
      </c>
      <c r="M94" s="124"/>
      <c r="N94" s="125"/>
      <c r="O94" s="123"/>
      <c r="P94" s="116"/>
      <c r="Q94" s="117"/>
      <c r="R94" s="119"/>
      <c r="S94" s="113"/>
    </row>
    <row r="95" spans="1:19" ht="48.75" hidden="1" customHeight="1" thickBot="1">
      <c r="A95" s="98" t="s">
        <v>185</v>
      </c>
      <c r="B95" s="99" t="s">
        <v>126</v>
      </c>
      <c r="C95" s="100" t="s">
        <v>48</v>
      </c>
      <c r="D95" s="100" t="s">
        <v>86</v>
      </c>
      <c r="E95" s="101">
        <v>7952017</v>
      </c>
      <c r="F95" s="558"/>
      <c r="G95" s="151"/>
      <c r="H95" s="106"/>
      <c r="I95" s="107"/>
      <c r="J95" s="728">
        <f>J96</f>
        <v>0</v>
      </c>
      <c r="K95" s="42">
        <f>K96</f>
        <v>0</v>
      </c>
      <c r="L95" s="43">
        <f>L96</f>
        <v>0</v>
      </c>
      <c r="M95" s="124"/>
      <c r="N95" s="125"/>
      <c r="O95" s="115"/>
      <c r="P95" s="116"/>
      <c r="Q95" s="117"/>
      <c r="R95" s="119"/>
      <c r="S95" s="113"/>
    </row>
    <row r="96" spans="1:19" ht="33" hidden="1" customHeight="1" thickBot="1">
      <c r="A96" s="94" t="s">
        <v>136</v>
      </c>
      <c r="B96" s="127" t="s">
        <v>126</v>
      </c>
      <c r="C96" s="128" t="s">
        <v>48</v>
      </c>
      <c r="D96" s="129" t="s">
        <v>86</v>
      </c>
      <c r="E96" s="130">
        <v>7952017</v>
      </c>
      <c r="F96" s="559" t="s">
        <v>134</v>
      </c>
      <c r="G96" s="525"/>
      <c r="H96" s="131"/>
      <c r="I96" s="132"/>
      <c r="J96" s="736"/>
      <c r="K96" s="736">
        <f>30-30</f>
        <v>0</v>
      </c>
      <c r="L96" s="736">
        <f>J96+K96</f>
        <v>0</v>
      </c>
      <c r="M96" s="124"/>
      <c r="N96" s="125"/>
      <c r="O96" s="123"/>
      <c r="P96" s="116"/>
      <c r="Q96" s="117"/>
      <c r="R96" s="119"/>
      <c r="S96" s="113"/>
    </row>
    <row r="97" spans="1:18" ht="30" thickBot="1">
      <c r="A97" s="165" t="s">
        <v>186</v>
      </c>
      <c r="B97" s="133" t="s">
        <v>187</v>
      </c>
      <c r="C97" s="133"/>
      <c r="D97" s="133"/>
      <c r="E97" s="133"/>
      <c r="F97" s="560"/>
      <c r="G97" s="526" t="e">
        <f t="shared" ref="G97:N97" si="17">G98+G105+G169</f>
        <v>#REF!</v>
      </c>
      <c r="H97" s="24">
        <f t="shared" si="17"/>
        <v>159066.28999999998</v>
      </c>
      <c r="I97" s="134">
        <f t="shared" si="17"/>
        <v>0</v>
      </c>
      <c r="J97" s="738">
        <f t="shared" si="17"/>
        <v>190215.25049999999</v>
      </c>
      <c r="K97" s="725">
        <f t="shared" si="17"/>
        <v>16964.985000000001</v>
      </c>
      <c r="L97" s="726">
        <f t="shared" si="17"/>
        <v>207180.23550000001</v>
      </c>
      <c r="M97" s="135">
        <f t="shared" si="17"/>
        <v>1106.3000000000002</v>
      </c>
      <c r="N97" s="136">
        <f t="shared" si="17"/>
        <v>76309.248200000002</v>
      </c>
      <c r="O97" s="137">
        <f>J97-L97</f>
        <v>-16964.985000000015</v>
      </c>
      <c r="P97" s="66"/>
      <c r="R97" s="66"/>
    </row>
    <row r="98" spans="1:18" hidden="1">
      <c r="A98" s="138" t="s">
        <v>19</v>
      </c>
      <c r="B98" s="139" t="s">
        <v>187</v>
      </c>
      <c r="C98" s="139" t="s">
        <v>22</v>
      </c>
      <c r="D98" s="75"/>
      <c r="E98" s="75"/>
      <c r="F98" s="561"/>
      <c r="G98" s="527">
        <f t="shared" ref="G98:N98" si="18">G99</f>
        <v>-853.63300000000004</v>
      </c>
      <c r="H98" s="33">
        <f t="shared" si="18"/>
        <v>1002.7</v>
      </c>
      <c r="I98" s="140">
        <f t="shared" si="18"/>
        <v>0</v>
      </c>
      <c r="J98" s="739">
        <f t="shared" si="18"/>
        <v>0</v>
      </c>
      <c r="K98" s="727">
        <f t="shared" si="18"/>
        <v>0</v>
      </c>
      <c r="L98" s="34">
        <f t="shared" si="18"/>
        <v>0</v>
      </c>
      <c r="M98" s="34">
        <f t="shared" si="18"/>
        <v>0</v>
      </c>
      <c r="N98" s="141">
        <f t="shared" si="18"/>
        <v>0</v>
      </c>
    </row>
    <row r="99" spans="1:18" ht="75" hidden="1">
      <c r="A99" s="46" t="s">
        <v>188</v>
      </c>
      <c r="B99" s="39" t="s">
        <v>187</v>
      </c>
      <c r="C99" s="39" t="s">
        <v>22</v>
      </c>
      <c r="D99" s="39" t="s">
        <v>27</v>
      </c>
      <c r="E99" s="39"/>
      <c r="F99" s="554"/>
      <c r="G99" s="522">
        <f t="shared" ref="G99:M99" si="19">G102+G100</f>
        <v>-853.63300000000004</v>
      </c>
      <c r="H99" s="87">
        <f t="shared" si="19"/>
        <v>1002.7</v>
      </c>
      <c r="I99" s="86">
        <f t="shared" si="19"/>
        <v>0</v>
      </c>
      <c r="J99" s="728">
        <f t="shared" si="19"/>
        <v>0</v>
      </c>
      <c r="K99" s="42">
        <f t="shared" si="19"/>
        <v>0</v>
      </c>
      <c r="L99" s="43">
        <f t="shared" si="19"/>
        <v>0</v>
      </c>
      <c r="M99" s="43">
        <f t="shared" si="19"/>
        <v>0</v>
      </c>
      <c r="N99" s="83">
        <f>N102+N100</f>
        <v>0</v>
      </c>
    </row>
    <row r="100" spans="1:18" ht="51" hidden="1" customHeight="1">
      <c r="A100" s="142" t="s">
        <v>189</v>
      </c>
      <c r="B100" s="39" t="s">
        <v>187</v>
      </c>
      <c r="C100" s="39" t="s">
        <v>22</v>
      </c>
      <c r="D100" s="39" t="s">
        <v>27</v>
      </c>
      <c r="E100" s="39" t="s">
        <v>190</v>
      </c>
      <c r="F100" s="554"/>
      <c r="G100" s="522">
        <f t="shared" ref="G100:N100" si="20">G101</f>
        <v>120.46699999999998</v>
      </c>
      <c r="H100" s="87">
        <f t="shared" si="20"/>
        <v>0</v>
      </c>
      <c r="I100" s="86">
        <f t="shared" si="20"/>
        <v>0</v>
      </c>
      <c r="J100" s="728">
        <f t="shared" si="20"/>
        <v>0</v>
      </c>
      <c r="K100" s="42">
        <f t="shared" si="20"/>
        <v>0</v>
      </c>
      <c r="L100" s="43">
        <f t="shared" si="20"/>
        <v>0</v>
      </c>
      <c r="M100" s="43">
        <f t="shared" si="20"/>
        <v>0</v>
      </c>
      <c r="N100" s="83">
        <f t="shared" si="20"/>
        <v>0</v>
      </c>
    </row>
    <row r="101" spans="1:18" ht="25.5" hidden="1" customHeight="1">
      <c r="A101" s="46" t="s">
        <v>136</v>
      </c>
      <c r="B101" s="39" t="s">
        <v>187</v>
      </c>
      <c r="C101" s="39" t="s">
        <v>22</v>
      </c>
      <c r="D101" s="39" t="s">
        <v>27</v>
      </c>
      <c r="E101" s="39" t="s">
        <v>190</v>
      </c>
      <c r="F101" s="554" t="s">
        <v>134</v>
      </c>
      <c r="G101" s="88">
        <f>455-334.533</f>
        <v>120.46699999999998</v>
      </c>
      <c r="H101" s="87"/>
      <c r="I101" s="143"/>
      <c r="J101" s="728">
        <f>H101+I101</f>
        <v>0</v>
      </c>
      <c r="K101" s="42"/>
      <c r="L101" s="43">
        <f>J101+K101</f>
        <v>0</v>
      </c>
      <c r="M101" s="43"/>
      <c r="N101" s="45">
        <f>L101+M101</f>
        <v>0</v>
      </c>
    </row>
    <row r="102" spans="1:18" ht="75" hidden="1">
      <c r="A102" s="46" t="s">
        <v>191</v>
      </c>
      <c r="B102" s="39" t="s">
        <v>187</v>
      </c>
      <c r="C102" s="39" t="s">
        <v>22</v>
      </c>
      <c r="D102" s="39" t="s">
        <v>27</v>
      </c>
      <c r="E102" s="39" t="s">
        <v>192</v>
      </c>
      <c r="F102" s="554"/>
      <c r="G102" s="291">
        <f t="shared" ref="G102:N103" si="21">G103</f>
        <v>-974.1</v>
      </c>
      <c r="H102" s="62">
        <f t="shared" si="21"/>
        <v>1002.7</v>
      </c>
      <c r="I102" s="61">
        <f t="shared" si="21"/>
        <v>0</v>
      </c>
      <c r="J102" s="728">
        <f t="shared" si="21"/>
        <v>0</v>
      </c>
      <c r="K102" s="42">
        <f t="shared" si="21"/>
        <v>0</v>
      </c>
      <c r="L102" s="43">
        <f t="shared" si="21"/>
        <v>0</v>
      </c>
      <c r="M102" s="63">
        <f t="shared" si="21"/>
        <v>0</v>
      </c>
      <c r="N102" s="64">
        <f t="shared" si="21"/>
        <v>0</v>
      </c>
    </row>
    <row r="103" spans="1:18" hidden="1">
      <c r="A103" s="46" t="s">
        <v>193</v>
      </c>
      <c r="B103" s="39" t="s">
        <v>187</v>
      </c>
      <c r="C103" s="39" t="s">
        <v>22</v>
      </c>
      <c r="D103" s="39" t="s">
        <v>27</v>
      </c>
      <c r="E103" s="39" t="s">
        <v>194</v>
      </c>
      <c r="F103" s="554"/>
      <c r="G103" s="291">
        <f t="shared" si="21"/>
        <v>-974.1</v>
      </c>
      <c r="H103" s="62">
        <f t="shared" si="21"/>
        <v>1002.7</v>
      </c>
      <c r="I103" s="61">
        <f t="shared" si="21"/>
        <v>0</v>
      </c>
      <c r="J103" s="728">
        <f t="shared" si="21"/>
        <v>0</v>
      </c>
      <c r="K103" s="42">
        <f t="shared" si="21"/>
        <v>0</v>
      </c>
      <c r="L103" s="43">
        <f t="shared" si="21"/>
        <v>0</v>
      </c>
      <c r="M103" s="63">
        <f t="shared" si="21"/>
        <v>0</v>
      </c>
      <c r="N103" s="64">
        <f t="shared" si="21"/>
        <v>0</v>
      </c>
    </row>
    <row r="104" spans="1:18" ht="30" hidden="1">
      <c r="A104" s="46" t="s">
        <v>136</v>
      </c>
      <c r="B104" s="39" t="s">
        <v>187</v>
      </c>
      <c r="C104" s="39" t="s">
        <v>22</v>
      </c>
      <c r="D104" s="39" t="s">
        <v>27</v>
      </c>
      <c r="E104" s="39" t="s">
        <v>194</v>
      </c>
      <c r="F104" s="554" t="s">
        <v>134</v>
      </c>
      <c r="G104" s="291">
        <f>-519.1-455</f>
        <v>-974.1</v>
      </c>
      <c r="H104" s="41">
        <v>1002.7</v>
      </c>
      <c r="I104" s="61"/>
      <c r="J104" s="728"/>
      <c r="K104" s="42"/>
      <c r="L104" s="43">
        <f>J104+K104</f>
        <v>0</v>
      </c>
      <c r="M104" s="63"/>
      <c r="N104" s="45">
        <f>L104+M104</f>
        <v>0</v>
      </c>
    </row>
    <row r="105" spans="1:18">
      <c r="A105" s="48" t="s">
        <v>127</v>
      </c>
      <c r="B105" s="49" t="s">
        <v>187</v>
      </c>
      <c r="C105" s="49" t="s">
        <v>33</v>
      </c>
      <c r="D105" s="49"/>
      <c r="E105" s="49"/>
      <c r="F105" s="562"/>
      <c r="G105" s="517" t="e">
        <f t="shared" ref="G105:N105" si="22">G106+G111+G142+G148+G155</f>
        <v>#REF!</v>
      </c>
      <c r="H105" s="144">
        <f t="shared" si="22"/>
        <v>146913.88999999996</v>
      </c>
      <c r="I105" s="145">
        <f t="shared" si="22"/>
        <v>0</v>
      </c>
      <c r="J105" s="52">
        <f t="shared" si="22"/>
        <v>175892.65049999999</v>
      </c>
      <c r="K105" s="729">
        <f t="shared" si="22"/>
        <v>15094.384999999998</v>
      </c>
      <c r="L105" s="53">
        <f t="shared" si="22"/>
        <v>190987.0355</v>
      </c>
      <c r="M105" s="53">
        <f t="shared" si="22"/>
        <v>1106.3000000000002</v>
      </c>
      <c r="N105" s="146">
        <f t="shared" si="22"/>
        <v>66687.948199999999</v>
      </c>
    </row>
    <row r="106" spans="1:18">
      <c r="A106" s="37" t="s">
        <v>66</v>
      </c>
      <c r="B106" s="38" t="s">
        <v>187</v>
      </c>
      <c r="C106" s="38" t="s">
        <v>33</v>
      </c>
      <c r="D106" s="38" t="s">
        <v>22</v>
      </c>
      <c r="E106" s="38"/>
      <c r="F106" s="556"/>
      <c r="G106" s="518">
        <f t="shared" ref="G106:N107" si="23">G107</f>
        <v>-926.36</v>
      </c>
      <c r="H106" s="90">
        <f t="shared" si="23"/>
        <v>3734</v>
      </c>
      <c r="I106" s="67">
        <f t="shared" si="23"/>
        <v>0</v>
      </c>
      <c r="J106" s="734">
        <f t="shared" si="23"/>
        <v>0</v>
      </c>
      <c r="K106" s="91">
        <f t="shared" si="23"/>
        <v>0</v>
      </c>
      <c r="L106" s="92">
        <f t="shared" si="23"/>
        <v>0</v>
      </c>
      <c r="M106" s="147">
        <f t="shared" si="23"/>
        <v>805.6</v>
      </c>
      <c r="N106" s="148">
        <f t="shared" si="23"/>
        <v>805.6</v>
      </c>
    </row>
    <row r="107" spans="1:18" hidden="1">
      <c r="A107" s="46" t="s">
        <v>195</v>
      </c>
      <c r="B107" s="39" t="s">
        <v>187</v>
      </c>
      <c r="C107" s="39" t="s">
        <v>33</v>
      </c>
      <c r="D107" s="39" t="s">
        <v>22</v>
      </c>
      <c r="E107" s="39" t="s">
        <v>196</v>
      </c>
      <c r="F107" s="554"/>
      <c r="G107" s="291">
        <f t="shared" si="23"/>
        <v>-926.36</v>
      </c>
      <c r="H107" s="62">
        <f t="shared" si="23"/>
        <v>3734</v>
      </c>
      <c r="I107" s="61">
        <f t="shared" si="23"/>
        <v>0</v>
      </c>
      <c r="J107" s="728">
        <f t="shared" si="23"/>
        <v>0</v>
      </c>
      <c r="K107" s="42">
        <f t="shared" si="23"/>
        <v>0</v>
      </c>
      <c r="L107" s="43">
        <f t="shared" si="23"/>
        <v>0</v>
      </c>
      <c r="M107" s="63">
        <f t="shared" si="23"/>
        <v>805.6</v>
      </c>
      <c r="N107" s="64">
        <f t="shared" si="23"/>
        <v>805.6</v>
      </c>
    </row>
    <row r="108" spans="1:18" ht="30" hidden="1">
      <c r="A108" s="46" t="s">
        <v>146</v>
      </c>
      <c r="B108" s="39" t="s">
        <v>187</v>
      </c>
      <c r="C108" s="39" t="s">
        <v>33</v>
      </c>
      <c r="D108" s="39" t="s">
        <v>22</v>
      </c>
      <c r="E108" s="39" t="s">
        <v>197</v>
      </c>
      <c r="F108" s="554"/>
      <c r="G108" s="291">
        <f t="shared" ref="G108:M108" si="24">G109+G110</f>
        <v>-926.36</v>
      </c>
      <c r="H108" s="62">
        <f t="shared" si="24"/>
        <v>3734</v>
      </c>
      <c r="I108" s="61">
        <f t="shared" si="24"/>
        <v>0</v>
      </c>
      <c r="J108" s="728">
        <f t="shared" si="24"/>
        <v>0</v>
      </c>
      <c r="K108" s="42">
        <f t="shared" si="24"/>
        <v>0</v>
      </c>
      <c r="L108" s="43">
        <f t="shared" si="24"/>
        <v>0</v>
      </c>
      <c r="M108" s="63">
        <f t="shared" si="24"/>
        <v>805.6</v>
      </c>
      <c r="N108" s="64">
        <f>N109+N110</f>
        <v>805.6</v>
      </c>
    </row>
    <row r="109" spans="1:18" ht="30" hidden="1">
      <c r="A109" s="46" t="s">
        <v>198</v>
      </c>
      <c r="B109" s="39" t="s">
        <v>187</v>
      </c>
      <c r="C109" s="39" t="s">
        <v>33</v>
      </c>
      <c r="D109" s="39" t="s">
        <v>22</v>
      </c>
      <c r="E109" s="39" t="s">
        <v>197</v>
      </c>
      <c r="F109" s="554" t="s">
        <v>143</v>
      </c>
      <c r="G109" s="291">
        <f>-36.76+103.4</f>
        <v>66.640000000000015</v>
      </c>
      <c r="H109" s="41">
        <v>2606</v>
      </c>
      <c r="I109" s="61"/>
      <c r="J109" s="728"/>
      <c r="K109" s="42"/>
      <c r="L109" s="43">
        <f>J109+K109</f>
        <v>0</v>
      </c>
      <c r="M109" s="63">
        <f>-44.4+915</f>
        <v>870.6</v>
      </c>
      <c r="N109" s="45">
        <f>L109+M109</f>
        <v>870.6</v>
      </c>
      <c r="P109" s="149"/>
    </row>
    <row r="110" spans="1:18" ht="60" hidden="1">
      <c r="A110" s="46" t="s">
        <v>148</v>
      </c>
      <c r="B110" s="39" t="s">
        <v>187</v>
      </c>
      <c r="C110" s="39" t="s">
        <v>33</v>
      </c>
      <c r="D110" s="39" t="s">
        <v>22</v>
      </c>
      <c r="E110" s="39" t="s">
        <v>199</v>
      </c>
      <c r="F110" s="554" t="s">
        <v>143</v>
      </c>
      <c r="G110" s="291">
        <f>-112.8-880.2</f>
        <v>-993</v>
      </c>
      <c r="H110" s="41">
        <v>1128</v>
      </c>
      <c r="I110" s="61"/>
      <c r="J110" s="728"/>
      <c r="K110" s="42"/>
      <c r="L110" s="43">
        <f>J110+K110</f>
        <v>0</v>
      </c>
      <c r="M110" s="63">
        <v>-65</v>
      </c>
      <c r="N110" s="45">
        <f>L110+M110</f>
        <v>-65</v>
      </c>
    </row>
    <row r="111" spans="1:18">
      <c r="A111" s="37" t="s">
        <v>67</v>
      </c>
      <c r="B111" s="38" t="s">
        <v>187</v>
      </c>
      <c r="C111" s="38" t="s">
        <v>33</v>
      </c>
      <c r="D111" s="38" t="s">
        <v>23</v>
      </c>
      <c r="E111" s="38"/>
      <c r="F111" s="556"/>
      <c r="G111" s="521">
        <f>G114+G125+G133+G138+G140+G112</f>
        <v>5433.36</v>
      </c>
      <c r="H111" s="82">
        <f>H114+H125+H133+H138+H140+H112</f>
        <v>135780.43999999997</v>
      </c>
      <c r="I111" s="81">
        <f>I114+I125+I133+I138+I140+I112</f>
        <v>0</v>
      </c>
      <c r="J111" s="734">
        <f>J114+J125+J133+J138+J140+J112+J130</f>
        <v>166036.76899999997</v>
      </c>
      <c r="K111" s="830">
        <f>K114+K125+K133+K138+K140+K112+K130</f>
        <v>14921.807999999999</v>
      </c>
      <c r="L111" s="830">
        <f>L114+L125+L133+L138+L140+L112+L130</f>
        <v>180958.57699999999</v>
      </c>
      <c r="M111" s="92">
        <f>M114+M125+M133+M138+M140+M112</f>
        <v>1721.3940000000002</v>
      </c>
      <c r="N111" s="150">
        <f>N114+N125+N133+N138+N140+N112</f>
        <v>58387.0337</v>
      </c>
    </row>
    <row r="112" spans="1:18" ht="29.25" customHeight="1">
      <c r="A112" s="46" t="s">
        <v>200</v>
      </c>
      <c r="B112" s="39" t="s">
        <v>187</v>
      </c>
      <c r="C112" s="39" t="s">
        <v>33</v>
      </c>
      <c r="D112" s="39" t="s">
        <v>23</v>
      </c>
      <c r="E112" s="39" t="s">
        <v>201</v>
      </c>
      <c r="F112" s="554"/>
      <c r="G112" s="291">
        <f t="shared" ref="G112:N112" si="25">G113</f>
        <v>4600</v>
      </c>
      <c r="H112" s="62">
        <f t="shared" si="25"/>
        <v>0</v>
      </c>
      <c r="I112" s="61">
        <f t="shared" si="25"/>
        <v>0</v>
      </c>
      <c r="J112" s="728">
        <f t="shared" si="25"/>
        <v>0</v>
      </c>
      <c r="K112" s="42">
        <f t="shared" si="25"/>
        <v>4000</v>
      </c>
      <c r="L112" s="43">
        <f t="shared" si="25"/>
        <v>4000</v>
      </c>
      <c r="M112" s="63">
        <f t="shared" si="25"/>
        <v>0</v>
      </c>
      <c r="N112" s="64">
        <f t="shared" si="25"/>
        <v>4000</v>
      </c>
    </row>
    <row r="113" spans="1:20" ht="30" customHeight="1">
      <c r="A113" s="46" t="s">
        <v>198</v>
      </c>
      <c r="B113" s="39" t="s">
        <v>187</v>
      </c>
      <c r="C113" s="39" t="s">
        <v>33</v>
      </c>
      <c r="D113" s="39" t="s">
        <v>23</v>
      </c>
      <c r="E113" s="39" t="s">
        <v>201</v>
      </c>
      <c r="F113" s="554" t="s">
        <v>143</v>
      </c>
      <c r="G113" s="291">
        <v>4600</v>
      </c>
      <c r="H113" s="41"/>
      <c r="I113" s="61"/>
      <c r="J113" s="728">
        <f>H113+I113</f>
        <v>0</v>
      </c>
      <c r="K113" s="42">
        <v>4000</v>
      </c>
      <c r="L113" s="43">
        <f>J113+K113</f>
        <v>4000</v>
      </c>
      <c r="M113" s="63"/>
      <c r="N113" s="45">
        <f>L113+M113</f>
        <v>4000</v>
      </c>
    </row>
    <row r="114" spans="1:20" ht="45">
      <c r="A114" s="46" t="s">
        <v>202</v>
      </c>
      <c r="B114" s="39" t="s">
        <v>187</v>
      </c>
      <c r="C114" s="39" t="s">
        <v>33</v>
      </c>
      <c r="D114" s="39" t="s">
        <v>23</v>
      </c>
      <c r="E114" s="39" t="s">
        <v>203</v>
      </c>
      <c r="F114" s="554"/>
      <c r="G114" s="522">
        <f t="shared" ref="G114:N114" si="26">G115</f>
        <v>867.76</v>
      </c>
      <c r="H114" s="87">
        <f t="shared" si="26"/>
        <v>122607.1</v>
      </c>
      <c r="I114" s="86">
        <f t="shared" si="26"/>
        <v>0</v>
      </c>
      <c r="J114" s="728">
        <f t="shared" si="26"/>
        <v>153991.91999999998</v>
      </c>
      <c r="K114" s="42">
        <f>K115</f>
        <v>5914.6849999999995</v>
      </c>
      <c r="L114" s="43">
        <f t="shared" si="26"/>
        <v>159906.60499999998</v>
      </c>
      <c r="M114" s="43">
        <f t="shared" si="26"/>
        <v>1706.3940000000002</v>
      </c>
      <c r="N114" s="83">
        <f t="shared" si="26"/>
        <v>41742.789000000004</v>
      </c>
    </row>
    <row r="115" spans="1:20" ht="30">
      <c r="A115" s="46" t="s">
        <v>146</v>
      </c>
      <c r="B115" s="39" t="s">
        <v>187</v>
      </c>
      <c r="C115" s="39" t="s">
        <v>33</v>
      </c>
      <c r="D115" s="39" t="s">
        <v>23</v>
      </c>
      <c r="E115" s="39" t="s">
        <v>204</v>
      </c>
      <c r="F115" s="554"/>
      <c r="G115" s="291">
        <f>G116+G117</f>
        <v>867.76</v>
      </c>
      <c r="H115" s="62">
        <f>H116+H117</f>
        <v>122607.1</v>
      </c>
      <c r="I115" s="61">
        <f>I116+I117</f>
        <v>0</v>
      </c>
      <c r="J115" s="728">
        <f>J116+J117+J118+J119+J120+J122+J124+J121+J123</f>
        <v>153991.91999999998</v>
      </c>
      <c r="K115" s="42">
        <f>K116+K117+K118+K119+K120+K122+K124+K121+K123</f>
        <v>5914.6849999999995</v>
      </c>
      <c r="L115" s="43">
        <f>L116+L117+L118+L119+L120+L122+L124+L121+L123</f>
        <v>159906.60499999998</v>
      </c>
      <c r="M115" s="522">
        <f>M116+M117+M118+M119+M120+M122+M124</f>
        <v>1706.3940000000002</v>
      </c>
      <c r="N115" s="87">
        <f>N116+N117+N118+N119+N120+N122+N124</f>
        <v>41742.789000000004</v>
      </c>
    </row>
    <row r="116" spans="1:20" ht="30">
      <c r="A116" s="46" t="s">
        <v>198</v>
      </c>
      <c r="B116" s="39" t="s">
        <v>187</v>
      </c>
      <c r="C116" s="39" t="s">
        <v>33</v>
      </c>
      <c r="D116" s="39" t="s">
        <v>23</v>
      </c>
      <c r="E116" s="39" t="s">
        <v>204</v>
      </c>
      <c r="F116" s="554" t="s">
        <v>143</v>
      </c>
      <c r="G116" s="291">
        <f>36.76+38-200</f>
        <v>-125.24000000000001</v>
      </c>
      <c r="H116" s="41">
        <v>121495.1</v>
      </c>
      <c r="I116" s="61"/>
      <c r="J116" s="728">
        <v>33673.910000000003</v>
      </c>
      <c r="K116" s="42">
        <f>-84+57.97+1747.889+314.61+53.5+662.716</f>
        <v>2752.6849999999999</v>
      </c>
      <c r="L116" s="43">
        <f t="shared" ref="L116:L124" si="27">J116+K116</f>
        <v>36426.595000000001</v>
      </c>
      <c r="M116" s="151">
        <f>102.98+1108+1100.414</f>
        <v>2311.3940000000002</v>
      </c>
      <c r="N116" s="45">
        <f>L116+M116</f>
        <v>38737.989000000001</v>
      </c>
      <c r="O116" s="65">
        <f>31884.555-250-1213-200</f>
        <v>30221.555</v>
      </c>
      <c r="P116" s="14">
        <f>L116-O116</f>
        <v>6205.0400000000009</v>
      </c>
      <c r="T116" s="15">
        <f>L120+L122</f>
        <v>9906.44</v>
      </c>
    </row>
    <row r="117" spans="1:20" ht="60">
      <c r="A117" s="46" t="s">
        <v>148</v>
      </c>
      <c r="B117" s="39" t="s">
        <v>187</v>
      </c>
      <c r="C117" s="39" t="s">
        <v>33</v>
      </c>
      <c r="D117" s="39" t="s">
        <v>23</v>
      </c>
      <c r="E117" s="39" t="s">
        <v>205</v>
      </c>
      <c r="F117" s="554" t="s">
        <v>143</v>
      </c>
      <c r="G117" s="291">
        <f>112.8+880.2</f>
        <v>993</v>
      </c>
      <c r="H117" s="41">
        <v>1112</v>
      </c>
      <c r="I117" s="61"/>
      <c r="J117" s="728">
        <v>3609.8</v>
      </c>
      <c r="K117" s="42"/>
      <c r="L117" s="43">
        <f t="shared" si="27"/>
        <v>3609.8</v>
      </c>
      <c r="M117" s="63">
        <f>-605</f>
        <v>-605</v>
      </c>
      <c r="N117" s="45">
        <f>L117+M117</f>
        <v>3004.8</v>
      </c>
      <c r="O117" s="11">
        <v>3609.8</v>
      </c>
      <c r="P117" s="15">
        <f>L117-O117</f>
        <v>0</v>
      </c>
    </row>
    <row r="118" spans="1:20" ht="90">
      <c r="A118" s="152" t="s">
        <v>206</v>
      </c>
      <c r="B118" s="39" t="s">
        <v>187</v>
      </c>
      <c r="C118" s="39" t="s">
        <v>33</v>
      </c>
      <c r="D118" s="39" t="s">
        <v>23</v>
      </c>
      <c r="E118" s="39" t="s">
        <v>207</v>
      </c>
      <c r="F118" s="554" t="s">
        <v>143</v>
      </c>
      <c r="G118" s="291"/>
      <c r="H118" s="41"/>
      <c r="I118" s="61"/>
      <c r="J118" s="728">
        <v>105221.7</v>
      </c>
      <c r="K118" s="42">
        <v>2693</v>
      </c>
      <c r="L118" s="43">
        <f t="shared" si="27"/>
        <v>107914.7</v>
      </c>
      <c r="M118" s="63"/>
      <c r="N118" s="45"/>
      <c r="O118" s="11">
        <v>91019</v>
      </c>
    </row>
    <row r="119" spans="1:20" ht="75">
      <c r="A119" s="46" t="s">
        <v>208</v>
      </c>
      <c r="B119" s="39" t="s">
        <v>187</v>
      </c>
      <c r="C119" s="39" t="s">
        <v>33</v>
      </c>
      <c r="D119" s="39" t="s">
        <v>23</v>
      </c>
      <c r="E119" s="39" t="s">
        <v>209</v>
      </c>
      <c r="F119" s="554" t="s">
        <v>143</v>
      </c>
      <c r="G119" s="291"/>
      <c r="H119" s="41"/>
      <c r="I119" s="61"/>
      <c r="J119" s="728">
        <f>396.7+1.07</f>
        <v>397.77</v>
      </c>
      <c r="K119" s="732">
        <v>15</v>
      </c>
      <c r="L119" s="43">
        <f t="shared" si="27"/>
        <v>412.77</v>
      </c>
      <c r="M119" s="63"/>
      <c r="N119" s="45"/>
      <c r="O119" s="11">
        <v>396.7</v>
      </c>
      <c r="P119" s="15">
        <f>K119</f>
        <v>15</v>
      </c>
    </row>
    <row r="120" spans="1:20" ht="45">
      <c r="A120" s="46" t="s">
        <v>154</v>
      </c>
      <c r="B120" s="39" t="s">
        <v>187</v>
      </c>
      <c r="C120" s="39" t="s">
        <v>33</v>
      </c>
      <c r="D120" s="39" t="s">
        <v>23</v>
      </c>
      <c r="E120" s="39" t="s">
        <v>210</v>
      </c>
      <c r="F120" s="554" t="s">
        <v>143</v>
      </c>
      <c r="G120" s="291"/>
      <c r="H120" s="41"/>
      <c r="I120" s="61"/>
      <c r="J120" s="728">
        <v>8601.0727000000006</v>
      </c>
      <c r="K120" s="732">
        <f>454</f>
        <v>454</v>
      </c>
      <c r="L120" s="43">
        <f t="shared" si="27"/>
        <v>9055.0727000000006</v>
      </c>
      <c r="M120" s="63"/>
      <c r="N120" s="45"/>
    </row>
    <row r="121" spans="1:20" ht="30" hidden="1">
      <c r="A121" s="152" t="s">
        <v>153</v>
      </c>
      <c r="B121" s="39" t="s">
        <v>187</v>
      </c>
      <c r="C121" s="39" t="s">
        <v>33</v>
      </c>
      <c r="D121" s="39" t="s">
        <v>23</v>
      </c>
      <c r="E121" s="39" t="s">
        <v>210</v>
      </c>
      <c r="F121" s="554" t="s">
        <v>143</v>
      </c>
      <c r="G121" s="291"/>
      <c r="H121" s="41"/>
      <c r="I121" s="61"/>
      <c r="J121" s="728"/>
      <c r="K121" s="42"/>
      <c r="L121" s="43">
        <f>J121+K121</f>
        <v>0</v>
      </c>
      <c r="M121" s="63"/>
      <c r="N121" s="45"/>
    </row>
    <row r="122" spans="1:20" ht="45">
      <c r="A122" s="46" t="s">
        <v>156</v>
      </c>
      <c r="B122" s="39" t="s">
        <v>187</v>
      </c>
      <c r="C122" s="39" t="s">
        <v>33</v>
      </c>
      <c r="D122" s="39" t="s">
        <v>23</v>
      </c>
      <c r="E122" s="39" t="s">
        <v>211</v>
      </c>
      <c r="F122" s="554" t="s">
        <v>143</v>
      </c>
      <c r="G122" s="291"/>
      <c r="H122" s="41"/>
      <c r="I122" s="61"/>
      <c r="J122" s="728">
        <v>851.3673</v>
      </c>
      <c r="K122" s="42"/>
      <c r="L122" s="43">
        <f t="shared" si="27"/>
        <v>851.3673</v>
      </c>
      <c r="M122" s="63"/>
      <c r="N122" s="45"/>
      <c r="O122" s="11">
        <v>1213</v>
      </c>
      <c r="R122" s="15">
        <f>L122+L120</f>
        <v>9906.44</v>
      </c>
    </row>
    <row r="123" spans="1:20" ht="75" hidden="1">
      <c r="A123" s="46" t="s">
        <v>208</v>
      </c>
      <c r="B123" s="39" t="s">
        <v>187</v>
      </c>
      <c r="C123" s="39" t="s">
        <v>33</v>
      </c>
      <c r="D123" s="39" t="s">
        <v>23</v>
      </c>
      <c r="E123" s="39" t="s">
        <v>211</v>
      </c>
      <c r="F123" s="554" t="s">
        <v>143</v>
      </c>
      <c r="G123" s="291"/>
      <c r="H123" s="41"/>
      <c r="I123" s="61"/>
      <c r="J123" s="728"/>
      <c r="K123" s="42"/>
      <c r="L123" s="43">
        <f>J123+K123</f>
        <v>0</v>
      </c>
      <c r="M123" s="63"/>
      <c r="N123" s="45"/>
      <c r="P123" s="15">
        <f>K123</f>
        <v>0</v>
      </c>
    </row>
    <row r="124" spans="1:20" ht="60">
      <c r="A124" s="46" t="s">
        <v>212</v>
      </c>
      <c r="B124" s="39" t="s">
        <v>187</v>
      </c>
      <c r="C124" s="39" t="s">
        <v>33</v>
      </c>
      <c r="D124" s="39" t="s">
        <v>23</v>
      </c>
      <c r="E124" s="39" t="s">
        <v>213</v>
      </c>
      <c r="F124" s="554" t="s">
        <v>143</v>
      </c>
      <c r="G124" s="291"/>
      <c r="H124" s="41"/>
      <c r="I124" s="61"/>
      <c r="J124" s="728">
        <v>1636.3</v>
      </c>
      <c r="K124" s="42"/>
      <c r="L124" s="43">
        <f t="shared" si="27"/>
        <v>1636.3</v>
      </c>
      <c r="M124" s="63"/>
      <c r="N124" s="45"/>
      <c r="O124" s="11">
        <v>1636.3</v>
      </c>
      <c r="P124" s="15">
        <f>K124</f>
        <v>0</v>
      </c>
      <c r="S124" s="15">
        <f>K122+K120</f>
        <v>454</v>
      </c>
    </row>
    <row r="125" spans="1:20" ht="30">
      <c r="A125" s="46" t="s">
        <v>214</v>
      </c>
      <c r="B125" s="39" t="s">
        <v>187</v>
      </c>
      <c r="C125" s="39" t="s">
        <v>33</v>
      </c>
      <c r="D125" s="39" t="s">
        <v>23</v>
      </c>
      <c r="E125" s="39" t="s">
        <v>215</v>
      </c>
      <c r="F125" s="554"/>
      <c r="G125" s="291">
        <f t="shared" ref="G125:N125" si="28">G126</f>
        <v>165.6</v>
      </c>
      <c r="H125" s="62">
        <f t="shared" si="28"/>
        <v>10207.24</v>
      </c>
      <c r="I125" s="61">
        <f t="shared" si="28"/>
        <v>0</v>
      </c>
      <c r="J125" s="728">
        <f t="shared" si="28"/>
        <v>9309.8490000000002</v>
      </c>
      <c r="K125" s="42">
        <f>K126</f>
        <v>593.12300000000005</v>
      </c>
      <c r="L125" s="43">
        <f t="shared" si="28"/>
        <v>9902.9719999999998</v>
      </c>
      <c r="M125" s="63">
        <f t="shared" si="28"/>
        <v>15</v>
      </c>
      <c r="N125" s="64">
        <f t="shared" si="28"/>
        <v>9645.2446999999993</v>
      </c>
    </row>
    <row r="126" spans="1:20" ht="30">
      <c r="A126" s="46" t="s">
        <v>146</v>
      </c>
      <c r="B126" s="39" t="s">
        <v>187</v>
      </c>
      <c r="C126" s="39" t="s">
        <v>33</v>
      </c>
      <c r="D126" s="39" t="s">
        <v>23</v>
      </c>
      <c r="E126" s="39" t="s">
        <v>216</v>
      </c>
      <c r="F126" s="554"/>
      <c r="G126" s="291">
        <f t="shared" ref="G126:M126" si="29">G127+G129</f>
        <v>165.6</v>
      </c>
      <c r="H126" s="62">
        <f t="shared" si="29"/>
        <v>10207.24</v>
      </c>
      <c r="I126" s="61">
        <f t="shared" si="29"/>
        <v>0</v>
      </c>
      <c r="J126" s="728">
        <f>J127+J129+J128</f>
        <v>9309.8490000000002</v>
      </c>
      <c r="K126" s="42">
        <f>K127+K129+K128</f>
        <v>593.12300000000005</v>
      </c>
      <c r="L126" s="43">
        <f>L127+L129+L128</f>
        <v>9902.9719999999998</v>
      </c>
      <c r="M126" s="63">
        <f t="shared" si="29"/>
        <v>15</v>
      </c>
      <c r="N126" s="83">
        <f>N127+N129</f>
        <v>9645.2446999999993</v>
      </c>
    </row>
    <row r="127" spans="1:20" ht="27.75" customHeight="1">
      <c r="A127" s="46" t="s">
        <v>153</v>
      </c>
      <c r="B127" s="39" t="s">
        <v>187</v>
      </c>
      <c r="C127" s="39" t="s">
        <v>33</v>
      </c>
      <c r="D127" s="39" t="s">
        <v>23</v>
      </c>
      <c r="E127" s="39" t="s">
        <v>216</v>
      </c>
      <c r="F127" s="554" t="s">
        <v>143</v>
      </c>
      <c r="G127" s="291">
        <v>165.6</v>
      </c>
      <c r="H127" s="41">
        <v>10077.24</v>
      </c>
      <c r="I127" s="61"/>
      <c r="J127" s="728">
        <v>8809.8490000000002</v>
      </c>
      <c r="K127" s="740">
        <f>277.1+130.923+185.1</f>
        <v>593.12300000000005</v>
      </c>
      <c r="L127" s="43">
        <f>J127+K127</f>
        <v>9402.9719999999998</v>
      </c>
      <c r="M127" s="63">
        <f>15</f>
        <v>15</v>
      </c>
      <c r="N127" s="83">
        <f>L127+M127</f>
        <v>9417.9719999999998</v>
      </c>
      <c r="O127" s="65">
        <v>8117.3050000000003</v>
      </c>
      <c r="P127" s="14">
        <f>L127-O127</f>
        <v>1285.6669999999995</v>
      </c>
    </row>
    <row r="128" spans="1:20" ht="27.75" customHeight="1">
      <c r="A128" s="46" t="s">
        <v>154</v>
      </c>
      <c r="B128" s="39" t="s">
        <v>187</v>
      </c>
      <c r="C128" s="39" t="s">
        <v>33</v>
      </c>
      <c r="D128" s="39" t="s">
        <v>23</v>
      </c>
      <c r="E128" s="39" t="s">
        <v>217</v>
      </c>
      <c r="F128" s="554" t="s">
        <v>143</v>
      </c>
      <c r="G128" s="291"/>
      <c r="H128" s="41"/>
      <c r="I128" s="61"/>
      <c r="J128" s="728">
        <v>272.72730000000001</v>
      </c>
      <c r="K128" s="740"/>
      <c r="L128" s="43">
        <f>J128+K128</f>
        <v>272.72730000000001</v>
      </c>
      <c r="M128" s="63"/>
      <c r="N128" s="83"/>
      <c r="O128" s="65"/>
      <c r="P128" s="14"/>
    </row>
    <row r="129" spans="1:14" ht="45">
      <c r="A129" s="46" t="s">
        <v>156</v>
      </c>
      <c r="B129" s="39" t="s">
        <v>187</v>
      </c>
      <c r="C129" s="39" t="s">
        <v>33</v>
      </c>
      <c r="D129" s="39" t="s">
        <v>23</v>
      </c>
      <c r="E129" s="39" t="s">
        <v>218</v>
      </c>
      <c r="F129" s="554" t="s">
        <v>143</v>
      </c>
      <c r="G129" s="291"/>
      <c r="H129" s="41">
        <v>130</v>
      </c>
      <c r="I129" s="61"/>
      <c r="J129" s="728">
        <v>227.27269999999999</v>
      </c>
      <c r="K129" s="42"/>
      <c r="L129" s="43">
        <f>J129+K129</f>
        <v>227.27269999999999</v>
      </c>
      <c r="M129" s="63"/>
      <c r="N129" s="45">
        <f>L129+M129</f>
        <v>227.27269999999999</v>
      </c>
    </row>
    <row r="130" spans="1:14" ht="45">
      <c r="A130" s="46" t="s">
        <v>1206</v>
      </c>
      <c r="B130" s="39" t="s">
        <v>187</v>
      </c>
      <c r="C130" s="39" t="s">
        <v>33</v>
      </c>
      <c r="D130" s="39" t="s">
        <v>23</v>
      </c>
      <c r="E130" s="39" t="s">
        <v>1192</v>
      </c>
      <c r="F130" s="554"/>
      <c r="G130" s="291"/>
      <c r="H130" s="41"/>
      <c r="I130" s="61"/>
      <c r="J130" s="728">
        <f>SUM(J131:J132)</f>
        <v>0</v>
      </c>
      <c r="K130" s="42">
        <f>SUM(K131:K132)</f>
        <v>4150</v>
      </c>
      <c r="L130" s="42">
        <f>SUM(L131:L132)</f>
        <v>4150</v>
      </c>
      <c r="M130" s="836">
        <f>SUM(M131:M132)</f>
        <v>0</v>
      </c>
      <c r="N130" s="620">
        <f>SUM(N131:N132)</f>
        <v>0</v>
      </c>
    </row>
    <row r="131" spans="1:14" ht="30">
      <c r="A131" s="46" t="s">
        <v>198</v>
      </c>
      <c r="B131" s="39" t="s">
        <v>187</v>
      </c>
      <c r="C131" s="39" t="s">
        <v>33</v>
      </c>
      <c r="D131" s="39" t="s">
        <v>23</v>
      </c>
      <c r="E131" s="39" t="s">
        <v>1192</v>
      </c>
      <c r="F131" s="554" t="s">
        <v>143</v>
      </c>
      <c r="G131" s="291"/>
      <c r="H131" s="41"/>
      <c r="I131" s="61"/>
      <c r="J131" s="728"/>
      <c r="K131" s="42">
        <f>4000</f>
        <v>4000</v>
      </c>
      <c r="L131" s="43">
        <f>J131+K131</f>
        <v>4000</v>
      </c>
      <c r="M131" s="63"/>
      <c r="N131" s="45"/>
    </row>
    <row r="132" spans="1:14" ht="30">
      <c r="A132" s="46" t="s">
        <v>153</v>
      </c>
      <c r="B132" s="39" t="s">
        <v>187</v>
      </c>
      <c r="C132" s="39" t="s">
        <v>33</v>
      </c>
      <c r="D132" s="39" t="s">
        <v>23</v>
      </c>
      <c r="E132" s="39" t="s">
        <v>1193</v>
      </c>
      <c r="F132" s="554" t="s">
        <v>143</v>
      </c>
      <c r="G132" s="291"/>
      <c r="H132" s="41"/>
      <c r="I132" s="61"/>
      <c r="J132" s="728"/>
      <c r="K132" s="42">
        <v>150</v>
      </c>
      <c r="L132" s="43">
        <f>J132+K132</f>
        <v>150</v>
      </c>
      <c r="M132" s="63"/>
      <c r="N132" s="45"/>
    </row>
    <row r="133" spans="1:14" ht="30">
      <c r="A133" s="46" t="s">
        <v>171</v>
      </c>
      <c r="B133" s="39" t="s">
        <v>187</v>
      </c>
      <c r="C133" s="39" t="s">
        <v>33</v>
      </c>
      <c r="D133" s="39" t="s">
        <v>23</v>
      </c>
      <c r="E133" s="39" t="s">
        <v>172</v>
      </c>
      <c r="F133" s="554"/>
      <c r="G133" s="291">
        <f t="shared" ref="G133:N134" si="30">G134</f>
        <v>0</v>
      </c>
      <c r="H133" s="62">
        <f t="shared" si="30"/>
        <v>2756.5</v>
      </c>
      <c r="I133" s="61">
        <f t="shared" si="30"/>
        <v>0</v>
      </c>
      <c r="J133" s="728">
        <f>J134+J136</f>
        <v>2585</v>
      </c>
      <c r="K133" s="42">
        <f>K134+K136</f>
        <v>0</v>
      </c>
      <c r="L133" s="43">
        <f>L134+L136</f>
        <v>2585</v>
      </c>
      <c r="M133" s="44">
        <f>M134+M136</f>
        <v>0</v>
      </c>
      <c r="N133" s="45">
        <f>N134+N136</f>
        <v>2585</v>
      </c>
    </row>
    <row r="134" spans="1:14" ht="75">
      <c r="A134" s="46" t="s">
        <v>219</v>
      </c>
      <c r="B134" s="39" t="s">
        <v>187</v>
      </c>
      <c r="C134" s="39" t="s">
        <v>33</v>
      </c>
      <c r="D134" s="39" t="s">
        <v>23</v>
      </c>
      <c r="E134" s="39" t="s">
        <v>220</v>
      </c>
      <c r="F134" s="554"/>
      <c r="G134" s="291">
        <f t="shared" si="30"/>
        <v>0</v>
      </c>
      <c r="H134" s="41">
        <f t="shared" si="30"/>
        <v>2756.5</v>
      </c>
      <c r="I134" s="61">
        <f t="shared" si="30"/>
        <v>0</v>
      </c>
      <c r="J134" s="728">
        <f t="shared" si="30"/>
        <v>2585</v>
      </c>
      <c r="K134" s="42">
        <f>K135</f>
        <v>0</v>
      </c>
      <c r="L134" s="43">
        <f t="shared" si="30"/>
        <v>2585</v>
      </c>
      <c r="M134" s="63">
        <f t="shared" si="30"/>
        <v>0</v>
      </c>
      <c r="N134" s="45">
        <f t="shared" si="30"/>
        <v>2585</v>
      </c>
    </row>
    <row r="135" spans="1:14" ht="30">
      <c r="A135" s="46" t="s">
        <v>153</v>
      </c>
      <c r="B135" s="39" t="s">
        <v>187</v>
      </c>
      <c r="C135" s="39" t="s">
        <v>33</v>
      </c>
      <c r="D135" s="39" t="s">
        <v>23</v>
      </c>
      <c r="E135" s="39" t="s">
        <v>220</v>
      </c>
      <c r="F135" s="554" t="s">
        <v>143</v>
      </c>
      <c r="G135" s="291"/>
      <c r="H135" s="41">
        <v>2756.5</v>
      </c>
      <c r="I135" s="61"/>
      <c r="J135" s="728">
        <v>2585</v>
      </c>
      <c r="K135" s="42"/>
      <c r="L135" s="43">
        <f>J135+K135</f>
        <v>2585</v>
      </c>
      <c r="M135" s="63"/>
      <c r="N135" s="45">
        <f>L135+M135</f>
        <v>2585</v>
      </c>
    </row>
    <row r="136" spans="1:14" ht="45" hidden="1">
      <c r="A136" s="153" t="s">
        <v>221</v>
      </c>
      <c r="B136" s="154" t="s">
        <v>187</v>
      </c>
      <c r="C136" s="155" t="s">
        <v>33</v>
      </c>
      <c r="D136" s="155" t="s">
        <v>23</v>
      </c>
      <c r="E136" s="156">
        <v>5201200</v>
      </c>
      <c r="F136" s="563"/>
      <c r="G136" s="291"/>
      <c r="H136" s="41"/>
      <c r="I136" s="61"/>
      <c r="J136" s="728">
        <f>J137</f>
        <v>0</v>
      </c>
      <c r="K136" s="42">
        <f>K137</f>
        <v>0</v>
      </c>
      <c r="L136" s="43">
        <f>L137</f>
        <v>0</v>
      </c>
      <c r="M136" s="63">
        <f>M137</f>
        <v>0</v>
      </c>
      <c r="N136" s="45">
        <f>N137</f>
        <v>0</v>
      </c>
    </row>
    <row r="137" spans="1:14" ht="30" hidden="1">
      <c r="A137" s="157" t="s">
        <v>153</v>
      </c>
      <c r="B137" s="158" t="s">
        <v>187</v>
      </c>
      <c r="C137" s="155" t="s">
        <v>33</v>
      </c>
      <c r="D137" s="155" t="s">
        <v>23</v>
      </c>
      <c r="E137" s="156">
        <v>5201200</v>
      </c>
      <c r="F137" s="563" t="s">
        <v>143</v>
      </c>
      <c r="G137" s="291"/>
      <c r="H137" s="41"/>
      <c r="I137" s="61"/>
      <c r="J137" s="728"/>
      <c r="K137" s="42"/>
      <c r="L137" s="43">
        <f>J137+K137</f>
        <v>0</v>
      </c>
      <c r="M137" s="63"/>
      <c r="N137" s="45">
        <f>L137+M137</f>
        <v>0</v>
      </c>
    </row>
    <row r="138" spans="1:14" ht="17.25" hidden="1" customHeight="1">
      <c r="A138" s="126" t="s">
        <v>222</v>
      </c>
      <c r="B138" s="69" t="s">
        <v>187</v>
      </c>
      <c r="C138" s="69" t="s">
        <v>33</v>
      </c>
      <c r="D138" s="69" t="s">
        <v>23</v>
      </c>
      <c r="E138" s="69" t="s">
        <v>223</v>
      </c>
      <c r="F138" s="555"/>
      <c r="G138" s="519">
        <f t="shared" ref="G138:N138" si="31">G139</f>
        <v>-100</v>
      </c>
      <c r="H138" s="159">
        <f t="shared" si="31"/>
        <v>104.8</v>
      </c>
      <c r="I138" s="70">
        <f t="shared" si="31"/>
        <v>0</v>
      </c>
      <c r="J138" s="731">
        <f t="shared" si="31"/>
        <v>0</v>
      </c>
      <c r="K138" s="732">
        <f t="shared" si="31"/>
        <v>0</v>
      </c>
      <c r="L138" s="730">
        <f t="shared" si="31"/>
        <v>0</v>
      </c>
      <c r="M138" s="63">
        <f t="shared" si="31"/>
        <v>0</v>
      </c>
      <c r="N138" s="64">
        <f t="shared" si="31"/>
        <v>0</v>
      </c>
    </row>
    <row r="139" spans="1:14" ht="17.25" hidden="1" customHeight="1">
      <c r="A139" s="126" t="s">
        <v>224</v>
      </c>
      <c r="B139" s="69" t="s">
        <v>187</v>
      </c>
      <c r="C139" s="69" t="s">
        <v>33</v>
      </c>
      <c r="D139" s="69" t="s">
        <v>23</v>
      </c>
      <c r="E139" s="69" t="s">
        <v>223</v>
      </c>
      <c r="F139" s="555" t="s">
        <v>225</v>
      </c>
      <c r="G139" s="519">
        <v>-100</v>
      </c>
      <c r="H139" s="71">
        <v>104.8</v>
      </c>
      <c r="I139" s="70"/>
      <c r="J139" s="731"/>
      <c r="K139" s="732"/>
      <c r="L139" s="730">
        <f>J139+K139</f>
        <v>0</v>
      </c>
      <c r="M139" s="63"/>
      <c r="N139" s="45">
        <f>L139+M139</f>
        <v>0</v>
      </c>
    </row>
    <row r="140" spans="1:14" ht="45" customHeight="1">
      <c r="A140" s="46" t="s">
        <v>226</v>
      </c>
      <c r="B140" s="39" t="s">
        <v>187</v>
      </c>
      <c r="C140" s="39" t="s">
        <v>33</v>
      </c>
      <c r="D140" s="39" t="s">
        <v>23</v>
      </c>
      <c r="E140" s="39" t="s">
        <v>227</v>
      </c>
      <c r="F140" s="554"/>
      <c r="G140" s="291">
        <f t="shared" ref="G140:N140" si="32">G141</f>
        <v>-100</v>
      </c>
      <c r="H140" s="62">
        <f t="shared" si="32"/>
        <v>104.8</v>
      </c>
      <c r="I140" s="61">
        <f t="shared" si="32"/>
        <v>0</v>
      </c>
      <c r="J140" s="728">
        <f t="shared" si="32"/>
        <v>150</v>
      </c>
      <c r="K140" s="42">
        <f t="shared" si="32"/>
        <v>264</v>
      </c>
      <c r="L140" s="43">
        <f t="shared" si="32"/>
        <v>414</v>
      </c>
      <c r="M140" s="63">
        <f t="shared" si="32"/>
        <v>0</v>
      </c>
      <c r="N140" s="64">
        <f t="shared" si="32"/>
        <v>414</v>
      </c>
    </row>
    <row r="141" spans="1:14" ht="29.25" customHeight="1">
      <c r="A141" s="46" t="s">
        <v>136</v>
      </c>
      <c r="B141" s="39" t="s">
        <v>187</v>
      </c>
      <c r="C141" s="39" t="s">
        <v>33</v>
      </c>
      <c r="D141" s="39" t="s">
        <v>23</v>
      </c>
      <c r="E141" s="39" t="s">
        <v>227</v>
      </c>
      <c r="F141" s="554" t="s">
        <v>134</v>
      </c>
      <c r="G141" s="291">
        <v>-100</v>
      </c>
      <c r="H141" s="41">
        <v>104.8</v>
      </c>
      <c r="I141" s="61"/>
      <c r="J141" s="728">
        <f>150</f>
        <v>150</v>
      </c>
      <c r="K141" s="42">
        <f>84+180</f>
        <v>264</v>
      </c>
      <c r="L141" s="43">
        <f>J141+K141</f>
        <v>414</v>
      </c>
      <c r="M141" s="63"/>
      <c r="N141" s="83">
        <f>L141+M141</f>
        <v>414</v>
      </c>
    </row>
    <row r="142" spans="1:14" ht="29.25">
      <c r="A142" s="37" t="s">
        <v>228</v>
      </c>
      <c r="B142" s="38" t="s">
        <v>187</v>
      </c>
      <c r="C142" s="38" t="s">
        <v>33</v>
      </c>
      <c r="D142" s="38" t="s">
        <v>29</v>
      </c>
      <c r="E142" s="38"/>
      <c r="F142" s="556"/>
      <c r="G142" s="518" t="e">
        <f t="shared" ref="G142:M142" si="33">G143+G146</f>
        <v>#REF!</v>
      </c>
      <c r="H142" s="90">
        <f t="shared" si="33"/>
        <v>234.8</v>
      </c>
      <c r="I142" s="67">
        <f t="shared" si="33"/>
        <v>0</v>
      </c>
      <c r="J142" s="734">
        <f t="shared" si="33"/>
        <v>273.31</v>
      </c>
      <c r="K142" s="91">
        <f>K143+K146</f>
        <v>55.9</v>
      </c>
      <c r="L142" s="92">
        <f t="shared" si="33"/>
        <v>329.21</v>
      </c>
      <c r="M142" s="147">
        <f t="shared" si="33"/>
        <v>44.61</v>
      </c>
      <c r="N142" s="148">
        <f>N143+N146</f>
        <v>373.82</v>
      </c>
    </row>
    <row r="143" spans="1:14" ht="30">
      <c r="A143" s="46" t="s">
        <v>129</v>
      </c>
      <c r="B143" s="39" t="s">
        <v>187</v>
      </c>
      <c r="C143" s="39" t="s">
        <v>33</v>
      </c>
      <c r="D143" s="39" t="s">
        <v>29</v>
      </c>
      <c r="E143" s="39" t="s">
        <v>130</v>
      </c>
      <c r="F143" s="554"/>
      <c r="G143" s="291">
        <f t="shared" ref="G143:N144" si="34">G144</f>
        <v>-224</v>
      </c>
      <c r="H143" s="62">
        <f t="shared" si="34"/>
        <v>234.8</v>
      </c>
      <c r="I143" s="61">
        <f t="shared" si="34"/>
        <v>0</v>
      </c>
      <c r="J143" s="728">
        <f t="shared" si="34"/>
        <v>273.31</v>
      </c>
      <c r="K143" s="42">
        <f t="shared" si="34"/>
        <v>55.9</v>
      </c>
      <c r="L143" s="43">
        <f t="shared" si="34"/>
        <v>329.21</v>
      </c>
      <c r="M143" s="63">
        <f t="shared" si="34"/>
        <v>0</v>
      </c>
      <c r="N143" s="64">
        <f t="shared" si="34"/>
        <v>329.21</v>
      </c>
    </row>
    <row r="144" spans="1:14" ht="30">
      <c r="A144" s="46" t="s">
        <v>131</v>
      </c>
      <c r="B144" s="39" t="s">
        <v>187</v>
      </c>
      <c r="C144" s="39" t="s">
        <v>33</v>
      </c>
      <c r="D144" s="39" t="s">
        <v>29</v>
      </c>
      <c r="E144" s="39" t="s">
        <v>132</v>
      </c>
      <c r="F144" s="554"/>
      <c r="G144" s="291">
        <f t="shared" si="34"/>
        <v>-224</v>
      </c>
      <c r="H144" s="62">
        <f t="shared" si="34"/>
        <v>234.8</v>
      </c>
      <c r="I144" s="61">
        <f t="shared" si="34"/>
        <v>0</v>
      </c>
      <c r="J144" s="728">
        <f t="shared" si="34"/>
        <v>273.31</v>
      </c>
      <c r="K144" s="42">
        <f t="shared" si="34"/>
        <v>55.9</v>
      </c>
      <c r="L144" s="43">
        <f t="shared" si="34"/>
        <v>329.21</v>
      </c>
      <c r="M144" s="63">
        <f t="shared" si="34"/>
        <v>0</v>
      </c>
      <c r="N144" s="64">
        <f t="shared" si="34"/>
        <v>329.21</v>
      </c>
    </row>
    <row r="145" spans="1:16" ht="30">
      <c r="A145" s="46" t="s">
        <v>136</v>
      </c>
      <c r="B145" s="39" t="s">
        <v>187</v>
      </c>
      <c r="C145" s="39" t="s">
        <v>33</v>
      </c>
      <c r="D145" s="39" t="s">
        <v>29</v>
      </c>
      <c r="E145" s="39" t="s">
        <v>132</v>
      </c>
      <c r="F145" s="554" t="s">
        <v>134</v>
      </c>
      <c r="G145" s="291">
        <v>-224</v>
      </c>
      <c r="H145" s="41">
        <v>234.8</v>
      </c>
      <c r="I145" s="61"/>
      <c r="J145" s="728">
        <v>273.31</v>
      </c>
      <c r="K145" s="42">
        <v>55.9</v>
      </c>
      <c r="L145" s="43">
        <f>J145+K145</f>
        <v>329.21</v>
      </c>
      <c r="M145" s="63"/>
      <c r="N145" s="45">
        <f>L145+M145</f>
        <v>329.21</v>
      </c>
      <c r="O145" s="65">
        <v>273.31</v>
      </c>
    </row>
    <row r="146" spans="1:16" ht="30" hidden="1">
      <c r="A146" s="46" t="s">
        <v>131</v>
      </c>
      <c r="B146" s="39" t="s">
        <v>187</v>
      </c>
      <c r="C146" s="39" t="s">
        <v>33</v>
      </c>
      <c r="D146" s="39" t="s">
        <v>29</v>
      </c>
      <c r="E146" s="39" t="s">
        <v>135</v>
      </c>
      <c r="F146" s="554"/>
      <c r="G146" s="291" t="e">
        <f t="shared" ref="G146:N146" si="35">G147</f>
        <v>#REF!</v>
      </c>
      <c r="H146" s="62">
        <f t="shared" si="35"/>
        <v>0</v>
      </c>
      <c r="I146" s="61">
        <f t="shared" si="35"/>
        <v>0</v>
      </c>
      <c r="J146" s="728">
        <f t="shared" si="35"/>
        <v>0</v>
      </c>
      <c r="K146" s="42">
        <f t="shared" si="35"/>
        <v>0</v>
      </c>
      <c r="L146" s="43">
        <f t="shared" si="35"/>
        <v>0</v>
      </c>
      <c r="M146" s="63">
        <f t="shared" si="35"/>
        <v>44.61</v>
      </c>
      <c r="N146" s="64">
        <f t="shared" si="35"/>
        <v>44.61</v>
      </c>
    </row>
    <row r="147" spans="1:16" ht="30" hidden="1">
      <c r="A147" s="46" t="s">
        <v>136</v>
      </c>
      <c r="B147" s="39" t="s">
        <v>187</v>
      </c>
      <c r="C147" s="39" t="s">
        <v>33</v>
      </c>
      <c r="D147" s="39" t="s">
        <v>29</v>
      </c>
      <c r="E147" s="39" t="s">
        <v>135</v>
      </c>
      <c r="F147" s="554" t="s">
        <v>134</v>
      </c>
      <c r="G147" s="515" t="e">
        <f>H147-#REF!</f>
        <v>#REF!</v>
      </c>
      <c r="H147" s="41"/>
      <c r="I147" s="40"/>
      <c r="J147" s="728"/>
      <c r="K147" s="42"/>
      <c r="L147" s="43">
        <f>J147+K147</f>
        <v>0</v>
      </c>
      <c r="M147" s="44">
        <f>44.61</f>
        <v>44.61</v>
      </c>
      <c r="N147" s="45">
        <f>L147+M147</f>
        <v>44.61</v>
      </c>
    </row>
    <row r="148" spans="1:16" ht="29.25">
      <c r="A148" s="37" t="s">
        <v>69</v>
      </c>
      <c r="B148" s="38" t="s">
        <v>187</v>
      </c>
      <c r="C148" s="38" t="s">
        <v>33</v>
      </c>
      <c r="D148" s="38" t="s">
        <v>33</v>
      </c>
      <c r="E148" s="38"/>
      <c r="F148" s="556"/>
      <c r="G148" s="518">
        <f t="shared" ref="G148:N149" si="36">G149</f>
        <v>821</v>
      </c>
      <c r="H148" s="90">
        <f t="shared" si="36"/>
        <v>650</v>
      </c>
      <c r="I148" s="67">
        <f t="shared" si="36"/>
        <v>0</v>
      </c>
      <c r="J148" s="734">
        <f t="shared" si="36"/>
        <v>2485.7325000000001</v>
      </c>
      <c r="K148" s="91">
        <f t="shared" si="36"/>
        <v>0</v>
      </c>
      <c r="L148" s="92">
        <f t="shared" si="36"/>
        <v>2485.7325000000001</v>
      </c>
      <c r="M148" s="147">
        <f t="shared" si="36"/>
        <v>670</v>
      </c>
      <c r="N148" s="148">
        <f t="shared" si="36"/>
        <v>2765.5325000000003</v>
      </c>
    </row>
    <row r="149" spans="1:16" ht="45">
      <c r="A149" s="46" t="s">
        <v>229</v>
      </c>
      <c r="B149" s="39" t="s">
        <v>187</v>
      </c>
      <c r="C149" s="39" t="s">
        <v>33</v>
      </c>
      <c r="D149" s="39" t="s">
        <v>33</v>
      </c>
      <c r="E149" s="39" t="s">
        <v>230</v>
      </c>
      <c r="F149" s="554"/>
      <c r="G149" s="291">
        <f t="shared" si="36"/>
        <v>821</v>
      </c>
      <c r="H149" s="62">
        <f t="shared" si="36"/>
        <v>650</v>
      </c>
      <c r="I149" s="61">
        <f t="shared" si="36"/>
        <v>0</v>
      </c>
      <c r="J149" s="728">
        <f t="shared" si="36"/>
        <v>2485.7325000000001</v>
      </c>
      <c r="K149" s="42">
        <f t="shared" si="36"/>
        <v>0</v>
      </c>
      <c r="L149" s="43">
        <f>L150</f>
        <v>2485.7325000000001</v>
      </c>
      <c r="M149" s="63">
        <f t="shared" si="36"/>
        <v>670</v>
      </c>
      <c r="N149" s="64">
        <f t="shared" si="36"/>
        <v>2765.5325000000003</v>
      </c>
    </row>
    <row r="150" spans="1:16">
      <c r="A150" s="46" t="s">
        <v>231</v>
      </c>
      <c r="B150" s="39" t="s">
        <v>187</v>
      </c>
      <c r="C150" s="39" t="s">
        <v>33</v>
      </c>
      <c r="D150" s="39" t="s">
        <v>33</v>
      </c>
      <c r="E150" s="39" t="s">
        <v>232</v>
      </c>
      <c r="F150" s="554"/>
      <c r="G150" s="291">
        <f t="shared" ref="G150:M150" si="37">G151+G152</f>
        <v>821</v>
      </c>
      <c r="H150" s="62">
        <f t="shared" si="37"/>
        <v>650</v>
      </c>
      <c r="I150" s="61">
        <f t="shared" si="37"/>
        <v>0</v>
      </c>
      <c r="J150" s="43">
        <f>J151+J152+J153+J154</f>
        <v>2485.7325000000001</v>
      </c>
      <c r="K150" s="43">
        <f>K151+K152+K153+K154</f>
        <v>0</v>
      </c>
      <c r="L150" s="43">
        <f>L151+L152+L153+L154</f>
        <v>2485.7325000000001</v>
      </c>
      <c r="M150" s="63">
        <f t="shared" si="37"/>
        <v>670</v>
      </c>
      <c r="N150" s="64">
        <f>N151+N152</f>
        <v>2765.5325000000003</v>
      </c>
    </row>
    <row r="151" spans="1:16" ht="30">
      <c r="A151" s="46" t="s">
        <v>153</v>
      </c>
      <c r="B151" s="39" t="s">
        <v>187</v>
      </c>
      <c r="C151" s="39" t="s">
        <v>33</v>
      </c>
      <c r="D151" s="39" t="s">
        <v>33</v>
      </c>
      <c r="E151" s="39" t="s">
        <v>232</v>
      </c>
      <c r="F151" s="554" t="s">
        <v>143</v>
      </c>
      <c r="G151" s="291">
        <v>321</v>
      </c>
      <c r="H151" s="41">
        <v>650</v>
      </c>
      <c r="I151" s="61"/>
      <c r="J151" s="728">
        <v>396.53250000000003</v>
      </c>
      <c r="K151" s="732"/>
      <c r="L151" s="43">
        <f>J151+K151</f>
        <v>396.53250000000003</v>
      </c>
      <c r="M151" s="63"/>
      <c r="N151" s="45">
        <f>L151+M151</f>
        <v>396.53250000000003</v>
      </c>
      <c r="O151" s="160">
        <v>200</v>
      </c>
      <c r="P151" s="15">
        <f>L151-O151</f>
        <v>196.53250000000003</v>
      </c>
    </row>
    <row r="152" spans="1:16">
      <c r="A152" s="46" t="s">
        <v>231</v>
      </c>
      <c r="B152" s="39" t="s">
        <v>187</v>
      </c>
      <c r="C152" s="39" t="s">
        <v>33</v>
      </c>
      <c r="D152" s="39" t="s">
        <v>33</v>
      </c>
      <c r="E152" s="39" t="s">
        <v>234</v>
      </c>
      <c r="F152" s="554" t="s">
        <v>143</v>
      </c>
      <c r="G152" s="291">
        <v>500</v>
      </c>
      <c r="H152" s="41"/>
      <c r="I152" s="61"/>
      <c r="J152" s="728">
        <v>1699</v>
      </c>
      <c r="K152" s="42"/>
      <c r="L152" s="43">
        <f>J152+K152</f>
        <v>1699</v>
      </c>
      <c r="M152" s="63">
        <v>670</v>
      </c>
      <c r="N152" s="45">
        <f>L152+M152</f>
        <v>2369</v>
      </c>
      <c r="O152" s="11">
        <v>190.2</v>
      </c>
    </row>
    <row r="153" spans="1:16" ht="30">
      <c r="A153" s="46" t="s">
        <v>153</v>
      </c>
      <c r="B153" s="39" t="s">
        <v>187</v>
      </c>
      <c r="C153" s="39" t="s">
        <v>33</v>
      </c>
      <c r="D153" s="39" t="s">
        <v>33</v>
      </c>
      <c r="E153" s="39" t="s">
        <v>1029</v>
      </c>
      <c r="F153" s="554" t="s">
        <v>143</v>
      </c>
      <c r="G153" s="291"/>
      <c r="H153" s="41"/>
      <c r="I153" s="61"/>
      <c r="J153" s="728">
        <v>200</v>
      </c>
      <c r="K153" s="42"/>
      <c r="L153" s="43">
        <f>J153+K153</f>
        <v>200</v>
      </c>
      <c r="M153" s="412"/>
      <c r="N153" s="93"/>
    </row>
    <row r="154" spans="1:16" ht="60">
      <c r="A154" s="46" t="s">
        <v>233</v>
      </c>
      <c r="B154" s="39" t="s">
        <v>187</v>
      </c>
      <c r="C154" s="39" t="s">
        <v>33</v>
      </c>
      <c r="D154" s="39" t="s">
        <v>33</v>
      </c>
      <c r="E154" s="39" t="s">
        <v>1028</v>
      </c>
      <c r="F154" s="554" t="s">
        <v>143</v>
      </c>
      <c r="G154" s="291"/>
      <c r="H154" s="41"/>
      <c r="I154" s="61"/>
      <c r="J154" s="728">
        <v>190.2</v>
      </c>
      <c r="K154" s="42"/>
      <c r="L154" s="43">
        <f>J154+K154</f>
        <v>190.2</v>
      </c>
      <c r="M154" s="412"/>
      <c r="N154" s="93"/>
    </row>
    <row r="155" spans="1:16" ht="26.25" customHeight="1">
      <c r="A155" s="37" t="s">
        <v>70</v>
      </c>
      <c r="B155" s="38" t="s">
        <v>187</v>
      </c>
      <c r="C155" s="38" t="s">
        <v>33</v>
      </c>
      <c r="D155" s="38" t="s">
        <v>48</v>
      </c>
      <c r="E155" s="38"/>
      <c r="F155" s="556"/>
      <c r="G155" s="518">
        <f>G156+G162+G165+G167</f>
        <v>878.1</v>
      </c>
      <c r="H155" s="90">
        <f>H156+H162+H165+H167</f>
        <v>6514.65</v>
      </c>
      <c r="I155" s="67">
        <f>I156+I162+I165+I167</f>
        <v>0</v>
      </c>
      <c r="J155" s="734">
        <f>J156+J162+J165+J167+J160</f>
        <v>7096.8389999999999</v>
      </c>
      <c r="K155" s="91">
        <f>K156+K162+K165+K167+K160</f>
        <v>116.67699999999999</v>
      </c>
      <c r="L155" s="92">
        <f>L156+L162+L165+L167+L160</f>
        <v>7213.5159999999996</v>
      </c>
      <c r="M155" s="521">
        <f>M156+M162+M165+M167+M160</f>
        <v>-2135.3040000000001</v>
      </c>
      <c r="N155" s="82">
        <f>N156+N162+N165+N167+N160</f>
        <v>4355.9619999999995</v>
      </c>
    </row>
    <row r="156" spans="1:16" ht="75">
      <c r="A156" s="46" t="s">
        <v>191</v>
      </c>
      <c r="B156" s="39" t="s">
        <v>187</v>
      </c>
      <c r="C156" s="39" t="s">
        <v>33</v>
      </c>
      <c r="D156" s="39" t="s">
        <v>48</v>
      </c>
      <c r="E156" s="39" t="s">
        <v>192</v>
      </c>
      <c r="F156" s="554"/>
      <c r="G156" s="291">
        <f t="shared" ref="G156:N156" si="38">G157</f>
        <v>598.1</v>
      </c>
      <c r="H156" s="62">
        <f t="shared" si="38"/>
        <v>1303.6500000000001</v>
      </c>
      <c r="I156" s="61">
        <f t="shared" si="38"/>
        <v>0</v>
      </c>
      <c r="J156" s="728">
        <f t="shared" si="38"/>
        <v>1108.9469999999999</v>
      </c>
      <c r="K156" s="42">
        <f t="shared" si="38"/>
        <v>0</v>
      </c>
      <c r="L156" s="43">
        <f t="shared" si="38"/>
        <v>1108.9469999999999</v>
      </c>
      <c r="M156" s="43">
        <f t="shared" si="38"/>
        <v>-119.89</v>
      </c>
      <c r="N156" s="64">
        <f t="shared" si="38"/>
        <v>989.0569999999999</v>
      </c>
    </row>
    <row r="157" spans="1:16">
      <c r="A157" s="46" t="s">
        <v>193</v>
      </c>
      <c r="B157" s="39" t="s">
        <v>187</v>
      </c>
      <c r="C157" s="39" t="s">
        <v>33</v>
      </c>
      <c r="D157" s="39" t="s">
        <v>48</v>
      </c>
      <c r="E157" s="39" t="s">
        <v>194</v>
      </c>
      <c r="F157" s="554"/>
      <c r="G157" s="291">
        <f t="shared" ref="G157:M157" si="39">G158+G159</f>
        <v>598.1</v>
      </c>
      <c r="H157" s="87">
        <f t="shared" si="39"/>
        <v>1303.6500000000001</v>
      </c>
      <c r="I157" s="86">
        <f t="shared" si="39"/>
        <v>0</v>
      </c>
      <c r="J157" s="728">
        <f t="shared" si="39"/>
        <v>1108.9469999999999</v>
      </c>
      <c r="K157" s="42">
        <f t="shared" si="39"/>
        <v>0</v>
      </c>
      <c r="L157" s="43">
        <f t="shared" si="39"/>
        <v>1108.9469999999999</v>
      </c>
      <c r="M157" s="43">
        <f t="shared" si="39"/>
        <v>-119.89</v>
      </c>
      <c r="N157" s="83">
        <f>N158+N159</f>
        <v>989.0569999999999</v>
      </c>
    </row>
    <row r="158" spans="1:16" ht="30" hidden="1">
      <c r="A158" s="46" t="s">
        <v>153</v>
      </c>
      <c r="B158" s="39" t="s">
        <v>187</v>
      </c>
      <c r="C158" s="39" t="s">
        <v>33</v>
      </c>
      <c r="D158" s="39" t="s">
        <v>48</v>
      </c>
      <c r="E158" s="39" t="s">
        <v>194</v>
      </c>
      <c r="F158" s="556" t="s">
        <v>235</v>
      </c>
      <c r="G158" s="291"/>
      <c r="H158" s="87">
        <v>1303.6500000000001</v>
      </c>
      <c r="I158" s="86"/>
      <c r="J158" s="728"/>
      <c r="K158" s="42"/>
      <c r="L158" s="43">
        <f>J158+K158</f>
        <v>0</v>
      </c>
      <c r="M158" s="43">
        <f>-119.89</f>
        <v>-119.89</v>
      </c>
      <c r="N158" s="83">
        <f>L158+M158</f>
        <v>-119.89</v>
      </c>
    </row>
    <row r="159" spans="1:16" ht="30">
      <c r="A159" s="46" t="s">
        <v>136</v>
      </c>
      <c r="B159" s="39" t="s">
        <v>187</v>
      </c>
      <c r="C159" s="39" t="s">
        <v>33</v>
      </c>
      <c r="D159" s="39" t="s">
        <v>48</v>
      </c>
      <c r="E159" s="39" t="s">
        <v>194</v>
      </c>
      <c r="F159" s="554" t="s">
        <v>134</v>
      </c>
      <c r="G159" s="291">
        <f>519.1+79</f>
        <v>598.1</v>
      </c>
      <c r="H159" s="41"/>
      <c r="I159" s="61"/>
      <c r="J159" s="728">
        <v>1108.9469999999999</v>
      </c>
      <c r="K159" s="42"/>
      <c r="L159" s="43">
        <f>J159+K159</f>
        <v>1108.9469999999999</v>
      </c>
      <c r="M159" s="63"/>
      <c r="N159" s="45">
        <f>L159+M159</f>
        <v>1108.9469999999999</v>
      </c>
      <c r="O159" s="65">
        <v>1049.99</v>
      </c>
      <c r="P159" s="66">
        <f>L159-O159</f>
        <v>58.95699999999988</v>
      </c>
    </row>
    <row r="160" spans="1:16" ht="75">
      <c r="A160" s="142" t="s">
        <v>236</v>
      </c>
      <c r="B160" s="39" t="s">
        <v>187</v>
      </c>
      <c r="C160" s="39" t="s">
        <v>33</v>
      </c>
      <c r="D160" s="39" t="s">
        <v>48</v>
      </c>
      <c r="E160" s="39" t="s">
        <v>237</v>
      </c>
      <c r="F160" s="554"/>
      <c r="G160" s="291"/>
      <c r="H160" s="41"/>
      <c r="I160" s="61"/>
      <c r="J160" s="728">
        <f>J161</f>
        <v>686.25</v>
      </c>
      <c r="K160" s="42">
        <f>K161</f>
        <v>36</v>
      </c>
      <c r="L160" s="43">
        <f>L161</f>
        <v>722.25</v>
      </c>
      <c r="M160" s="63"/>
      <c r="N160" s="45"/>
    </row>
    <row r="161" spans="1:16" ht="30">
      <c r="A161" s="46" t="s">
        <v>136</v>
      </c>
      <c r="B161" s="39" t="s">
        <v>187</v>
      </c>
      <c r="C161" s="39" t="s">
        <v>33</v>
      </c>
      <c r="D161" s="39" t="s">
        <v>48</v>
      </c>
      <c r="E161" s="39" t="s">
        <v>237</v>
      </c>
      <c r="F161" s="554" t="s">
        <v>134</v>
      </c>
      <c r="G161" s="291"/>
      <c r="H161" s="41"/>
      <c r="I161" s="61"/>
      <c r="J161" s="728">
        <f>685+1.25</f>
        <v>686.25</v>
      </c>
      <c r="K161" s="732">
        <v>36</v>
      </c>
      <c r="L161" s="43">
        <f>J161+K161</f>
        <v>722.25</v>
      </c>
      <c r="M161" s="63"/>
      <c r="N161" s="45"/>
      <c r="O161" s="11">
        <v>515</v>
      </c>
      <c r="P161" s="15">
        <f>K161</f>
        <v>36</v>
      </c>
    </row>
    <row r="162" spans="1:16" ht="105">
      <c r="A162" s="46" t="s">
        <v>238</v>
      </c>
      <c r="B162" s="39" t="s">
        <v>187</v>
      </c>
      <c r="C162" s="39" t="s">
        <v>33</v>
      </c>
      <c r="D162" s="39" t="s">
        <v>48</v>
      </c>
      <c r="E162" s="39" t="s">
        <v>176</v>
      </c>
      <c r="F162" s="554"/>
      <c r="G162" s="291">
        <f t="shared" ref="G162:N163" si="40">G163</f>
        <v>80</v>
      </c>
      <c r="H162" s="62">
        <f t="shared" si="40"/>
        <v>5211</v>
      </c>
      <c r="I162" s="61">
        <f t="shared" si="40"/>
        <v>0</v>
      </c>
      <c r="J162" s="728">
        <f t="shared" si="40"/>
        <v>5051.6419999999998</v>
      </c>
      <c r="K162" s="42">
        <f t="shared" si="40"/>
        <v>80.676999999999992</v>
      </c>
      <c r="L162" s="43">
        <f t="shared" si="40"/>
        <v>5132.3189999999995</v>
      </c>
      <c r="M162" s="63">
        <f t="shared" si="40"/>
        <v>-2015.414</v>
      </c>
      <c r="N162" s="64">
        <f t="shared" si="40"/>
        <v>3116.9049999999997</v>
      </c>
    </row>
    <row r="163" spans="1:16" ht="30">
      <c r="A163" s="46" t="s">
        <v>146</v>
      </c>
      <c r="B163" s="39" t="s">
        <v>187</v>
      </c>
      <c r="C163" s="39" t="s">
        <v>33</v>
      </c>
      <c r="D163" s="39" t="s">
        <v>48</v>
      </c>
      <c r="E163" s="39" t="s">
        <v>177</v>
      </c>
      <c r="F163" s="554"/>
      <c r="G163" s="291">
        <f t="shared" si="40"/>
        <v>80</v>
      </c>
      <c r="H163" s="62">
        <f t="shared" si="40"/>
        <v>5211</v>
      </c>
      <c r="I163" s="61">
        <f t="shared" si="40"/>
        <v>0</v>
      </c>
      <c r="J163" s="728">
        <f t="shared" si="40"/>
        <v>5051.6419999999998</v>
      </c>
      <c r="K163" s="42">
        <f t="shared" si="40"/>
        <v>80.676999999999992</v>
      </c>
      <c r="L163" s="43">
        <f t="shared" si="40"/>
        <v>5132.3189999999995</v>
      </c>
      <c r="M163" s="63">
        <f t="shared" si="40"/>
        <v>-2015.414</v>
      </c>
      <c r="N163" s="64">
        <f t="shared" si="40"/>
        <v>3116.9049999999997</v>
      </c>
    </row>
    <row r="164" spans="1:16" ht="30">
      <c r="A164" s="46" t="s">
        <v>198</v>
      </c>
      <c r="B164" s="39" t="s">
        <v>187</v>
      </c>
      <c r="C164" s="39" t="s">
        <v>33</v>
      </c>
      <c r="D164" s="39" t="s">
        <v>48</v>
      </c>
      <c r="E164" s="39" t="s">
        <v>177</v>
      </c>
      <c r="F164" s="554" t="s">
        <v>143</v>
      </c>
      <c r="G164" s="291">
        <f>50+30</f>
        <v>80</v>
      </c>
      <c r="H164" s="41">
        <v>5211</v>
      </c>
      <c r="I164" s="61"/>
      <c r="J164" s="728">
        <v>5051.6419999999998</v>
      </c>
      <c r="K164" s="42">
        <f>143.7-63.023</f>
        <v>80.676999999999992</v>
      </c>
      <c r="L164" s="43">
        <f>J164+K164</f>
        <v>5132.3189999999995</v>
      </c>
      <c r="M164" s="63">
        <v>-2015.414</v>
      </c>
      <c r="N164" s="45">
        <f>L164+M164</f>
        <v>3116.9049999999997</v>
      </c>
      <c r="O164" s="65">
        <v>4988.6189999999997</v>
      </c>
      <c r="P164" s="14">
        <f>L164-O164</f>
        <v>143.69999999999982</v>
      </c>
    </row>
    <row r="165" spans="1:16" ht="43.5" hidden="1" customHeight="1">
      <c r="A165" s="126" t="s">
        <v>226</v>
      </c>
      <c r="B165" s="69" t="s">
        <v>187</v>
      </c>
      <c r="C165" s="69" t="s">
        <v>33</v>
      </c>
      <c r="D165" s="69" t="s">
        <v>48</v>
      </c>
      <c r="E165" s="69" t="s">
        <v>223</v>
      </c>
      <c r="F165" s="555"/>
      <c r="G165" s="519">
        <f t="shared" ref="G165:N165" si="41">G166</f>
        <v>100</v>
      </c>
      <c r="H165" s="159">
        <f t="shared" si="41"/>
        <v>0</v>
      </c>
      <c r="I165" s="70">
        <f t="shared" si="41"/>
        <v>0</v>
      </c>
      <c r="J165" s="731">
        <f t="shared" si="41"/>
        <v>0</v>
      </c>
      <c r="K165" s="732">
        <f t="shared" si="41"/>
        <v>0</v>
      </c>
      <c r="L165" s="730">
        <f t="shared" si="41"/>
        <v>0</v>
      </c>
      <c r="M165" s="63">
        <f t="shared" si="41"/>
        <v>0</v>
      </c>
      <c r="N165" s="64">
        <f t="shared" si="41"/>
        <v>0</v>
      </c>
    </row>
    <row r="166" spans="1:16" ht="23.25" hidden="1" customHeight="1">
      <c r="A166" s="126" t="s">
        <v>224</v>
      </c>
      <c r="B166" s="69" t="s">
        <v>187</v>
      </c>
      <c r="C166" s="69" t="s">
        <v>33</v>
      </c>
      <c r="D166" s="69" t="s">
        <v>48</v>
      </c>
      <c r="E166" s="69" t="s">
        <v>223</v>
      </c>
      <c r="F166" s="555" t="s">
        <v>225</v>
      </c>
      <c r="G166" s="519">
        <v>100</v>
      </c>
      <c r="H166" s="71"/>
      <c r="I166" s="70"/>
      <c r="J166" s="731"/>
      <c r="K166" s="732"/>
      <c r="L166" s="730">
        <f>J166+K166</f>
        <v>0</v>
      </c>
      <c r="M166" s="63"/>
      <c r="N166" s="45">
        <f>L166+M166</f>
        <v>0</v>
      </c>
    </row>
    <row r="167" spans="1:16" ht="60">
      <c r="A167" s="46" t="s">
        <v>239</v>
      </c>
      <c r="B167" s="39" t="s">
        <v>187</v>
      </c>
      <c r="C167" s="39" t="s">
        <v>33</v>
      </c>
      <c r="D167" s="39" t="s">
        <v>48</v>
      </c>
      <c r="E167" s="39" t="s">
        <v>240</v>
      </c>
      <c r="F167" s="554"/>
      <c r="G167" s="291">
        <f t="shared" ref="G167:N167" si="42">G168</f>
        <v>100</v>
      </c>
      <c r="H167" s="62">
        <f t="shared" si="42"/>
        <v>0</v>
      </c>
      <c r="I167" s="61">
        <f t="shared" si="42"/>
        <v>0</v>
      </c>
      <c r="J167" s="728">
        <f t="shared" si="42"/>
        <v>250</v>
      </c>
      <c r="K167" s="42">
        <f t="shared" si="42"/>
        <v>0</v>
      </c>
      <c r="L167" s="43">
        <f t="shared" si="42"/>
        <v>250</v>
      </c>
      <c r="M167" s="63">
        <f t="shared" si="42"/>
        <v>0</v>
      </c>
      <c r="N167" s="64">
        <f t="shared" si="42"/>
        <v>250</v>
      </c>
    </row>
    <row r="168" spans="1:16" ht="30">
      <c r="A168" s="46" t="s">
        <v>136</v>
      </c>
      <c r="B168" s="39" t="s">
        <v>187</v>
      </c>
      <c r="C168" s="39" t="s">
        <v>33</v>
      </c>
      <c r="D168" s="39" t="s">
        <v>48</v>
      </c>
      <c r="E168" s="39" t="s">
        <v>240</v>
      </c>
      <c r="F168" s="554" t="s">
        <v>134</v>
      </c>
      <c r="G168" s="291">
        <v>100</v>
      </c>
      <c r="H168" s="41"/>
      <c r="I168" s="61"/>
      <c r="J168" s="728">
        <v>250</v>
      </c>
      <c r="K168" s="42"/>
      <c r="L168" s="43">
        <f>J168+K168</f>
        <v>250</v>
      </c>
      <c r="M168" s="63"/>
      <c r="N168" s="45">
        <f>L168+M168</f>
        <v>250</v>
      </c>
      <c r="O168" s="65"/>
    </row>
    <row r="169" spans="1:16">
      <c r="A169" s="48" t="s">
        <v>87</v>
      </c>
      <c r="B169" s="49" t="s">
        <v>187</v>
      </c>
      <c r="C169" s="49" t="s">
        <v>86</v>
      </c>
      <c r="D169" s="49"/>
      <c r="E169" s="49"/>
      <c r="F169" s="562"/>
      <c r="G169" s="517">
        <f t="shared" ref="G169:M169" si="43">G170+G174</f>
        <v>5942.8729699999994</v>
      </c>
      <c r="H169" s="58">
        <f t="shared" si="43"/>
        <v>11149.7</v>
      </c>
      <c r="I169" s="57">
        <f t="shared" si="43"/>
        <v>0</v>
      </c>
      <c r="J169" s="52">
        <f t="shared" si="43"/>
        <v>14322.6</v>
      </c>
      <c r="K169" s="729">
        <f>K170+K174</f>
        <v>1870.6000000000004</v>
      </c>
      <c r="L169" s="53">
        <f t="shared" si="43"/>
        <v>16193.2</v>
      </c>
      <c r="M169" s="59">
        <f t="shared" si="43"/>
        <v>0</v>
      </c>
      <c r="N169" s="60">
        <f>N170+N174</f>
        <v>9621.3000000000011</v>
      </c>
    </row>
    <row r="170" spans="1:16" ht="29.25">
      <c r="A170" s="37" t="s">
        <v>241</v>
      </c>
      <c r="B170" s="38" t="s">
        <v>187</v>
      </c>
      <c r="C170" s="38" t="s">
        <v>86</v>
      </c>
      <c r="D170" s="38" t="s">
        <v>25</v>
      </c>
      <c r="E170" s="38"/>
      <c r="F170" s="556"/>
      <c r="G170" s="518">
        <f t="shared" ref="G170:N170" si="44">G171</f>
        <v>681.32999999999993</v>
      </c>
      <c r="H170" s="90">
        <f t="shared" si="44"/>
        <v>2954.9</v>
      </c>
      <c r="I170" s="67">
        <f t="shared" si="44"/>
        <v>0</v>
      </c>
      <c r="J170" s="734">
        <f t="shared" si="44"/>
        <v>3419</v>
      </c>
      <c r="K170" s="91">
        <f t="shared" si="44"/>
        <v>-3419</v>
      </c>
      <c r="L170" s="92">
        <f t="shared" si="44"/>
        <v>0</v>
      </c>
      <c r="M170" s="147">
        <f t="shared" si="44"/>
        <v>0</v>
      </c>
      <c r="N170" s="148">
        <f t="shared" si="44"/>
        <v>0</v>
      </c>
    </row>
    <row r="171" spans="1:16" ht="90">
      <c r="A171" s="46" t="s">
        <v>242</v>
      </c>
      <c r="B171" s="39" t="s">
        <v>187</v>
      </c>
      <c r="C171" s="39" t="s">
        <v>86</v>
      </c>
      <c r="D171" s="39" t="s">
        <v>25</v>
      </c>
      <c r="E171" s="39" t="s">
        <v>243</v>
      </c>
      <c r="F171" s="554"/>
      <c r="G171" s="291">
        <f t="shared" ref="G171:M171" si="45">G172+G173</f>
        <v>681.32999999999993</v>
      </c>
      <c r="H171" s="62">
        <f t="shared" si="45"/>
        <v>2954.9</v>
      </c>
      <c r="I171" s="61">
        <f t="shared" si="45"/>
        <v>0</v>
      </c>
      <c r="J171" s="728">
        <f t="shared" si="45"/>
        <v>3419</v>
      </c>
      <c r="K171" s="42">
        <f t="shared" si="45"/>
        <v>-3419</v>
      </c>
      <c r="L171" s="43">
        <f t="shared" si="45"/>
        <v>0</v>
      </c>
      <c r="M171" s="63">
        <f t="shared" si="45"/>
        <v>0</v>
      </c>
      <c r="N171" s="64">
        <f>N172+N173</f>
        <v>0</v>
      </c>
    </row>
    <row r="172" spans="1:16">
      <c r="A172" s="46" t="s">
        <v>244</v>
      </c>
      <c r="B172" s="39" t="s">
        <v>187</v>
      </c>
      <c r="C172" s="39" t="s">
        <v>86</v>
      </c>
      <c r="D172" s="39" t="s">
        <v>25</v>
      </c>
      <c r="E172" s="39" t="s">
        <v>243</v>
      </c>
      <c r="F172" s="554" t="s">
        <v>245</v>
      </c>
      <c r="G172" s="291">
        <f>681.33-2819.6</f>
        <v>-2138.27</v>
      </c>
      <c r="H172" s="41">
        <v>2954.9</v>
      </c>
      <c r="I172" s="61"/>
      <c r="J172" s="728"/>
      <c r="K172" s="42"/>
      <c r="L172" s="43">
        <f>J172+K172</f>
        <v>0</v>
      </c>
      <c r="M172" s="63"/>
      <c r="N172" s="45">
        <f>L172+M172</f>
        <v>0</v>
      </c>
    </row>
    <row r="173" spans="1:16">
      <c r="A173" s="46" t="s">
        <v>244</v>
      </c>
      <c r="B173" s="39" t="s">
        <v>187</v>
      </c>
      <c r="C173" s="39" t="s">
        <v>86</v>
      </c>
      <c r="D173" s="39" t="s">
        <v>25</v>
      </c>
      <c r="E173" s="39" t="s">
        <v>246</v>
      </c>
      <c r="F173" s="554" t="s">
        <v>245</v>
      </c>
      <c r="G173" s="291">
        <v>2819.6</v>
      </c>
      <c r="H173" s="41"/>
      <c r="I173" s="61"/>
      <c r="J173" s="728">
        <v>3419</v>
      </c>
      <c r="K173" s="42">
        <f>-3419</f>
        <v>-3419</v>
      </c>
      <c r="L173" s="43">
        <f>J173+K173</f>
        <v>0</v>
      </c>
      <c r="M173" s="63"/>
      <c r="N173" s="45">
        <f>L173+M173</f>
        <v>0</v>
      </c>
      <c r="O173" s="11">
        <v>855</v>
      </c>
      <c r="P173" s="15">
        <f>K173</f>
        <v>-3419</v>
      </c>
    </row>
    <row r="174" spans="1:16">
      <c r="A174" s="37" t="s">
        <v>247</v>
      </c>
      <c r="B174" s="38" t="s">
        <v>187</v>
      </c>
      <c r="C174" s="38" t="s">
        <v>86</v>
      </c>
      <c r="D174" s="38" t="s">
        <v>27</v>
      </c>
      <c r="E174" s="38"/>
      <c r="F174" s="556"/>
      <c r="G174" s="521">
        <f t="shared" ref="G174:M174" si="46">G175+G183+G179+G177</f>
        <v>5261.5429699999995</v>
      </c>
      <c r="H174" s="82">
        <f t="shared" si="46"/>
        <v>8194.8000000000011</v>
      </c>
      <c r="I174" s="81">
        <f t="shared" si="46"/>
        <v>0</v>
      </c>
      <c r="J174" s="734">
        <f>J175+J183+J179+J177+J181</f>
        <v>10903.6</v>
      </c>
      <c r="K174" s="830">
        <f>K175+K183+K179+K177+K181</f>
        <v>5289.6</v>
      </c>
      <c r="L174" s="830">
        <f>L175+L183+L179+L177+L181</f>
        <v>16193.2</v>
      </c>
      <c r="M174" s="92">
        <f t="shared" si="46"/>
        <v>0</v>
      </c>
      <c r="N174" s="150">
        <f>N175+N183+N179+N177</f>
        <v>9621.3000000000011</v>
      </c>
    </row>
    <row r="175" spans="1:16" ht="60" hidden="1">
      <c r="A175" s="46" t="s">
        <v>248</v>
      </c>
      <c r="B175" s="39" t="s">
        <v>187</v>
      </c>
      <c r="C175" s="39" t="s">
        <v>86</v>
      </c>
      <c r="D175" s="39" t="s">
        <v>27</v>
      </c>
      <c r="E175" s="39" t="s">
        <v>249</v>
      </c>
      <c r="F175" s="554"/>
      <c r="G175" s="291">
        <f t="shared" ref="G175:N175" si="47">G176</f>
        <v>0</v>
      </c>
      <c r="H175" s="41">
        <f t="shared" si="47"/>
        <v>545.6</v>
      </c>
      <c r="I175" s="61">
        <f t="shared" si="47"/>
        <v>0</v>
      </c>
      <c r="J175" s="728">
        <f t="shared" si="47"/>
        <v>0</v>
      </c>
      <c r="K175" s="42">
        <f t="shared" si="47"/>
        <v>0</v>
      </c>
      <c r="L175" s="43">
        <f t="shared" si="47"/>
        <v>0</v>
      </c>
      <c r="M175" s="63">
        <f t="shared" si="47"/>
        <v>0</v>
      </c>
      <c r="N175" s="45">
        <f t="shared" si="47"/>
        <v>0</v>
      </c>
    </row>
    <row r="176" spans="1:16" hidden="1">
      <c r="A176" s="46" t="s">
        <v>244</v>
      </c>
      <c r="B176" s="39" t="s">
        <v>187</v>
      </c>
      <c r="C176" s="39" t="s">
        <v>86</v>
      </c>
      <c r="D176" s="39" t="s">
        <v>27</v>
      </c>
      <c r="E176" s="39" t="s">
        <v>249</v>
      </c>
      <c r="F176" s="554" t="s">
        <v>245</v>
      </c>
      <c r="G176" s="291"/>
      <c r="H176" s="41">
        <v>545.6</v>
      </c>
      <c r="I176" s="61"/>
      <c r="J176" s="728"/>
      <c r="K176" s="42"/>
      <c r="L176" s="43">
        <f>J176+K176</f>
        <v>0</v>
      </c>
      <c r="M176" s="63"/>
      <c r="N176" s="45">
        <f>L176+M176</f>
        <v>0</v>
      </c>
    </row>
    <row r="177" spans="1:16" ht="90" hidden="1" customHeight="1">
      <c r="A177" s="142" t="s">
        <v>250</v>
      </c>
      <c r="B177" s="39" t="s">
        <v>187</v>
      </c>
      <c r="C177" s="39" t="s">
        <v>86</v>
      </c>
      <c r="D177" s="39" t="s">
        <v>27</v>
      </c>
      <c r="E177" s="39" t="s">
        <v>251</v>
      </c>
      <c r="F177" s="554"/>
      <c r="G177" s="291">
        <f t="shared" ref="G177:N177" si="48">G178</f>
        <v>1114.61041</v>
      </c>
      <c r="H177" s="87">
        <f t="shared" si="48"/>
        <v>0</v>
      </c>
      <c r="I177" s="61">
        <f t="shared" si="48"/>
        <v>0</v>
      </c>
      <c r="J177" s="728">
        <f t="shared" si="48"/>
        <v>0</v>
      </c>
      <c r="K177" s="42">
        <f t="shared" si="48"/>
        <v>0</v>
      </c>
      <c r="L177" s="43">
        <f t="shared" si="48"/>
        <v>0</v>
      </c>
      <c r="M177" s="63">
        <f t="shared" si="48"/>
        <v>0</v>
      </c>
      <c r="N177" s="83">
        <f t="shared" si="48"/>
        <v>0</v>
      </c>
    </row>
    <row r="178" spans="1:16" ht="15" hidden="1" customHeight="1">
      <c r="A178" s="46" t="s">
        <v>244</v>
      </c>
      <c r="B178" s="39" t="s">
        <v>187</v>
      </c>
      <c r="C178" s="39" t="s">
        <v>86</v>
      </c>
      <c r="D178" s="39" t="s">
        <v>27</v>
      </c>
      <c r="E178" s="39" t="s">
        <v>251</v>
      </c>
      <c r="F178" s="554" t="s">
        <v>245</v>
      </c>
      <c r="G178" s="291">
        <f>335.61041+779</f>
        <v>1114.61041</v>
      </c>
      <c r="H178" s="41"/>
      <c r="I178" s="61"/>
      <c r="J178" s="728">
        <f>H178+I178</f>
        <v>0</v>
      </c>
      <c r="K178" s="42">
        <f>816.4-816.4</f>
        <v>0</v>
      </c>
      <c r="L178" s="43">
        <f>J178+K178</f>
        <v>0</v>
      </c>
      <c r="M178" s="63">
        <f>816.4-816.4</f>
        <v>0</v>
      </c>
      <c r="N178" s="45">
        <f>L178+M178</f>
        <v>0</v>
      </c>
    </row>
    <row r="179" spans="1:16" ht="45" hidden="1">
      <c r="A179" s="46" t="s">
        <v>252</v>
      </c>
      <c r="B179" s="39" t="s">
        <v>187</v>
      </c>
      <c r="C179" s="39" t="s">
        <v>86</v>
      </c>
      <c r="D179" s="39" t="s">
        <v>27</v>
      </c>
      <c r="E179" s="39" t="s">
        <v>253</v>
      </c>
      <c r="F179" s="554"/>
      <c r="G179" s="291">
        <f t="shared" ref="G179:N179" si="49">G180</f>
        <v>-779</v>
      </c>
      <c r="H179" s="62">
        <f t="shared" si="49"/>
        <v>816.4</v>
      </c>
      <c r="I179" s="61">
        <f t="shared" si="49"/>
        <v>0</v>
      </c>
      <c r="J179" s="728">
        <f t="shared" si="49"/>
        <v>0</v>
      </c>
      <c r="K179" s="42">
        <f t="shared" si="49"/>
        <v>0</v>
      </c>
      <c r="L179" s="43">
        <f t="shared" si="49"/>
        <v>0</v>
      </c>
      <c r="M179" s="63">
        <f t="shared" si="49"/>
        <v>0</v>
      </c>
      <c r="N179" s="64">
        <f t="shared" si="49"/>
        <v>0</v>
      </c>
    </row>
    <row r="180" spans="1:16" hidden="1">
      <c r="A180" s="46" t="s">
        <v>254</v>
      </c>
      <c r="B180" s="39" t="s">
        <v>187</v>
      </c>
      <c r="C180" s="39" t="s">
        <v>86</v>
      </c>
      <c r="D180" s="39" t="s">
        <v>27</v>
      </c>
      <c r="E180" s="39" t="s">
        <v>253</v>
      </c>
      <c r="F180" s="554" t="s">
        <v>255</v>
      </c>
      <c r="G180" s="291">
        <v>-779</v>
      </c>
      <c r="H180" s="41">
        <v>816.4</v>
      </c>
      <c r="I180" s="61"/>
      <c r="J180" s="728"/>
      <c r="K180" s="42"/>
      <c r="L180" s="43">
        <f>J180+K180</f>
        <v>0</v>
      </c>
      <c r="M180" s="63"/>
      <c r="N180" s="45">
        <f>L180+M180</f>
        <v>0</v>
      </c>
    </row>
    <row r="181" spans="1:16" ht="90">
      <c r="A181" s="46" t="s">
        <v>242</v>
      </c>
      <c r="B181" s="39" t="s">
        <v>187</v>
      </c>
      <c r="C181" s="39" t="s">
        <v>86</v>
      </c>
      <c r="D181" s="39" t="s">
        <v>27</v>
      </c>
      <c r="E181" s="39" t="s">
        <v>243</v>
      </c>
      <c r="F181" s="554"/>
      <c r="G181" s="291"/>
      <c r="H181" s="41"/>
      <c r="I181" s="61"/>
      <c r="J181" s="728">
        <f>J182</f>
        <v>0</v>
      </c>
      <c r="K181" s="42">
        <f>K182</f>
        <v>3419</v>
      </c>
      <c r="L181" s="43">
        <f>L182</f>
        <v>3419</v>
      </c>
      <c r="M181" s="63"/>
      <c r="N181" s="45"/>
    </row>
    <row r="182" spans="1:16">
      <c r="A182" s="46" t="s">
        <v>244</v>
      </c>
      <c r="B182" s="39" t="s">
        <v>187</v>
      </c>
      <c r="C182" s="39" t="s">
        <v>86</v>
      </c>
      <c r="D182" s="39" t="s">
        <v>27</v>
      </c>
      <c r="E182" s="39" t="s">
        <v>246</v>
      </c>
      <c r="F182" s="554" t="s">
        <v>245</v>
      </c>
      <c r="G182" s="291"/>
      <c r="H182" s="41"/>
      <c r="I182" s="61"/>
      <c r="J182" s="728"/>
      <c r="K182" s="42">
        <f>3419</f>
        <v>3419</v>
      </c>
      <c r="L182" s="43">
        <f>J182+K182</f>
        <v>3419</v>
      </c>
      <c r="M182" s="63"/>
      <c r="N182" s="45"/>
    </row>
    <row r="183" spans="1:16" ht="30">
      <c r="A183" s="46" t="s">
        <v>171</v>
      </c>
      <c r="B183" s="39" t="s">
        <v>187</v>
      </c>
      <c r="C183" s="39" t="s">
        <v>86</v>
      </c>
      <c r="D183" s="39" t="s">
        <v>27</v>
      </c>
      <c r="E183" s="39" t="s">
        <v>172</v>
      </c>
      <c r="F183" s="554"/>
      <c r="G183" s="522">
        <f t="shared" ref="G183:M183" si="50">G187+G184</f>
        <v>4925.9325599999993</v>
      </c>
      <c r="H183" s="87">
        <f t="shared" si="50"/>
        <v>6832.8</v>
      </c>
      <c r="I183" s="86">
        <f t="shared" si="50"/>
        <v>0</v>
      </c>
      <c r="J183" s="728">
        <f>J187+J184</f>
        <v>10903.6</v>
      </c>
      <c r="K183" s="42">
        <f>K187+K184</f>
        <v>1870.6000000000001</v>
      </c>
      <c r="L183" s="43">
        <f t="shared" si="50"/>
        <v>12774.2</v>
      </c>
      <c r="M183" s="43">
        <f t="shared" si="50"/>
        <v>0</v>
      </c>
      <c r="N183" s="83">
        <f>N187+N184</f>
        <v>9621.3000000000011</v>
      </c>
    </row>
    <row r="184" spans="1:16" ht="90" customHeight="1">
      <c r="A184" s="46" t="s">
        <v>256</v>
      </c>
      <c r="B184" s="39" t="s">
        <v>187</v>
      </c>
      <c r="C184" s="39" t="s">
        <v>86</v>
      </c>
      <c r="D184" s="39" t="s">
        <v>27</v>
      </c>
      <c r="E184" s="39" t="s">
        <v>257</v>
      </c>
      <c r="F184" s="554"/>
      <c r="G184" s="291">
        <f t="shared" ref="G184:N184" si="51">G185</f>
        <v>1011.2162</v>
      </c>
      <c r="H184" s="87">
        <f t="shared" si="51"/>
        <v>0</v>
      </c>
      <c r="I184" s="61">
        <f t="shared" si="51"/>
        <v>0</v>
      </c>
      <c r="J184" s="728">
        <f>J185+J186</f>
        <v>1403.9</v>
      </c>
      <c r="K184" s="42">
        <f>K185+K186</f>
        <v>0</v>
      </c>
      <c r="L184" s="43">
        <f>L185+L186</f>
        <v>1403.9</v>
      </c>
      <c r="M184" s="63">
        <f t="shared" si="51"/>
        <v>0</v>
      </c>
      <c r="N184" s="83">
        <f t="shared" si="51"/>
        <v>1403.9</v>
      </c>
    </row>
    <row r="185" spans="1:16" ht="15" customHeight="1">
      <c r="A185" s="46" t="s">
        <v>244</v>
      </c>
      <c r="B185" s="39" t="s">
        <v>187</v>
      </c>
      <c r="C185" s="39" t="s">
        <v>86</v>
      </c>
      <c r="D185" s="39" t="s">
        <v>27</v>
      </c>
      <c r="E185" s="39" t="s">
        <v>257</v>
      </c>
      <c r="F185" s="554" t="s">
        <v>245</v>
      </c>
      <c r="G185" s="291">
        <f>11.2162+1000</f>
        <v>1011.2162</v>
      </c>
      <c r="H185" s="41"/>
      <c r="I185" s="61"/>
      <c r="J185" s="728">
        <v>1403.9</v>
      </c>
      <c r="K185" s="42"/>
      <c r="L185" s="43">
        <f>J185+K185</f>
        <v>1403.9</v>
      </c>
      <c r="M185" s="63"/>
      <c r="N185" s="45">
        <f>L185+M185</f>
        <v>1403.9</v>
      </c>
      <c r="O185" s="11">
        <v>1403.9</v>
      </c>
      <c r="P185" s="15">
        <f>K185</f>
        <v>0</v>
      </c>
    </row>
    <row r="186" spans="1:16" ht="15" hidden="1" customHeight="1">
      <c r="A186" s="46" t="s">
        <v>244</v>
      </c>
      <c r="B186" s="39" t="s">
        <v>187</v>
      </c>
      <c r="C186" s="39" t="s">
        <v>86</v>
      </c>
      <c r="D186" s="39" t="s">
        <v>27</v>
      </c>
      <c r="E186" s="39" t="s">
        <v>258</v>
      </c>
      <c r="F186" s="554" t="s">
        <v>245</v>
      </c>
      <c r="G186" s="291"/>
      <c r="H186" s="41"/>
      <c r="I186" s="61"/>
      <c r="J186" s="728"/>
      <c r="K186" s="42"/>
      <c r="L186" s="43">
        <f>J186+K186</f>
        <v>0</v>
      </c>
      <c r="M186" s="63"/>
      <c r="N186" s="45"/>
      <c r="P186" s="15"/>
    </row>
    <row r="187" spans="1:16" ht="45">
      <c r="A187" s="46" t="s">
        <v>259</v>
      </c>
      <c r="B187" s="39" t="s">
        <v>187</v>
      </c>
      <c r="C187" s="39" t="s">
        <v>86</v>
      </c>
      <c r="D187" s="39" t="s">
        <v>27</v>
      </c>
      <c r="E187" s="39" t="s">
        <v>260</v>
      </c>
      <c r="F187" s="554"/>
      <c r="G187" s="522">
        <f t="shared" ref="G187:M187" si="52">G192+G190+G191</f>
        <v>3914.7163599999994</v>
      </c>
      <c r="H187" s="87">
        <f t="shared" si="52"/>
        <v>6832.8</v>
      </c>
      <c r="I187" s="86">
        <f t="shared" si="52"/>
        <v>0</v>
      </c>
      <c r="J187" s="728">
        <f>J192+J190+J191+J188+J189</f>
        <v>9499.7000000000007</v>
      </c>
      <c r="K187" s="42">
        <f>K192+K190+K191+K188+K189</f>
        <v>1870.6000000000001</v>
      </c>
      <c r="L187" s="42">
        <f>L192+L190+L191+L188+L189</f>
        <v>11370.300000000001</v>
      </c>
      <c r="M187" s="43">
        <f t="shared" si="52"/>
        <v>0</v>
      </c>
      <c r="N187" s="83">
        <f>N192+N190+N191</f>
        <v>8217.4000000000015</v>
      </c>
    </row>
    <row r="188" spans="1:16" ht="45">
      <c r="A188" s="46" t="s">
        <v>261</v>
      </c>
      <c r="B188" s="39" t="s">
        <v>187</v>
      </c>
      <c r="C188" s="39" t="s">
        <v>86</v>
      </c>
      <c r="D188" s="39" t="s">
        <v>27</v>
      </c>
      <c r="E188" s="39" t="s">
        <v>260</v>
      </c>
      <c r="F188" s="554" t="s">
        <v>143</v>
      </c>
      <c r="G188" s="522"/>
      <c r="H188" s="87"/>
      <c r="I188" s="86"/>
      <c r="J188" s="728"/>
      <c r="K188" s="42">
        <v>800</v>
      </c>
      <c r="L188" s="43">
        <f>J188+K188</f>
        <v>800</v>
      </c>
      <c r="M188" s="43"/>
      <c r="N188" s="83"/>
    </row>
    <row r="189" spans="1:16" ht="45">
      <c r="A189" s="161" t="s">
        <v>261</v>
      </c>
      <c r="B189" s="39" t="s">
        <v>187</v>
      </c>
      <c r="C189" s="39" t="s">
        <v>86</v>
      </c>
      <c r="D189" s="39" t="s">
        <v>27</v>
      </c>
      <c r="E189" s="39" t="s">
        <v>260</v>
      </c>
      <c r="F189" s="554" t="s">
        <v>245</v>
      </c>
      <c r="G189" s="522"/>
      <c r="H189" s="87"/>
      <c r="I189" s="86"/>
      <c r="J189" s="728"/>
      <c r="K189" s="42">
        <v>2352.9</v>
      </c>
      <c r="L189" s="43">
        <f>J189+K189</f>
        <v>2352.9</v>
      </c>
      <c r="M189" s="43"/>
      <c r="N189" s="83"/>
    </row>
    <row r="190" spans="1:16" ht="45" customHeight="1">
      <c r="A190" s="46" t="s">
        <v>261</v>
      </c>
      <c r="B190" s="39" t="s">
        <v>187</v>
      </c>
      <c r="C190" s="39" t="s">
        <v>86</v>
      </c>
      <c r="D190" s="39" t="s">
        <v>27</v>
      </c>
      <c r="E190" s="39" t="s">
        <v>262</v>
      </c>
      <c r="F190" s="554" t="s">
        <v>143</v>
      </c>
      <c r="G190" s="291">
        <v>-94.76</v>
      </c>
      <c r="H190" s="41"/>
      <c r="I190" s="61"/>
      <c r="J190" s="728">
        <f>1483.4</f>
        <v>1483.4</v>
      </c>
      <c r="K190" s="42"/>
      <c r="L190" s="43">
        <f>J190+K190</f>
        <v>1483.4</v>
      </c>
      <c r="M190" s="63"/>
      <c r="N190" s="45">
        <f>L190+M190</f>
        <v>1483.4</v>
      </c>
    </row>
    <row r="191" spans="1:16" ht="45.75" thickBot="1">
      <c r="A191" s="161" t="s">
        <v>261</v>
      </c>
      <c r="B191" s="39" t="s">
        <v>187</v>
      </c>
      <c r="C191" s="39" t="s">
        <v>86</v>
      </c>
      <c r="D191" s="39" t="s">
        <v>27</v>
      </c>
      <c r="E191" s="39" t="s">
        <v>262</v>
      </c>
      <c r="F191" s="554" t="s">
        <v>245</v>
      </c>
      <c r="G191" s="291">
        <f>94.76+6519.9</f>
        <v>6614.66</v>
      </c>
      <c r="H191" s="41"/>
      <c r="I191" s="61"/>
      <c r="J191" s="728">
        <f>9499.7-1483.4</f>
        <v>8016.3000000000011</v>
      </c>
      <c r="K191" s="42">
        <f>-1282.3</f>
        <v>-1282.3</v>
      </c>
      <c r="L191" s="43">
        <f>J191+K191</f>
        <v>6734.0000000000009</v>
      </c>
      <c r="M191" s="63"/>
      <c r="N191" s="45">
        <f>L191+M191</f>
        <v>6734.0000000000009</v>
      </c>
      <c r="O191" s="15">
        <v>9499.7000000000007</v>
      </c>
      <c r="P191" s="15">
        <f>K191</f>
        <v>-1282.3</v>
      </c>
    </row>
    <row r="192" spans="1:16" ht="30" hidden="1">
      <c r="A192" s="46" t="s">
        <v>263</v>
      </c>
      <c r="B192" s="39" t="s">
        <v>187</v>
      </c>
      <c r="C192" s="39" t="s">
        <v>86</v>
      </c>
      <c r="D192" s="39" t="s">
        <v>27</v>
      </c>
      <c r="E192" s="39" t="s">
        <v>264</v>
      </c>
      <c r="F192" s="554"/>
      <c r="G192" s="522">
        <f t="shared" ref="G192:M192" si="53">G193+G195+G196</f>
        <v>-2605.1836400000002</v>
      </c>
      <c r="H192" s="87">
        <f t="shared" si="53"/>
        <v>6832.8</v>
      </c>
      <c r="I192" s="86">
        <f t="shared" si="53"/>
        <v>0</v>
      </c>
      <c r="J192" s="728">
        <f t="shared" si="53"/>
        <v>0</v>
      </c>
      <c r="K192" s="42">
        <f t="shared" si="53"/>
        <v>0</v>
      </c>
      <c r="L192" s="43">
        <f t="shared" si="53"/>
        <v>0</v>
      </c>
      <c r="M192" s="43">
        <f t="shared" si="53"/>
        <v>0</v>
      </c>
      <c r="N192" s="83">
        <f>N193+N195+N196</f>
        <v>0</v>
      </c>
    </row>
    <row r="193" spans="1:16" ht="30" hidden="1">
      <c r="A193" s="46" t="s">
        <v>265</v>
      </c>
      <c r="B193" s="39" t="s">
        <v>187</v>
      </c>
      <c r="C193" s="39" t="s">
        <v>86</v>
      </c>
      <c r="D193" s="39" t="s">
        <v>27</v>
      </c>
      <c r="E193" s="39" t="s">
        <v>266</v>
      </c>
      <c r="F193" s="554"/>
      <c r="G193" s="522">
        <f t="shared" ref="G193:N193" si="54">G194</f>
        <v>-6396.88364</v>
      </c>
      <c r="H193" s="87">
        <f t="shared" si="54"/>
        <v>6643.5</v>
      </c>
      <c r="I193" s="86">
        <f t="shared" si="54"/>
        <v>0</v>
      </c>
      <c r="J193" s="728">
        <f t="shared" si="54"/>
        <v>0</v>
      </c>
      <c r="K193" s="42">
        <f t="shared" si="54"/>
        <v>0</v>
      </c>
      <c r="L193" s="43">
        <f t="shared" si="54"/>
        <v>0</v>
      </c>
      <c r="M193" s="43">
        <f t="shared" si="54"/>
        <v>0</v>
      </c>
      <c r="N193" s="83">
        <f t="shared" si="54"/>
        <v>0</v>
      </c>
    </row>
    <row r="194" spans="1:16" hidden="1">
      <c r="A194" s="46" t="s">
        <v>244</v>
      </c>
      <c r="B194" s="39" t="s">
        <v>187</v>
      </c>
      <c r="C194" s="39" t="s">
        <v>86</v>
      </c>
      <c r="D194" s="39" t="s">
        <v>27</v>
      </c>
      <c r="E194" s="39" t="s">
        <v>266</v>
      </c>
      <c r="F194" s="554" t="s">
        <v>245</v>
      </c>
      <c r="G194" s="522">
        <f>9.41636-6406.3</f>
        <v>-6396.88364</v>
      </c>
      <c r="H194" s="41">
        <v>6643.5</v>
      </c>
      <c r="I194" s="86"/>
      <c r="J194" s="728"/>
      <c r="K194" s="42"/>
      <c r="L194" s="43">
        <f>J194+K194</f>
        <v>0</v>
      </c>
      <c r="M194" s="43"/>
      <c r="N194" s="45">
        <f>L194+M194</f>
        <v>0</v>
      </c>
    </row>
    <row r="195" spans="1:16" hidden="1">
      <c r="A195" s="46" t="s">
        <v>267</v>
      </c>
      <c r="B195" s="39" t="s">
        <v>187</v>
      </c>
      <c r="C195" s="39" t="s">
        <v>86</v>
      </c>
      <c r="D195" s="39" t="s">
        <v>27</v>
      </c>
      <c r="E195" s="39" t="s">
        <v>268</v>
      </c>
      <c r="F195" s="554" t="s">
        <v>143</v>
      </c>
      <c r="G195" s="291">
        <v>-113.6</v>
      </c>
      <c r="H195" s="41">
        <v>189.3</v>
      </c>
      <c r="I195" s="61"/>
      <c r="J195" s="728"/>
      <c r="K195" s="42"/>
      <c r="L195" s="43">
        <f>J195+K195</f>
        <v>0</v>
      </c>
      <c r="M195" s="63"/>
      <c r="N195" s="45">
        <f>L195+M195</f>
        <v>0</v>
      </c>
    </row>
    <row r="196" spans="1:16" ht="15.75" hidden="1" customHeight="1" thickBot="1">
      <c r="A196" s="46" t="s">
        <v>244</v>
      </c>
      <c r="B196" s="95" t="s">
        <v>187</v>
      </c>
      <c r="C196" s="95" t="s">
        <v>86</v>
      </c>
      <c r="D196" s="95" t="s">
        <v>27</v>
      </c>
      <c r="E196" s="95" t="s">
        <v>269</v>
      </c>
      <c r="F196" s="557" t="s">
        <v>245</v>
      </c>
      <c r="G196" s="528">
        <v>3905.3</v>
      </c>
      <c r="H196" s="163"/>
      <c r="I196" s="162"/>
      <c r="J196" s="741">
        <f>H196+I196</f>
        <v>0</v>
      </c>
      <c r="K196" s="742"/>
      <c r="L196" s="743">
        <f>J196+K196</f>
        <v>0</v>
      </c>
      <c r="M196" s="121"/>
      <c r="N196" s="164">
        <f>L196+M196</f>
        <v>0</v>
      </c>
    </row>
    <row r="197" spans="1:16" ht="30" thickBot="1">
      <c r="A197" s="165" t="s">
        <v>270</v>
      </c>
      <c r="B197" s="133" t="s">
        <v>271</v>
      </c>
      <c r="C197" s="133"/>
      <c r="D197" s="133"/>
      <c r="E197" s="133"/>
      <c r="F197" s="560"/>
      <c r="G197" s="529" t="e">
        <f>G198+G236+G259+G278</f>
        <v>#REF!</v>
      </c>
      <c r="H197" s="166" t="e">
        <f>H198+H236+H259+H278+H248</f>
        <v>#REF!</v>
      </c>
      <c r="I197" s="166" t="e">
        <f>I198+I236+I259+I278+I248</f>
        <v>#REF!</v>
      </c>
      <c r="J197" s="738">
        <f>J198+J236+J259+J278+J248+J230+J295+J300+J224+J274+J266</f>
        <v>67078.629000000001</v>
      </c>
      <c r="K197" s="738">
        <f>K198+K236+K259+K278+K248+K230+K295+K300+K224+K274+K266</f>
        <v>1955.7445299999999</v>
      </c>
      <c r="L197" s="744">
        <f>L198+L236+L259+L278+L248+L230+L295+L300+L224+L274+L266</f>
        <v>69034.373530000012</v>
      </c>
      <c r="M197" s="167" t="e">
        <f>M198+M236+M259+M278+M248+M230</f>
        <v>#REF!</v>
      </c>
      <c r="N197" s="168" t="e">
        <f>N198+N236+N259+N278+N248+N230</f>
        <v>#REF!</v>
      </c>
      <c r="O197" s="27">
        <f>L197-L201-L227-L277-L304-L316-L306</f>
        <v>10957.943530000015</v>
      </c>
    </row>
    <row r="198" spans="1:16">
      <c r="A198" s="138" t="s">
        <v>272</v>
      </c>
      <c r="B198" s="139" t="s">
        <v>271</v>
      </c>
      <c r="C198" s="139" t="s">
        <v>22</v>
      </c>
      <c r="D198" s="30"/>
      <c r="E198" s="30"/>
      <c r="F198" s="553"/>
      <c r="G198" s="530">
        <f t="shared" ref="G198:M198" si="55">G208+G212+G220+G224+G199</f>
        <v>-820.87</v>
      </c>
      <c r="H198" s="170">
        <f t="shared" si="55"/>
        <v>4592.6000000000004</v>
      </c>
      <c r="I198" s="169">
        <f t="shared" si="55"/>
        <v>0</v>
      </c>
      <c r="J198" s="739">
        <f>J208+J212+J220+J199+J216</f>
        <v>4604.7870000000003</v>
      </c>
      <c r="K198" s="739">
        <f>K208+K212+K220+K199+K216</f>
        <v>-593.755</v>
      </c>
      <c r="L198" s="745">
        <f>L208+L212+L220+L199+L216</f>
        <v>4011.0319999999997</v>
      </c>
      <c r="M198" s="171">
        <f t="shared" si="55"/>
        <v>-578.49599999999998</v>
      </c>
      <c r="N198" s="172">
        <f>N208+N212+N220+N224+N199</f>
        <v>3974.0359999999996</v>
      </c>
      <c r="O198" s="173">
        <f>L227+L251+L253+L256+L265+L269+L281+L304+L306+L311+L314+L316+L239</f>
        <v>36399.696669999998</v>
      </c>
    </row>
    <row r="199" spans="1:16" ht="86.25">
      <c r="A199" s="174" t="s">
        <v>273</v>
      </c>
      <c r="B199" s="38" t="s">
        <v>271</v>
      </c>
      <c r="C199" s="38" t="s">
        <v>22</v>
      </c>
      <c r="D199" s="38" t="s">
        <v>27</v>
      </c>
      <c r="E199" s="39"/>
      <c r="F199" s="554"/>
      <c r="G199" s="518">
        <f t="shared" ref="G199:N200" si="56">G200</f>
        <v>0.4</v>
      </c>
      <c r="H199" s="84">
        <f>H200+H204</f>
        <v>0</v>
      </c>
      <c r="I199" s="175">
        <f>I200+I204</f>
        <v>0</v>
      </c>
      <c r="J199" s="734">
        <f>J200+J204+J202+J206</f>
        <v>733.726</v>
      </c>
      <c r="K199" s="91">
        <f>K200+K204+K202+K206</f>
        <v>0</v>
      </c>
      <c r="L199" s="92">
        <f>L200+L204+L202+L206</f>
        <v>733.726</v>
      </c>
      <c r="M199" s="54">
        <f>M200+M204+M202+M206</f>
        <v>-50</v>
      </c>
      <c r="N199" s="55">
        <f>N200+N204+N202+N206</f>
        <v>683.726</v>
      </c>
    </row>
    <row r="200" spans="1:16" ht="62.25" customHeight="1">
      <c r="A200" s="46" t="s">
        <v>274</v>
      </c>
      <c r="B200" s="39" t="s">
        <v>271</v>
      </c>
      <c r="C200" s="39" t="s">
        <v>22</v>
      </c>
      <c r="D200" s="39" t="s">
        <v>27</v>
      </c>
      <c r="E200" s="39" t="s">
        <v>275</v>
      </c>
      <c r="F200" s="554"/>
      <c r="G200" s="517">
        <f t="shared" si="56"/>
        <v>0.4</v>
      </c>
      <c r="H200" s="58">
        <f t="shared" si="56"/>
        <v>0</v>
      </c>
      <c r="I200" s="57">
        <f t="shared" si="56"/>
        <v>0</v>
      </c>
      <c r="J200" s="728">
        <f t="shared" si="56"/>
        <v>0.5</v>
      </c>
      <c r="K200" s="42">
        <f t="shared" si="56"/>
        <v>0</v>
      </c>
      <c r="L200" s="43">
        <f t="shared" si="56"/>
        <v>0.5</v>
      </c>
      <c r="M200" s="59">
        <f t="shared" si="56"/>
        <v>0</v>
      </c>
      <c r="N200" s="60">
        <f t="shared" si="56"/>
        <v>0.5</v>
      </c>
    </row>
    <row r="201" spans="1:16" ht="30">
      <c r="A201" s="176" t="s">
        <v>142</v>
      </c>
      <c r="B201" s="39" t="s">
        <v>271</v>
      </c>
      <c r="C201" s="39" t="s">
        <v>22</v>
      </c>
      <c r="D201" s="39" t="s">
        <v>27</v>
      </c>
      <c r="E201" s="39" t="s">
        <v>275</v>
      </c>
      <c r="F201" s="554" t="s">
        <v>143</v>
      </c>
      <c r="G201" s="517">
        <v>0.4</v>
      </c>
      <c r="H201" s="41"/>
      <c r="I201" s="57"/>
      <c r="J201" s="728">
        <v>0.5</v>
      </c>
      <c r="K201" s="729"/>
      <c r="L201" s="43">
        <f>J201+K201</f>
        <v>0.5</v>
      </c>
      <c r="M201" s="59"/>
      <c r="N201" s="45">
        <f>L201+M201</f>
        <v>0.5</v>
      </c>
      <c r="O201" s="11">
        <v>0.5</v>
      </c>
    </row>
    <row r="202" spans="1:16">
      <c r="A202" s="176" t="s">
        <v>193</v>
      </c>
      <c r="B202" s="39" t="s">
        <v>271</v>
      </c>
      <c r="C202" s="39" t="s">
        <v>22</v>
      </c>
      <c r="D202" s="39" t="s">
        <v>27</v>
      </c>
      <c r="E202" s="39" t="s">
        <v>194</v>
      </c>
      <c r="F202" s="554"/>
      <c r="G202" s="517"/>
      <c r="H202" s="41"/>
      <c r="I202" s="57"/>
      <c r="J202" s="728">
        <f>J203</f>
        <v>733.226</v>
      </c>
      <c r="K202" s="42">
        <f>K203</f>
        <v>0</v>
      </c>
      <c r="L202" s="43">
        <f>L203</f>
        <v>733.226</v>
      </c>
      <c r="M202" s="44">
        <f>M203</f>
        <v>-50</v>
      </c>
      <c r="N202" s="45">
        <f>N203</f>
        <v>683.226</v>
      </c>
    </row>
    <row r="203" spans="1:16" ht="30">
      <c r="A203" s="176" t="s">
        <v>136</v>
      </c>
      <c r="B203" s="39" t="s">
        <v>271</v>
      </c>
      <c r="C203" s="39" t="s">
        <v>22</v>
      </c>
      <c r="D203" s="39" t="s">
        <v>27</v>
      </c>
      <c r="E203" s="39" t="s">
        <v>194</v>
      </c>
      <c r="F203" s="554" t="s">
        <v>134</v>
      </c>
      <c r="G203" s="517"/>
      <c r="H203" s="41"/>
      <c r="I203" s="57"/>
      <c r="J203" s="728">
        <v>733.226</v>
      </c>
      <c r="K203" s="729"/>
      <c r="L203" s="43">
        <f>J203+K203</f>
        <v>733.226</v>
      </c>
      <c r="M203" s="59">
        <f>-50</f>
        <v>-50</v>
      </c>
      <c r="N203" s="45">
        <f>L203+M203</f>
        <v>683.226</v>
      </c>
      <c r="O203" s="65">
        <v>733.226</v>
      </c>
      <c r="P203" s="66">
        <f>L203-O203</f>
        <v>0</v>
      </c>
    </row>
    <row r="204" spans="1:16" ht="45" hidden="1" customHeight="1">
      <c r="A204" s="176" t="s">
        <v>276</v>
      </c>
      <c r="B204" s="49" t="s">
        <v>271</v>
      </c>
      <c r="C204" s="49" t="s">
        <v>22</v>
      </c>
      <c r="D204" s="39" t="s">
        <v>27</v>
      </c>
      <c r="E204" s="39" t="s">
        <v>277</v>
      </c>
      <c r="F204" s="554"/>
      <c r="G204" s="517"/>
      <c r="H204" s="41">
        <f t="shared" ref="H204:N204" si="57">H205</f>
        <v>0</v>
      </c>
      <c r="I204" s="40">
        <f t="shared" si="57"/>
        <v>0</v>
      </c>
      <c r="J204" s="728">
        <f t="shared" si="57"/>
        <v>0</v>
      </c>
      <c r="K204" s="42">
        <f t="shared" si="57"/>
        <v>0</v>
      </c>
      <c r="L204" s="43">
        <f t="shared" si="57"/>
        <v>0</v>
      </c>
      <c r="M204" s="44">
        <f t="shared" si="57"/>
        <v>0</v>
      </c>
      <c r="N204" s="45">
        <f t="shared" si="57"/>
        <v>0</v>
      </c>
    </row>
    <row r="205" spans="1:16" ht="30" hidden="1" customHeight="1">
      <c r="A205" s="177" t="s">
        <v>278</v>
      </c>
      <c r="B205" s="49" t="s">
        <v>271</v>
      </c>
      <c r="C205" s="49" t="s">
        <v>22</v>
      </c>
      <c r="D205" s="39" t="s">
        <v>27</v>
      </c>
      <c r="E205" s="39" t="s">
        <v>277</v>
      </c>
      <c r="F205" s="554" t="s">
        <v>134</v>
      </c>
      <c r="G205" s="517"/>
      <c r="H205" s="41"/>
      <c r="I205" s="57"/>
      <c r="J205" s="728">
        <f>H205+I205</f>
        <v>0</v>
      </c>
      <c r="K205" s="729"/>
      <c r="L205" s="43">
        <f>J205+K205</f>
        <v>0</v>
      </c>
      <c r="M205" s="59"/>
      <c r="N205" s="45">
        <f>L205+M205</f>
        <v>0</v>
      </c>
    </row>
    <row r="206" spans="1:16" ht="60" hidden="1">
      <c r="A206" s="176" t="s">
        <v>279</v>
      </c>
      <c r="B206" s="49" t="s">
        <v>271</v>
      </c>
      <c r="C206" s="49" t="s">
        <v>22</v>
      </c>
      <c r="D206" s="39" t="s">
        <v>27</v>
      </c>
      <c r="E206" s="39" t="s">
        <v>280</v>
      </c>
      <c r="F206" s="554"/>
      <c r="G206" s="517"/>
      <c r="H206" s="41"/>
      <c r="I206" s="57"/>
      <c r="J206" s="728">
        <f>J207</f>
        <v>0</v>
      </c>
      <c r="K206" s="42">
        <f>K207</f>
        <v>0</v>
      </c>
      <c r="L206" s="43">
        <f>L207</f>
        <v>0</v>
      </c>
      <c r="M206" s="44">
        <f>M207</f>
        <v>0</v>
      </c>
      <c r="N206" s="45">
        <f>N207</f>
        <v>0</v>
      </c>
    </row>
    <row r="207" spans="1:16" ht="30" hidden="1">
      <c r="A207" s="177" t="s">
        <v>278</v>
      </c>
      <c r="B207" s="49" t="s">
        <v>271</v>
      </c>
      <c r="C207" s="49" t="s">
        <v>22</v>
      </c>
      <c r="D207" s="39" t="s">
        <v>27</v>
      </c>
      <c r="E207" s="39" t="s">
        <v>280</v>
      </c>
      <c r="F207" s="554" t="s">
        <v>134</v>
      </c>
      <c r="G207" s="517"/>
      <c r="H207" s="41"/>
      <c r="I207" s="57"/>
      <c r="J207" s="728"/>
      <c r="K207" s="729"/>
      <c r="L207" s="43">
        <f>J207+K207</f>
        <v>0</v>
      </c>
      <c r="M207" s="59"/>
      <c r="N207" s="45">
        <f>L207+M207</f>
        <v>0</v>
      </c>
    </row>
    <row r="208" spans="1:16" s="179" customFormat="1" ht="57">
      <c r="A208" s="178" t="s">
        <v>281</v>
      </c>
      <c r="B208" s="38" t="s">
        <v>271</v>
      </c>
      <c r="C208" s="38" t="s">
        <v>22</v>
      </c>
      <c r="D208" s="38" t="s">
        <v>31</v>
      </c>
      <c r="E208" s="38"/>
      <c r="F208" s="556"/>
      <c r="G208" s="518">
        <f t="shared" ref="G208:N208" si="58">G209</f>
        <v>412.31000000000006</v>
      </c>
      <c r="H208" s="90">
        <f t="shared" si="58"/>
        <v>2981.6</v>
      </c>
      <c r="I208" s="67">
        <f t="shared" si="58"/>
        <v>0</v>
      </c>
      <c r="J208" s="734">
        <f t="shared" si="58"/>
        <v>3208.3449999999998</v>
      </c>
      <c r="K208" s="91">
        <f t="shared" si="58"/>
        <v>68.960999999999999</v>
      </c>
      <c r="L208" s="92">
        <f t="shared" si="58"/>
        <v>3277.3059999999996</v>
      </c>
      <c r="M208" s="147">
        <f t="shared" si="58"/>
        <v>-205.49600000000001</v>
      </c>
      <c r="N208" s="148">
        <f t="shared" si="58"/>
        <v>3071.8099999999995</v>
      </c>
    </row>
    <row r="209" spans="1:20" ht="75">
      <c r="A209" s="177" t="s">
        <v>282</v>
      </c>
      <c r="B209" s="39" t="s">
        <v>271</v>
      </c>
      <c r="C209" s="39" t="s">
        <v>22</v>
      </c>
      <c r="D209" s="39" t="s">
        <v>31</v>
      </c>
      <c r="E209" s="39" t="s">
        <v>192</v>
      </c>
      <c r="F209" s="554"/>
      <c r="G209" s="291">
        <f t="shared" ref="G209:M209" si="59">G210+G211</f>
        <v>412.31000000000006</v>
      </c>
      <c r="H209" s="62">
        <f t="shared" si="59"/>
        <v>2981.6</v>
      </c>
      <c r="I209" s="61">
        <f t="shared" si="59"/>
        <v>0</v>
      </c>
      <c r="J209" s="728">
        <f t="shared" si="59"/>
        <v>3208.3449999999998</v>
      </c>
      <c r="K209" s="42">
        <f t="shared" si="59"/>
        <v>68.960999999999999</v>
      </c>
      <c r="L209" s="43">
        <f t="shared" si="59"/>
        <v>3277.3059999999996</v>
      </c>
      <c r="M209" s="63">
        <f t="shared" si="59"/>
        <v>-205.49600000000001</v>
      </c>
      <c r="N209" s="64">
        <f>N210+N211</f>
        <v>3071.8099999999995</v>
      </c>
    </row>
    <row r="210" spans="1:20" ht="30" hidden="1">
      <c r="A210" s="177" t="s">
        <v>283</v>
      </c>
      <c r="B210" s="39" t="s">
        <v>271</v>
      </c>
      <c r="C210" s="39" t="s">
        <v>22</v>
      </c>
      <c r="D210" s="39" t="s">
        <v>31</v>
      </c>
      <c r="E210" s="39" t="s">
        <v>194</v>
      </c>
      <c r="F210" s="554" t="s">
        <v>235</v>
      </c>
      <c r="G210" s="291">
        <v>-0.4</v>
      </c>
      <c r="H210" s="41">
        <v>2981.6</v>
      </c>
      <c r="I210" s="61"/>
      <c r="J210" s="728"/>
      <c r="K210" s="42"/>
      <c r="L210" s="43">
        <f>J210+K210</f>
        <v>0</v>
      </c>
      <c r="M210" s="63"/>
      <c r="N210" s="45">
        <f>L210+M210</f>
        <v>0</v>
      </c>
    </row>
    <row r="211" spans="1:20" s="633" customFormat="1" ht="30">
      <c r="A211" s="625" t="s">
        <v>136</v>
      </c>
      <c r="B211" s="626" t="s">
        <v>271</v>
      </c>
      <c r="C211" s="626" t="s">
        <v>22</v>
      </c>
      <c r="D211" s="626" t="s">
        <v>31</v>
      </c>
      <c r="E211" s="626" t="s">
        <v>194</v>
      </c>
      <c r="F211" s="627" t="s">
        <v>134</v>
      </c>
      <c r="G211" s="628">
        <f>50+360+80+3.47-0.01-80-3.47+2.72</f>
        <v>412.71000000000004</v>
      </c>
      <c r="H211" s="629"/>
      <c r="I211" s="630"/>
      <c r="J211" s="746">
        <v>3208.3449999999998</v>
      </c>
      <c r="K211" s="747">
        <f>7.5-3.289+50+16.01-1.26</f>
        <v>68.960999999999999</v>
      </c>
      <c r="L211" s="748">
        <f>J211+K211</f>
        <v>3277.3059999999996</v>
      </c>
      <c r="M211" s="631">
        <f>-205.496</f>
        <v>-205.49600000000001</v>
      </c>
      <c r="N211" s="632">
        <f>L211+M211</f>
        <v>3071.8099999999995</v>
      </c>
      <c r="O211" s="633">
        <v>3092.22</v>
      </c>
      <c r="P211" s="230">
        <f>L211-O211</f>
        <v>185.08599999999979</v>
      </c>
      <c r="R211" s="634" t="s">
        <v>1134</v>
      </c>
      <c r="S211" s="634"/>
      <c r="T211" s="634"/>
    </row>
    <row r="212" spans="1:20" s="179" customFormat="1" ht="28.5" hidden="1">
      <c r="A212" s="178" t="s">
        <v>34</v>
      </c>
      <c r="B212" s="38" t="s">
        <v>271</v>
      </c>
      <c r="C212" s="38" t="s">
        <v>22</v>
      </c>
      <c r="D212" s="38" t="s">
        <v>35</v>
      </c>
      <c r="E212" s="38"/>
      <c r="F212" s="556"/>
      <c r="G212" s="518">
        <f t="shared" ref="G212:N214" si="60">G213</f>
        <v>0</v>
      </c>
      <c r="H212" s="90">
        <f t="shared" si="60"/>
        <v>63</v>
      </c>
      <c r="I212" s="67">
        <f t="shared" si="60"/>
        <v>0</v>
      </c>
      <c r="J212" s="734">
        <f t="shared" si="60"/>
        <v>0</v>
      </c>
      <c r="K212" s="91">
        <f t="shared" si="60"/>
        <v>0</v>
      </c>
      <c r="L212" s="92">
        <f t="shared" si="60"/>
        <v>0</v>
      </c>
      <c r="M212" s="147">
        <f t="shared" si="60"/>
        <v>0</v>
      </c>
      <c r="N212" s="148">
        <f t="shared" si="60"/>
        <v>0</v>
      </c>
    </row>
    <row r="213" spans="1:20" ht="30" hidden="1">
      <c r="A213" s="177" t="s">
        <v>284</v>
      </c>
      <c r="B213" s="39" t="s">
        <v>271</v>
      </c>
      <c r="C213" s="39" t="s">
        <v>22</v>
      </c>
      <c r="D213" s="39" t="s">
        <v>35</v>
      </c>
      <c r="E213" s="39" t="s">
        <v>285</v>
      </c>
      <c r="F213" s="554"/>
      <c r="G213" s="291">
        <f t="shared" si="60"/>
        <v>0</v>
      </c>
      <c r="H213" s="62">
        <f t="shared" si="60"/>
        <v>63</v>
      </c>
      <c r="I213" s="61">
        <f t="shared" si="60"/>
        <v>0</v>
      </c>
      <c r="J213" s="728">
        <f t="shared" si="60"/>
        <v>0</v>
      </c>
      <c r="K213" s="42">
        <f t="shared" si="60"/>
        <v>0</v>
      </c>
      <c r="L213" s="43">
        <f t="shared" si="60"/>
        <v>0</v>
      </c>
      <c r="M213" s="63">
        <f t="shared" si="60"/>
        <v>0</v>
      </c>
      <c r="N213" s="64">
        <f t="shared" si="60"/>
        <v>0</v>
      </c>
    </row>
    <row r="214" spans="1:20" ht="30" hidden="1">
      <c r="A214" s="177" t="s">
        <v>286</v>
      </c>
      <c r="B214" s="39" t="s">
        <v>271</v>
      </c>
      <c r="C214" s="39" t="s">
        <v>22</v>
      </c>
      <c r="D214" s="39" t="s">
        <v>35</v>
      </c>
      <c r="E214" s="39" t="s">
        <v>287</v>
      </c>
      <c r="F214" s="554"/>
      <c r="G214" s="291">
        <f t="shared" si="60"/>
        <v>0</v>
      </c>
      <c r="H214" s="62">
        <f t="shared" si="60"/>
        <v>63</v>
      </c>
      <c r="I214" s="61">
        <f t="shared" si="60"/>
        <v>0</v>
      </c>
      <c r="J214" s="728">
        <f t="shared" si="60"/>
        <v>0</v>
      </c>
      <c r="K214" s="42">
        <f t="shared" si="60"/>
        <v>0</v>
      </c>
      <c r="L214" s="43">
        <f t="shared" si="60"/>
        <v>0</v>
      </c>
      <c r="M214" s="63">
        <f t="shared" si="60"/>
        <v>0</v>
      </c>
      <c r="N214" s="64">
        <f t="shared" si="60"/>
        <v>0</v>
      </c>
    </row>
    <row r="215" spans="1:20" hidden="1">
      <c r="A215" s="177" t="s">
        <v>288</v>
      </c>
      <c r="B215" s="39" t="s">
        <v>271</v>
      </c>
      <c r="C215" s="39" t="s">
        <v>22</v>
      </c>
      <c r="D215" s="39" t="s">
        <v>35</v>
      </c>
      <c r="E215" s="39" t="s">
        <v>287</v>
      </c>
      <c r="F215" s="554" t="s">
        <v>289</v>
      </c>
      <c r="G215" s="291"/>
      <c r="H215" s="41">
        <v>63</v>
      </c>
      <c r="I215" s="61"/>
      <c r="J215" s="728"/>
      <c r="K215" s="42"/>
      <c r="L215" s="43">
        <f>J215+K215</f>
        <v>0</v>
      </c>
      <c r="M215" s="63"/>
      <c r="N215" s="45">
        <f>L215+M215</f>
        <v>0</v>
      </c>
      <c r="O215" s="65"/>
    </row>
    <row r="216" spans="1:20">
      <c r="A216" s="177" t="s">
        <v>36</v>
      </c>
      <c r="B216" s="38" t="s">
        <v>271</v>
      </c>
      <c r="C216" s="38" t="s">
        <v>22</v>
      </c>
      <c r="D216" s="38" t="s">
        <v>35</v>
      </c>
      <c r="E216" s="38"/>
      <c r="F216" s="556"/>
      <c r="G216" s="291"/>
      <c r="H216" s="41"/>
      <c r="I216" s="61"/>
      <c r="J216" s="734">
        <f t="shared" ref="J216:L218" si="61">J217</f>
        <v>662.71600000000001</v>
      </c>
      <c r="K216" s="91">
        <f t="shared" si="61"/>
        <v>-662.71600000000001</v>
      </c>
      <c r="L216" s="92">
        <f t="shared" si="61"/>
        <v>0</v>
      </c>
      <c r="M216" s="63"/>
      <c r="N216" s="45"/>
      <c r="O216" s="65"/>
    </row>
    <row r="217" spans="1:20">
      <c r="A217" s="177" t="s">
        <v>36</v>
      </c>
      <c r="B217" s="39" t="s">
        <v>271</v>
      </c>
      <c r="C217" s="39" t="s">
        <v>22</v>
      </c>
      <c r="D217" s="39" t="s">
        <v>35</v>
      </c>
      <c r="E217" s="39" t="s">
        <v>290</v>
      </c>
      <c r="F217" s="554"/>
      <c r="G217" s="291"/>
      <c r="H217" s="41"/>
      <c r="I217" s="61"/>
      <c r="J217" s="728">
        <f t="shared" si="61"/>
        <v>662.71600000000001</v>
      </c>
      <c r="K217" s="42">
        <f t="shared" si="61"/>
        <v>-662.71600000000001</v>
      </c>
      <c r="L217" s="43">
        <f t="shared" si="61"/>
        <v>0</v>
      </c>
      <c r="M217" s="63"/>
      <c r="N217" s="45"/>
      <c r="O217" s="65"/>
    </row>
    <row r="218" spans="1:20" ht="30">
      <c r="A218" s="177" t="s">
        <v>291</v>
      </c>
      <c r="B218" s="39" t="s">
        <v>271</v>
      </c>
      <c r="C218" s="39" t="s">
        <v>22</v>
      </c>
      <c r="D218" s="39" t="s">
        <v>35</v>
      </c>
      <c r="E218" s="39" t="s">
        <v>292</v>
      </c>
      <c r="F218" s="554"/>
      <c r="G218" s="291"/>
      <c r="H218" s="41"/>
      <c r="I218" s="61"/>
      <c r="J218" s="728">
        <f t="shared" si="61"/>
        <v>662.71600000000001</v>
      </c>
      <c r="K218" s="42">
        <f t="shared" si="61"/>
        <v>-662.71600000000001</v>
      </c>
      <c r="L218" s="43">
        <f t="shared" si="61"/>
        <v>0</v>
      </c>
      <c r="M218" s="63"/>
      <c r="N218" s="45"/>
      <c r="O218" s="65"/>
    </row>
    <row r="219" spans="1:20">
      <c r="A219" s="177" t="s">
        <v>288</v>
      </c>
      <c r="B219" s="39" t="s">
        <v>271</v>
      </c>
      <c r="C219" s="39" t="s">
        <v>22</v>
      </c>
      <c r="D219" s="39" t="s">
        <v>35</v>
      </c>
      <c r="E219" s="39" t="s">
        <v>292</v>
      </c>
      <c r="F219" s="554" t="s">
        <v>289</v>
      </c>
      <c r="G219" s="291"/>
      <c r="H219" s="41"/>
      <c r="I219" s="61"/>
      <c r="J219" s="728">
        <v>662.71600000000001</v>
      </c>
      <c r="K219" s="42">
        <f>-662.716</f>
        <v>-662.71600000000001</v>
      </c>
      <c r="L219" s="43">
        <f>J219+K219</f>
        <v>0</v>
      </c>
      <c r="M219" s="63"/>
      <c r="N219" s="45"/>
      <c r="O219" s="65">
        <v>233</v>
      </c>
      <c r="P219" s="15">
        <f>K219-O219</f>
        <v>-895.71600000000001</v>
      </c>
    </row>
    <row r="220" spans="1:20" s="179" customFormat="1" hidden="1">
      <c r="A220" s="177" t="s">
        <v>36</v>
      </c>
      <c r="B220" s="38" t="s">
        <v>271</v>
      </c>
      <c r="C220" s="38" t="s">
        <v>22</v>
      </c>
      <c r="D220" s="38" t="s">
        <v>37</v>
      </c>
      <c r="E220" s="38"/>
      <c r="F220" s="556"/>
      <c r="G220" s="518">
        <f t="shared" ref="G220:N222" si="62">G221</f>
        <v>-233.58</v>
      </c>
      <c r="H220" s="90">
        <f t="shared" si="62"/>
        <v>0</v>
      </c>
      <c r="I220" s="67">
        <f t="shared" si="62"/>
        <v>0</v>
      </c>
      <c r="J220" s="734">
        <f t="shared" si="62"/>
        <v>0</v>
      </c>
      <c r="K220" s="91">
        <f t="shared" si="62"/>
        <v>0</v>
      </c>
      <c r="L220" s="92">
        <f t="shared" si="62"/>
        <v>0</v>
      </c>
      <c r="M220" s="147">
        <f t="shared" si="62"/>
        <v>-323</v>
      </c>
      <c r="N220" s="148">
        <f t="shared" si="62"/>
        <v>-323</v>
      </c>
    </row>
    <row r="221" spans="1:20" hidden="1">
      <c r="A221" s="177" t="s">
        <v>36</v>
      </c>
      <c r="B221" s="39" t="s">
        <v>271</v>
      </c>
      <c r="C221" s="39" t="s">
        <v>22</v>
      </c>
      <c r="D221" s="39" t="s">
        <v>37</v>
      </c>
      <c r="E221" s="39" t="s">
        <v>290</v>
      </c>
      <c r="F221" s="554"/>
      <c r="G221" s="291">
        <f t="shared" si="62"/>
        <v>-233.58</v>
      </c>
      <c r="H221" s="62">
        <f t="shared" si="62"/>
        <v>0</v>
      </c>
      <c r="I221" s="61">
        <f t="shared" si="62"/>
        <v>0</v>
      </c>
      <c r="J221" s="728">
        <f t="shared" si="62"/>
        <v>0</v>
      </c>
      <c r="K221" s="42">
        <f t="shared" si="62"/>
        <v>0</v>
      </c>
      <c r="L221" s="43">
        <f t="shared" si="62"/>
        <v>0</v>
      </c>
      <c r="M221" s="63">
        <f t="shared" si="62"/>
        <v>-323</v>
      </c>
      <c r="N221" s="64">
        <f t="shared" si="62"/>
        <v>-323</v>
      </c>
    </row>
    <row r="222" spans="1:20" ht="30" hidden="1">
      <c r="A222" s="177" t="s">
        <v>291</v>
      </c>
      <c r="B222" s="39" t="s">
        <v>271</v>
      </c>
      <c r="C222" s="39" t="s">
        <v>22</v>
      </c>
      <c r="D222" s="39" t="s">
        <v>37</v>
      </c>
      <c r="E222" s="39" t="s">
        <v>292</v>
      </c>
      <c r="F222" s="554"/>
      <c r="G222" s="291">
        <f t="shared" si="62"/>
        <v>-233.58</v>
      </c>
      <c r="H222" s="62">
        <f t="shared" si="62"/>
        <v>0</v>
      </c>
      <c r="I222" s="61">
        <f t="shared" si="62"/>
        <v>0</v>
      </c>
      <c r="J222" s="728">
        <f t="shared" si="62"/>
        <v>0</v>
      </c>
      <c r="K222" s="42">
        <f t="shared" si="62"/>
        <v>0</v>
      </c>
      <c r="L222" s="43">
        <f t="shared" si="62"/>
        <v>0</v>
      </c>
      <c r="M222" s="63">
        <f t="shared" si="62"/>
        <v>-323</v>
      </c>
      <c r="N222" s="64">
        <f t="shared" si="62"/>
        <v>-323</v>
      </c>
    </row>
    <row r="223" spans="1:20" hidden="1">
      <c r="A223" s="177" t="s">
        <v>288</v>
      </c>
      <c r="B223" s="180" t="s">
        <v>271</v>
      </c>
      <c r="C223" s="39" t="s">
        <v>22</v>
      </c>
      <c r="D223" s="39" t="s">
        <v>37</v>
      </c>
      <c r="E223" s="39" t="s">
        <v>292</v>
      </c>
      <c r="F223" s="554" t="s">
        <v>289</v>
      </c>
      <c r="G223" s="291">
        <f>-163.58-60-10</f>
        <v>-233.58</v>
      </c>
      <c r="H223" s="41"/>
      <c r="I223" s="61"/>
      <c r="J223" s="728"/>
      <c r="K223" s="42"/>
      <c r="L223" s="43">
        <f>J223+K223</f>
        <v>0</v>
      </c>
      <c r="M223" s="43">
        <f>-323</f>
        <v>-323</v>
      </c>
      <c r="N223" s="83">
        <f>L223+M223</f>
        <v>-323</v>
      </c>
      <c r="O223" s="65"/>
    </row>
    <row r="224" spans="1:20" s="179" customFormat="1" ht="14.25" customHeight="1">
      <c r="A224" s="181" t="s">
        <v>41</v>
      </c>
      <c r="B224" s="182" t="s">
        <v>271</v>
      </c>
      <c r="C224" s="183" t="s">
        <v>23</v>
      </c>
      <c r="D224" s="183" t="s">
        <v>293</v>
      </c>
      <c r="E224" s="183"/>
      <c r="F224" s="564"/>
      <c r="G224" s="531">
        <f t="shared" ref="G224:N226" si="63">G225</f>
        <v>-1000</v>
      </c>
      <c r="H224" s="185">
        <f t="shared" si="63"/>
        <v>1548</v>
      </c>
      <c r="I224" s="184">
        <f t="shared" si="63"/>
        <v>0</v>
      </c>
      <c r="J224" s="52">
        <f t="shared" si="63"/>
        <v>508.5</v>
      </c>
      <c r="K224" s="729">
        <f t="shared" si="63"/>
        <v>33</v>
      </c>
      <c r="L224" s="53">
        <f t="shared" si="63"/>
        <v>541.5</v>
      </c>
      <c r="M224" s="147">
        <f t="shared" si="63"/>
        <v>0</v>
      </c>
      <c r="N224" s="148">
        <f t="shared" si="63"/>
        <v>541.5</v>
      </c>
    </row>
    <row r="225" spans="1:16" ht="26.25" customHeight="1">
      <c r="A225" s="98" t="s">
        <v>294</v>
      </c>
      <c r="B225" s="180" t="s">
        <v>271</v>
      </c>
      <c r="C225" s="39" t="s">
        <v>23</v>
      </c>
      <c r="D225" s="39" t="s">
        <v>25</v>
      </c>
      <c r="E225" s="39"/>
      <c r="F225" s="554"/>
      <c r="G225" s="291">
        <f t="shared" si="63"/>
        <v>-1000</v>
      </c>
      <c r="H225" s="62">
        <f t="shared" si="63"/>
        <v>1548</v>
      </c>
      <c r="I225" s="61">
        <f t="shared" si="63"/>
        <v>0</v>
      </c>
      <c r="J225" s="728">
        <f t="shared" si="63"/>
        <v>508.5</v>
      </c>
      <c r="K225" s="42">
        <f t="shared" si="63"/>
        <v>33</v>
      </c>
      <c r="L225" s="43">
        <f t="shared" si="63"/>
        <v>541.5</v>
      </c>
      <c r="M225" s="63">
        <f t="shared" si="63"/>
        <v>0</v>
      </c>
      <c r="N225" s="64">
        <f t="shared" si="63"/>
        <v>541.5</v>
      </c>
    </row>
    <row r="226" spans="1:16" ht="43.5" customHeight="1">
      <c r="A226" s="98" t="s">
        <v>295</v>
      </c>
      <c r="B226" s="180" t="s">
        <v>271</v>
      </c>
      <c r="C226" s="39" t="s">
        <v>23</v>
      </c>
      <c r="D226" s="39" t="s">
        <v>25</v>
      </c>
      <c r="E226" s="39" t="s">
        <v>296</v>
      </c>
      <c r="F226" s="554"/>
      <c r="G226" s="291">
        <f t="shared" si="63"/>
        <v>-1000</v>
      </c>
      <c r="H226" s="62">
        <f t="shared" si="63"/>
        <v>1548</v>
      </c>
      <c r="I226" s="61">
        <f t="shared" si="63"/>
        <v>0</v>
      </c>
      <c r="J226" s="42">
        <f>J227+J228</f>
        <v>508.5</v>
      </c>
      <c r="K226" s="42">
        <f>K227+K228</f>
        <v>33</v>
      </c>
      <c r="L226" s="42">
        <f>L227+L228</f>
        <v>541.5</v>
      </c>
      <c r="M226" s="45">
        <f>M227+M228</f>
        <v>0</v>
      </c>
      <c r="N226" s="45">
        <f>N227+N228</f>
        <v>541.5</v>
      </c>
    </row>
    <row r="227" spans="1:16" ht="15" customHeight="1">
      <c r="A227" s="186" t="s">
        <v>297</v>
      </c>
      <c r="B227" s="180" t="s">
        <v>271</v>
      </c>
      <c r="C227" s="39" t="s">
        <v>23</v>
      </c>
      <c r="D227" s="39" t="s">
        <v>25</v>
      </c>
      <c r="E227" s="39" t="s">
        <v>296</v>
      </c>
      <c r="F227" s="554" t="s">
        <v>298</v>
      </c>
      <c r="G227" s="291">
        <v>-1000</v>
      </c>
      <c r="H227" s="41">
        <v>1548</v>
      </c>
      <c r="I227" s="61"/>
      <c r="J227" s="728">
        <f>508.2+0.3</f>
        <v>508.5</v>
      </c>
      <c r="K227" s="42">
        <v>33</v>
      </c>
      <c r="L227" s="43">
        <f>J227+K227</f>
        <v>541.5</v>
      </c>
      <c r="M227" s="63"/>
      <c r="N227" s="45">
        <f>L227+M227</f>
        <v>541.5</v>
      </c>
      <c r="O227" s="11">
        <v>470.2</v>
      </c>
      <c r="P227" s="15">
        <f>K227</f>
        <v>33</v>
      </c>
    </row>
    <row r="228" spans="1:16" ht="25.5" hidden="1" customHeight="1">
      <c r="A228" s="187" t="s">
        <v>299</v>
      </c>
      <c r="B228" s="30" t="s">
        <v>271</v>
      </c>
      <c r="C228" s="30" t="s">
        <v>22</v>
      </c>
      <c r="D228" s="30" t="s">
        <v>40</v>
      </c>
      <c r="E228" s="30"/>
      <c r="F228" s="553"/>
      <c r="G228" s="192">
        <f t="shared" ref="G228:N228" si="64">G229</f>
        <v>0</v>
      </c>
      <c r="H228" s="188">
        <f t="shared" si="64"/>
        <v>0</v>
      </c>
      <c r="I228" s="188">
        <f t="shared" si="64"/>
        <v>0</v>
      </c>
      <c r="J228" s="749">
        <f t="shared" si="64"/>
        <v>0</v>
      </c>
      <c r="K228" s="749">
        <f t="shared" si="64"/>
        <v>0</v>
      </c>
      <c r="L228" s="750">
        <f t="shared" si="64"/>
        <v>0</v>
      </c>
      <c r="M228" s="189">
        <f t="shared" si="64"/>
        <v>0</v>
      </c>
      <c r="N228" s="189">
        <f t="shared" si="64"/>
        <v>0</v>
      </c>
    </row>
    <row r="229" spans="1:16" ht="28.5" hidden="1" customHeight="1">
      <c r="A229" s="187" t="s">
        <v>300</v>
      </c>
      <c r="B229" s="30" t="s">
        <v>271</v>
      </c>
      <c r="C229" s="30" t="s">
        <v>22</v>
      </c>
      <c r="D229" s="30" t="s">
        <v>40</v>
      </c>
      <c r="E229" s="30"/>
      <c r="F229" s="553" t="s">
        <v>289</v>
      </c>
      <c r="G229" s="532"/>
      <c r="H229" s="191"/>
      <c r="I229" s="190"/>
      <c r="J229" s="751"/>
      <c r="K229" s="749"/>
      <c r="L229" s="750">
        <f>J229+K229</f>
        <v>0</v>
      </c>
      <c r="M229" s="192"/>
      <c r="N229" s="189">
        <f>L229+M229</f>
        <v>0</v>
      </c>
    </row>
    <row r="230" spans="1:16" ht="43.5">
      <c r="A230" s="193" t="s">
        <v>44</v>
      </c>
      <c r="B230" s="139" t="s">
        <v>271</v>
      </c>
      <c r="C230" s="139" t="s">
        <v>25</v>
      </c>
      <c r="D230" s="30"/>
      <c r="E230" s="30"/>
      <c r="F230" s="553"/>
      <c r="G230" s="530">
        <f t="shared" ref="G230:N230" si="65">G231</f>
        <v>0</v>
      </c>
      <c r="H230" s="170">
        <f t="shared" si="65"/>
        <v>526.1</v>
      </c>
      <c r="I230" s="169">
        <f t="shared" si="65"/>
        <v>0</v>
      </c>
      <c r="J230" s="739">
        <f t="shared" si="65"/>
        <v>700</v>
      </c>
      <c r="K230" s="727">
        <f t="shared" si="65"/>
        <v>0</v>
      </c>
      <c r="L230" s="34">
        <f t="shared" si="65"/>
        <v>700</v>
      </c>
      <c r="M230" s="171">
        <f t="shared" si="65"/>
        <v>0</v>
      </c>
      <c r="N230" s="172">
        <f t="shared" si="65"/>
        <v>700</v>
      </c>
    </row>
    <row r="231" spans="1:16" s="179" customFormat="1" thickBot="1">
      <c r="A231" s="194" t="s">
        <v>46</v>
      </c>
      <c r="B231" s="195" t="s">
        <v>271</v>
      </c>
      <c r="C231" s="195" t="s">
        <v>25</v>
      </c>
      <c r="D231" s="195" t="s">
        <v>23</v>
      </c>
      <c r="E231" s="195"/>
      <c r="F231" s="565"/>
      <c r="G231" s="533">
        <f t="shared" ref="G231:M231" si="66">G232+G234</f>
        <v>0</v>
      </c>
      <c r="H231" s="197">
        <f t="shared" si="66"/>
        <v>526.1</v>
      </c>
      <c r="I231" s="196">
        <f t="shared" si="66"/>
        <v>0</v>
      </c>
      <c r="J231" s="752">
        <f t="shared" si="66"/>
        <v>700</v>
      </c>
      <c r="K231" s="753">
        <f t="shared" si="66"/>
        <v>0</v>
      </c>
      <c r="L231" s="754">
        <f t="shared" si="66"/>
        <v>700</v>
      </c>
      <c r="M231" s="147">
        <f t="shared" si="66"/>
        <v>0</v>
      </c>
      <c r="N231" s="148">
        <f>N232+N234</f>
        <v>700</v>
      </c>
    </row>
    <row r="232" spans="1:16" ht="38.25">
      <c r="A232" s="581" t="s">
        <v>301</v>
      </c>
      <c r="B232" s="30" t="s">
        <v>271</v>
      </c>
      <c r="C232" s="30" t="s">
        <v>25</v>
      </c>
      <c r="D232" s="30" t="s">
        <v>23</v>
      </c>
      <c r="E232" s="30" t="s">
        <v>302</v>
      </c>
      <c r="F232" s="553"/>
      <c r="G232" s="532">
        <f t="shared" ref="G232:N232" si="67">G233</f>
        <v>0</v>
      </c>
      <c r="H232" s="198">
        <f t="shared" si="67"/>
        <v>316.5</v>
      </c>
      <c r="I232" s="190">
        <f t="shared" si="67"/>
        <v>0</v>
      </c>
      <c r="J232" s="751">
        <f t="shared" si="67"/>
        <v>300</v>
      </c>
      <c r="K232" s="749">
        <f t="shared" si="67"/>
        <v>0</v>
      </c>
      <c r="L232" s="750">
        <f t="shared" si="67"/>
        <v>300</v>
      </c>
      <c r="M232" s="63">
        <f t="shared" si="67"/>
        <v>0</v>
      </c>
      <c r="N232" s="64">
        <f t="shared" si="67"/>
        <v>300</v>
      </c>
    </row>
    <row r="233" spans="1:16" ht="30">
      <c r="A233" s="186" t="s">
        <v>136</v>
      </c>
      <c r="B233" s="39" t="s">
        <v>271</v>
      </c>
      <c r="C233" s="39" t="s">
        <v>25</v>
      </c>
      <c r="D233" s="39" t="s">
        <v>23</v>
      </c>
      <c r="E233" s="39" t="s">
        <v>302</v>
      </c>
      <c r="F233" s="554" t="s">
        <v>134</v>
      </c>
      <c r="G233" s="291"/>
      <c r="H233" s="41">
        <v>316.5</v>
      </c>
      <c r="I233" s="61"/>
      <c r="J233" s="728">
        <v>300</v>
      </c>
      <c r="K233" s="42"/>
      <c r="L233" s="43">
        <f>J233+K233</f>
        <v>300</v>
      </c>
      <c r="M233" s="63"/>
      <c r="N233" s="45">
        <f>L233+M233</f>
        <v>300</v>
      </c>
      <c r="O233" s="65"/>
    </row>
    <row r="234" spans="1:16" ht="43.5" customHeight="1">
      <c r="A234" s="199" t="s">
        <v>303</v>
      </c>
      <c r="B234" s="39" t="s">
        <v>271</v>
      </c>
      <c r="C234" s="39" t="s">
        <v>25</v>
      </c>
      <c r="D234" s="39" t="s">
        <v>23</v>
      </c>
      <c r="E234" s="39" t="s">
        <v>304</v>
      </c>
      <c r="F234" s="554"/>
      <c r="G234" s="291">
        <f t="shared" ref="G234:N234" si="68">G235</f>
        <v>0</v>
      </c>
      <c r="H234" s="62">
        <f t="shared" si="68"/>
        <v>209.6</v>
      </c>
      <c r="I234" s="61">
        <f t="shared" si="68"/>
        <v>0</v>
      </c>
      <c r="J234" s="728">
        <f t="shared" si="68"/>
        <v>400</v>
      </c>
      <c r="K234" s="42">
        <f t="shared" si="68"/>
        <v>0</v>
      </c>
      <c r="L234" s="43">
        <f t="shared" si="68"/>
        <v>400</v>
      </c>
      <c r="M234" s="63">
        <f t="shared" si="68"/>
        <v>0</v>
      </c>
      <c r="N234" s="64">
        <f t="shared" si="68"/>
        <v>400</v>
      </c>
    </row>
    <row r="235" spans="1:16" ht="30.75" thickBot="1">
      <c r="A235" s="200" t="s">
        <v>136</v>
      </c>
      <c r="B235" s="201" t="s">
        <v>271</v>
      </c>
      <c r="C235" s="201" t="s">
        <v>25</v>
      </c>
      <c r="D235" s="201" t="s">
        <v>23</v>
      </c>
      <c r="E235" s="201" t="s">
        <v>304</v>
      </c>
      <c r="F235" s="566" t="s">
        <v>134</v>
      </c>
      <c r="G235" s="528"/>
      <c r="H235" s="163">
        <v>209.6</v>
      </c>
      <c r="I235" s="162"/>
      <c r="J235" s="741">
        <f>200+200</f>
        <v>400</v>
      </c>
      <c r="K235" s="742"/>
      <c r="L235" s="743">
        <f>J235+K235</f>
        <v>400</v>
      </c>
      <c r="M235" s="121"/>
      <c r="N235" s="164">
        <f>L235+M235</f>
        <v>400</v>
      </c>
      <c r="O235" s="65"/>
    </row>
    <row r="236" spans="1:16">
      <c r="A236" s="193" t="s">
        <v>49</v>
      </c>
      <c r="B236" s="139" t="s">
        <v>271</v>
      </c>
      <c r="C236" s="139" t="s">
        <v>27</v>
      </c>
      <c r="D236" s="139"/>
      <c r="E236" s="139"/>
      <c r="F236" s="567"/>
      <c r="G236" s="517" t="e">
        <f t="shared" ref="G236:N236" si="69">G237+G241</f>
        <v>#REF!</v>
      </c>
      <c r="H236" s="58" t="e">
        <f t="shared" si="69"/>
        <v>#REF!</v>
      </c>
      <c r="I236" s="57" t="e">
        <f t="shared" si="69"/>
        <v>#REF!</v>
      </c>
      <c r="J236" s="52">
        <f t="shared" si="69"/>
        <v>450</v>
      </c>
      <c r="K236" s="729">
        <f t="shared" si="69"/>
        <v>575.51752999999997</v>
      </c>
      <c r="L236" s="53">
        <f t="shared" si="69"/>
        <v>1025.5175300000001</v>
      </c>
      <c r="M236" s="59" t="e">
        <f t="shared" si="69"/>
        <v>#REF!</v>
      </c>
      <c r="N236" s="60" t="e">
        <f t="shared" si="69"/>
        <v>#REF!</v>
      </c>
    </row>
    <row r="237" spans="1:16" s="179" customFormat="1" ht="17.25" customHeight="1">
      <c r="A237" s="202" t="s">
        <v>51</v>
      </c>
      <c r="B237" s="38" t="s">
        <v>271</v>
      </c>
      <c r="C237" s="38" t="s">
        <v>27</v>
      </c>
      <c r="D237" s="38" t="s">
        <v>22</v>
      </c>
      <c r="E237" s="38"/>
      <c r="F237" s="556"/>
      <c r="G237" s="518" t="e">
        <f>G238</f>
        <v>#REF!</v>
      </c>
      <c r="H237" s="84" t="e">
        <f>H238+#REF!</f>
        <v>#REF!</v>
      </c>
      <c r="I237" s="175" t="e">
        <f>I238+#REF!</f>
        <v>#REF!</v>
      </c>
      <c r="J237" s="734">
        <f>J238</f>
        <v>0</v>
      </c>
      <c r="K237" s="830">
        <f>K238</f>
        <v>542.28953000000001</v>
      </c>
      <c r="L237" s="830">
        <f>L238</f>
        <v>542.28953000000001</v>
      </c>
      <c r="M237" s="108" t="e">
        <f>M238+#REF!</f>
        <v>#REF!</v>
      </c>
      <c r="N237" s="203" t="e">
        <f>N238+#REF!</f>
        <v>#REF!</v>
      </c>
    </row>
    <row r="238" spans="1:16" ht="30">
      <c r="A238" s="204" t="s">
        <v>1207</v>
      </c>
      <c r="B238" s="39" t="s">
        <v>271</v>
      </c>
      <c r="C238" s="39" t="s">
        <v>27</v>
      </c>
      <c r="D238" s="39" t="s">
        <v>22</v>
      </c>
      <c r="E238" s="39" t="s">
        <v>1197</v>
      </c>
      <c r="F238" s="554"/>
      <c r="G238" s="291" t="e">
        <f>#REF!</f>
        <v>#REF!</v>
      </c>
      <c r="H238" s="62" t="e">
        <f>#REF!</f>
        <v>#REF!</v>
      </c>
      <c r="I238" s="61" t="e">
        <f>#REF!</f>
        <v>#REF!</v>
      </c>
      <c r="J238" s="728">
        <f>SUM(J239:J240)</f>
        <v>0</v>
      </c>
      <c r="K238" s="42">
        <f>SUM(K239:K240)</f>
        <v>542.28953000000001</v>
      </c>
      <c r="L238" s="42">
        <f>SUM(L239:L240)</f>
        <v>542.28953000000001</v>
      </c>
      <c r="M238" s="63" t="e">
        <f>#REF!</f>
        <v>#REF!</v>
      </c>
      <c r="N238" s="64" t="e">
        <f>#REF!</f>
        <v>#REF!</v>
      </c>
    </row>
    <row r="239" spans="1:16" ht="30.75" thickBot="1">
      <c r="A239" s="200" t="s">
        <v>136</v>
      </c>
      <c r="B239" s="39" t="s">
        <v>271</v>
      </c>
      <c r="C239" s="39" t="s">
        <v>27</v>
      </c>
      <c r="D239" s="39" t="s">
        <v>22</v>
      </c>
      <c r="E239" s="39" t="s">
        <v>1197</v>
      </c>
      <c r="F239" s="554" t="s">
        <v>335</v>
      </c>
      <c r="G239" s="291"/>
      <c r="H239" s="62"/>
      <c r="I239" s="61"/>
      <c r="J239" s="728"/>
      <c r="K239" s="42">
        <v>94.502669999999995</v>
      </c>
      <c r="L239" s="42">
        <f>J239+K239</f>
        <v>94.502669999999995</v>
      </c>
      <c r="M239" s="63"/>
      <c r="N239" s="64"/>
    </row>
    <row r="240" spans="1:16">
      <c r="A240" s="204" t="s">
        <v>6</v>
      </c>
      <c r="B240" s="39" t="s">
        <v>271</v>
      </c>
      <c r="C240" s="39" t="s">
        <v>27</v>
      </c>
      <c r="D240" s="39" t="s">
        <v>22</v>
      </c>
      <c r="E240" s="39" t="s">
        <v>1197</v>
      </c>
      <c r="F240" s="554" t="s">
        <v>143</v>
      </c>
      <c r="G240" s="291"/>
      <c r="H240" s="62"/>
      <c r="I240" s="61"/>
      <c r="J240" s="728"/>
      <c r="K240" s="42">
        <v>447.78685999999999</v>
      </c>
      <c r="L240" s="42">
        <f>J240+K240</f>
        <v>447.78685999999999</v>
      </c>
      <c r="M240" s="63"/>
      <c r="N240" s="64"/>
    </row>
    <row r="241" spans="1:15" s="179" customFormat="1" ht="24" customHeight="1">
      <c r="A241" s="178" t="s">
        <v>57</v>
      </c>
      <c r="B241" s="38" t="s">
        <v>271</v>
      </c>
      <c r="C241" s="38" t="s">
        <v>27</v>
      </c>
      <c r="D241" s="38" t="s">
        <v>37</v>
      </c>
      <c r="E241" s="38"/>
      <c r="F241" s="556"/>
      <c r="G241" s="518">
        <f>G246</f>
        <v>0</v>
      </c>
      <c r="H241" s="90">
        <f>H246</f>
        <v>235.5</v>
      </c>
      <c r="I241" s="67">
        <f>I246</f>
        <v>0</v>
      </c>
      <c r="J241" s="734">
        <f>J246+J242</f>
        <v>450</v>
      </c>
      <c r="K241" s="830">
        <f>K246+K242</f>
        <v>33.228000000000002</v>
      </c>
      <c r="L241" s="830">
        <f>L246+L242</f>
        <v>483.22800000000001</v>
      </c>
      <c r="M241" s="147">
        <f>M246</f>
        <v>0</v>
      </c>
      <c r="N241" s="148">
        <f>N246</f>
        <v>400</v>
      </c>
    </row>
    <row r="242" spans="1:15" ht="33" customHeight="1">
      <c r="A242" s="722" t="s">
        <v>1208</v>
      </c>
      <c r="B242" s="39" t="s">
        <v>271</v>
      </c>
      <c r="C242" s="39" t="s">
        <v>27</v>
      </c>
      <c r="D242" s="39" t="s">
        <v>37</v>
      </c>
      <c r="E242" s="39" t="s">
        <v>1203</v>
      </c>
      <c r="F242" s="554"/>
      <c r="G242" s="291"/>
      <c r="H242" s="62"/>
      <c r="I242" s="61"/>
      <c r="J242" s="728">
        <f>J243+J244</f>
        <v>50</v>
      </c>
      <c r="K242" s="42">
        <f>K243+K244</f>
        <v>33.228000000000002</v>
      </c>
      <c r="L242" s="42">
        <f>L243+L244</f>
        <v>83.228000000000009</v>
      </c>
      <c r="M242" s="63"/>
      <c r="N242" s="64"/>
    </row>
    <row r="243" spans="1:15" ht="62.25" customHeight="1">
      <c r="A243" s="177" t="s">
        <v>307</v>
      </c>
      <c r="B243" s="39" t="s">
        <v>271</v>
      </c>
      <c r="C243" s="39" t="s">
        <v>27</v>
      </c>
      <c r="D243" s="39" t="s">
        <v>37</v>
      </c>
      <c r="E243" s="39" t="s">
        <v>1204</v>
      </c>
      <c r="F243" s="554" t="s">
        <v>306</v>
      </c>
      <c r="G243" s="291"/>
      <c r="H243" s="62"/>
      <c r="I243" s="61"/>
      <c r="J243" s="728"/>
      <c r="K243" s="42">
        <v>33.228000000000002</v>
      </c>
      <c r="L243" s="43">
        <f>J243+K243</f>
        <v>33.228000000000002</v>
      </c>
      <c r="M243" s="63"/>
      <c r="N243" s="64"/>
    </row>
    <row r="244" spans="1:15" s="179" customFormat="1" ht="26.25">
      <c r="A244" s="722" t="s">
        <v>1208</v>
      </c>
      <c r="B244" s="39" t="s">
        <v>271</v>
      </c>
      <c r="C244" s="39" t="s">
        <v>27</v>
      </c>
      <c r="D244" s="39" t="s">
        <v>37</v>
      </c>
      <c r="E244" s="39" t="s">
        <v>308</v>
      </c>
      <c r="F244" s="554"/>
      <c r="G244" s="518"/>
      <c r="H244" s="90"/>
      <c r="I244" s="67"/>
      <c r="J244" s="728">
        <f>J245</f>
        <v>50</v>
      </c>
      <c r="K244" s="42">
        <f>K245</f>
        <v>0</v>
      </c>
      <c r="L244" s="43">
        <f>L245</f>
        <v>50</v>
      </c>
      <c r="M244" s="147"/>
      <c r="N244" s="148"/>
    </row>
    <row r="245" spans="1:15" s="179" customFormat="1" ht="60">
      <c r="A245" s="98" t="s">
        <v>307</v>
      </c>
      <c r="B245" s="39" t="s">
        <v>271</v>
      </c>
      <c r="C245" s="39" t="s">
        <v>27</v>
      </c>
      <c r="D245" s="39" t="s">
        <v>37</v>
      </c>
      <c r="E245" s="39" t="s">
        <v>308</v>
      </c>
      <c r="F245" s="554" t="s">
        <v>306</v>
      </c>
      <c r="G245" s="518"/>
      <c r="H245" s="90"/>
      <c r="I245" s="67"/>
      <c r="J245" s="728">
        <v>50</v>
      </c>
      <c r="K245" s="42"/>
      <c r="L245" s="43">
        <f>J245+K245</f>
        <v>50</v>
      </c>
      <c r="M245" s="147"/>
      <c r="N245" s="148"/>
      <c r="O245" s="206"/>
    </row>
    <row r="246" spans="1:15" ht="39">
      <c r="A246" s="207" t="s">
        <v>309</v>
      </c>
      <c r="B246" s="208" t="s">
        <v>271</v>
      </c>
      <c r="C246" s="208" t="s">
        <v>27</v>
      </c>
      <c r="D246" s="208" t="s">
        <v>37</v>
      </c>
      <c r="E246" s="208" t="s">
        <v>310</v>
      </c>
      <c r="F246" s="568"/>
      <c r="G246" s="412">
        <f t="shared" ref="G246:N246" si="70">G247</f>
        <v>0</v>
      </c>
      <c r="H246" s="210">
        <f t="shared" si="70"/>
        <v>235.5</v>
      </c>
      <c r="I246" s="209">
        <f t="shared" si="70"/>
        <v>0</v>
      </c>
      <c r="J246" s="728">
        <f t="shared" si="70"/>
        <v>400</v>
      </c>
      <c r="K246" s="42">
        <f t="shared" si="70"/>
        <v>0</v>
      </c>
      <c r="L246" s="43">
        <f t="shared" si="70"/>
        <v>400</v>
      </c>
      <c r="M246" s="63">
        <f t="shared" si="70"/>
        <v>0</v>
      </c>
      <c r="N246" s="64">
        <f t="shared" si="70"/>
        <v>400</v>
      </c>
    </row>
    <row r="247" spans="1:15" ht="30">
      <c r="A247" s="211" t="s">
        <v>136</v>
      </c>
      <c r="B247" s="208" t="s">
        <v>271</v>
      </c>
      <c r="C247" s="208" t="s">
        <v>27</v>
      </c>
      <c r="D247" s="208" t="s">
        <v>37</v>
      </c>
      <c r="E247" s="208" t="s">
        <v>310</v>
      </c>
      <c r="F247" s="568" t="s">
        <v>134</v>
      </c>
      <c r="G247" s="412"/>
      <c r="H247" s="212">
        <v>235.5</v>
      </c>
      <c r="I247" s="209"/>
      <c r="J247" s="728">
        <v>400</v>
      </c>
      <c r="K247" s="42"/>
      <c r="L247" s="43">
        <f>J247+K247</f>
        <v>400</v>
      </c>
      <c r="M247" s="63"/>
      <c r="N247" s="45">
        <f>L247+M247</f>
        <v>400</v>
      </c>
      <c r="O247" s="65">
        <v>400</v>
      </c>
    </row>
    <row r="248" spans="1:15" ht="29.25">
      <c r="A248" s="48" t="s">
        <v>311</v>
      </c>
      <c r="B248" s="213" t="s">
        <v>271</v>
      </c>
      <c r="C248" s="213" t="s">
        <v>29</v>
      </c>
      <c r="D248" s="213"/>
      <c r="E248" s="213"/>
      <c r="F248" s="569"/>
      <c r="G248" s="534"/>
      <c r="H248" s="214">
        <f>H254</f>
        <v>0</v>
      </c>
      <c r="I248" s="215">
        <f>I254</f>
        <v>31353.699999999997</v>
      </c>
      <c r="J248" s="216">
        <f>J254+J249</f>
        <v>506</v>
      </c>
      <c r="K248" s="755">
        <f>K254+K249</f>
        <v>680</v>
      </c>
      <c r="L248" s="756">
        <f>L254+L249</f>
        <v>1186</v>
      </c>
      <c r="M248" s="234">
        <f>M254+M249</f>
        <v>0</v>
      </c>
      <c r="N248" s="216">
        <f>N254+N249</f>
        <v>510</v>
      </c>
    </row>
    <row r="249" spans="1:15">
      <c r="A249" s="174" t="s">
        <v>61</v>
      </c>
      <c r="B249" s="38" t="s">
        <v>271</v>
      </c>
      <c r="C249" s="38" t="s">
        <v>29</v>
      </c>
      <c r="D249" s="38" t="s">
        <v>23</v>
      </c>
      <c r="E249" s="38"/>
      <c r="F249" s="556"/>
      <c r="G249" s="535"/>
      <c r="H249" s="218"/>
      <c r="I249" s="219"/>
      <c r="J249" s="734">
        <f>J252+J250</f>
        <v>306</v>
      </c>
      <c r="K249" s="734">
        <f>K252+K250</f>
        <v>370</v>
      </c>
      <c r="L249" s="734">
        <f>L252+L250</f>
        <v>676</v>
      </c>
      <c r="M249" s="217"/>
      <c r="N249" s="89"/>
    </row>
    <row r="250" spans="1:15" ht="75">
      <c r="A250" s="176" t="s">
        <v>312</v>
      </c>
      <c r="B250" s="208" t="s">
        <v>271</v>
      </c>
      <c r="C250" s="208" t="s">
        <v>29</v>
      </c>
      <c r="D250" s="208" t="s">
        <v>23</v>
      </c>
      <c r="E250" s="208" t="s">
        <v>313</v>
      </c>
      <c r="F250" s="568"/>
      <c r="G250" s="217"/>
      <c r="H250" s="221">
        <f t="shared" ref="H250:N250" si="71">H251</f>
        <v>0</v>
      </c>
      <c r="I250" s="222">
        <f t="shared" si="71"/>
        <v>23145.3</v>
      </c>
      <c r="J250" s="728">
        <f t="shared" si="71"/>
        <v>0</v>
      </c>
      <c r="K250" s="42">
        <f t="shared" si="71"/>
        <v>370</v>
      </c>
      <c r="L250" s="43">
        <f t="shared" si="71"/>
        <v>370</v>
      </c>
      <c r="M250" s="220">
        <f t="shared" si="71"/>
        <v>0</v>
      </c>
      <c r="N250" s="64">
        <f t="shared" si="71"/>
        <v>370</v>
      </c>
    </row>
    <row r="251" spans="1:15">
      <c r="A251" s="176" t="s">
        <v>6</v>
      </c>
      <c r="B251" s="208" t="s">
        <v>271</v>
      </c>
      <c r="C251" s="208" t="s">
        <v>29</v>
      </c>
      <c r="D251" s="208" t="s">
        <v>23</v>
      </c>
      <c r="E251" s="208" t="s">
        <v>313</v>
      </c>
      <c r="F251" s="568" t="s">
        <v>314</v>
      </c>
      <c r="G251" s="217"/>
      <c r="H251" s="221"/>
      <c r="I251" s="222">
        <v>23145.3</v>
      </c>
      <c r="J251" s="728"/>
      <c r="K251" s="42">
        <f>370</f>
        <v>370</v>
      </c>
      <c r="L251" s="43">
        <f>J251+K251</f>
        <v>370</v>
      </c>
      <c r="M251" s="220"/>
      <c r="N251" s="89">
        <f>L251+M251</f>
        <v>370</v>
      </c>
      <c r="O251" s="11">
        <v>350</v>
      </c>
    </row>
    <row r="252" spans="1:15" ht="45">
      <c r="A252" s="186" t="s">
        <v>1038</v>
      </c>
      <c r="B252" s="39" t="s">
        <v>271</v>
      </c>
      <c r="C252" s="39" t="s">
        <v>29</v>
      </c>
      <c r="D252" s="39" t="s">
        <v>23</v>
      </c>
      <c r="E252" s="39" t="s">
        <v>1034</v>
      </c>
      <c r="F252" s="554"/>
      <c r="G252" s="536"/>
      <c r="H252" s="302"/>
      <c r="I252" s="303"/>
      <c r="J252" s="728">
        <f>J253</f>
        <v>306</v>
      </c>
      <c r="K252" s="42">
        <f>K253</f>
        <v>0</v>
      </c>
      <c r="L252" s="43">
        <f>L253</f>
        <v>306</v>
      </c>
      <c r="M252" s="217"/>
      <c r="N252" s="89"/>
    </row>
    <row r="253" spans="1:15">
      <c r="A253" s="176" t="s">
        <v>6</v>
      </c>
      <c r="B253" s="39" t="s">
        <v>271</v>
      </c>
      <c r="C253" s="39" t="s">
        <v>29</v>
      </c>
      <c r="D253" s="39" t="s">
        <v>23</v>
      </c>
      <c r="E253" s="39" t="s">
        <v>1034</v>
      </c>
      <c r="F253" s="554" t="s">
        <v>335</v>
      </c>
      <c r="G253" s="536"/>
      <c r="H253" s="302"/>
      <c r="I253" s="303"/>
      <c r="J253" s="728">
        <v>306</v>
      </c>
      <c r="K253" s="42"/>
      <c r="L253" s="43">
        <f>J253+K253</f>
        <v>306</v>
      </c>
      <c r="M253" s="217"/>
      <c r="N253" s="89"/>
    </row>
    <row r="254" spans="1:15">
      <c r="A254" s="37" t="s">
        <v>62</v>
      </c>
      <c r="B254" s="38" t="s">
        <v>271</v>
      </c>
      <c r="C254" s="38" t="s">
        <v>29</v>
      </c>
      <c r="D254" s="38" t="s">
        <v>25</v>
      </c>
      <c r="E254" s="38"/>
      <c r="F254" s="556"/>
      <c r="G254" s="535"/>
      <c r="H254" s="218">
        <f>H255+H257</f>
        <v>0</v>
      </c>
      <c r="I254" s="219">
        <f>I255+I257</f>
        <v>31353.699999999997</v>
      </c>
      <c r="J254" s="734">
        <f>J255+J257</f>
        <v>200</v>
      </c>
      <c r="K254" s="91">
        <f>K257+K255</f>
        <v>310</v>
      </c>
      <c r="L254" s="92">
        <f>L257+L255</f>
        <v>510</v>
      </c>
      <c r="M254" s="220">
        <f>M257+M255</f>
        <v>0</v>
      </c>
      <c r="N254" s="64">
        <f>N257+N255</f>
        <v>510</v>
      </c>
    </row>
    <row r="255" spans="1:15" ht="75">
      <c r="A255" s="176" t="s">
        <v>312</v>
      </c>
      <c r="B255" s="208" t="s">
        <v>271</v>
      </c>
      <c r="C255" s="208" t="s">
        <v>29</v>
      </c>
      <c r="D255" s="208" t="s">
        <v>25</v>
      </c>
      <c r="E255" s="208" t="s">
        <v>313</v>
      </c>
      <c r="F255" s="568"/>
      <c r="G255" s="217"/>
      <c r="H255" s="221">
        <f t="shared" ref="H255:N255" si="72">H256</f>
        <v>0</v>
      </c>
      <c r="I255" s="222">
        <f t="shared" si="72"/>
        <v>23145.3</v>
      </c>
      <c r="J255" s="728">
        <f t="shared" si="72"/>
        <v>200</v>
      </c>
      <c r="K255" s="42">
        <f t="shared" si="72"/>
        <v>310</v>
      </c>
      <c r="L255" s="43">
        <f t="shared" si="72"/>
        <v>510</v>
      </c>
      <c r="M255" s="220">
        <f t="shared" si="72"/>
        <v>0</v>
      </c>
      <c r="N255" s="64">
        <f t="shared" si="72"/>
        <v>510</v>
      </c>
    </row>
    <row r="256" spans="1:15">
      <c r="A256" s="176" t="s">
        <v>6</v>
      </c>
      <c r="B256" s="208" t="s">
        <v>271</v>
      </c>
      <c r="C256" s="208" t="s">
        <v>29</v>
      </c>
      <c r="D256" s="208" t="s">
        <v>25</v>
      </c>
      <c r="E256" s="208" t="s">
        <v>313</v>
      </c>
      <c r="F256" s="568" t="s">
        <v>314</v>
      </c>
      <c r="G256" s="217"/>
      <c r="H256" s="221"/>
      <c r="I256" s="222">
        <v>23145.3</v>
      </c>
      <c r="J256" s="728">
        <f>200</f>
        <v>200</v>
      </c>
      <c r="K256" s="42">
        <f>200+60+200-200+50</f>
        <v>310</v>
      </c>
      <c r="L256" s="43">
        <f>J256+K256</f>
        <v>510</v>
      </c>
      <c r="M256" s="220"/>
      <c r="N256" s="89">
        <f>L256+M256</f>
        <v>510</v>
      </c>
      <c r="O256" s="11">
        <v>350</v>
      </c>
    </row>
    <row r="257" spans="1:18" ht="72.75" hidden="1" customHeight="1">
      <c r="A257" s="223" t="s">
        <v>315</v>
      </c>
      <c r="B257" s="224" t="s">
        <v>271</v>
      </c>
      <c r="C257" s="225" t="s">
        <v>29</v>
      </c>
      <c r="D257" s="225" t="s">
        <v>22</v>
      </c>
      <c r="E257" s="225" t="s">
        <v>316</v>
      </c>
      <c r="F257" s="570"/>
      <c r="G257" s="537"/>
      <c r="H257" s="226">
        <f t="shared" ref="H257:N257" si="73">H258</f>
        <v>0</v>
      </c>
      <c r="I257" s="227">
        <f t="shared" si="73"/>
        <v>8208.4</v>
      </c>
      <c r="J257" s="757">
        <f t="shared" si="73"/>
        <v>0</v>
      </c>
      <c r="K257" s="758">
        <f t="shared" si="73"/>
        <v>0</v>
      </c>
      <c r="L257" s="759">
        <f t="shared" si="73"/>
        <v>0</v>
      </c>
      <c r="M257" s="63">
        <f t="shared" si="73"/>
        <v>0</v>
      </c>
      <c r="N257" s="64">
        <f t="shared" si="73"/>
        <v>0</v>
      </c>
    </row>
    <row r="258" spans="1:18" ht="15.75" hidden="1" customHeight="1">
      <c r="A258" s="223" t="s">
        <v>317</v>
      </c>
      <c r="B258" s="224" t="s">
        <v>271</v>
      </c>
      <c r="C258" s="225" t="s">
        <v>29</v>
      </c>
      <c r="D258" s="225" t="s">
        <v>22</v>
      </c>
      <c r="E258" s="225" t="s">
        <v>318</v>
      </c>
      <c r="F258" s="570" t="s">
        <v>306</v>
      </c>
      <c r="G258" s="537"/>
      <c r="H258" s="226"/>
      <c r="I258" s="227">
        <v>8208.4</v>
      </c>
      <c r="J258" s="757"/>
      <c r="K258" s="758"/>
      <c r="L258" s="759">
        <f>J258+K258</f>
        <v>0</v>
      </c>
      <c r="M258" s="43"/>
      <c r="N258" s="89">
        <f>L258+M258</f>
        <v>0</v>
      </c>
    </row>
    <row r="259" spans="1:18">
      <c r="A259" s="228" t="s">
        <v>64</v>
      </c>
      <c r="B259" s="49" t="s">
        <v>271</v>
      </c>
      <c r="C259" s="49" t="s">
        <v>33</v>
      </c>
      <c r="D259" s="49"/>
      <c r="E259" s="49"/>
      <c r="F259" s="562"/>
      <c r="G259" s="517">
        <f t="shared" ref="G259:N262" si="74">G260</f>
        <v>-54.4</v>
      </c>
      <c r="H259" s="58">
        <f t="shared" si="74"/>
        <v>44.5</v>
      </c>
      <c r="I259" s="57">
        <f t="shared" si="74"/>
        <v>0</v>
      </c>
      <c r="J259" s="52">
        <f t="shared" si="74"/>
        <v>157.19999999999999</v>
      </c>
      <c r="K259" s="729">
        <f t="shared" si="74"/>
        <v>0</v>
      </c>
      <c r="L259" s="53">
        <f t="shared" si="74"/>
        <v>157.19999999999999</v>
      </c>
      <c r="M259" s="59">
        <f t="shared" si="74"/>
        <v>0</v>
      </c>
      <c r="N259" s="60">
        <f t="shared" si="74"/>
        <v>26830.559999999998</v>
      </c>
    </row>
    <row r="260" spans="1:18" s="179" customFormat="1" ht="28.5">
      <c r="A260" s="178" t="s">
        <v>319</v>
      </c>
      <c r="B260" s="38" t="s">
        <v>271</v>
      </c>
      <c r="C260" s="38" t="s">
        <v>33</v>
      </c>
      <c r="D260" s="38" t="s">
        <v>29</v>
      </c>
      <c r="E260" s="38"/>
      <c r="F260" s="556"/>
      <c r="G260" s="538">
        <f>G261+G276</f>
        <v>-54.4</v>
      </c>
      <c r="H260" s="84">
        <f>H261+H276</f>
        <v>44.5</v>
      </c>
      <c r="I260" s="175">
        <f>I261+I276</f>
        <v>0</v>
      </c>
      <c r="J260" s="91">
        <f>J261+J264</f>
        <v>157.19999999999999</v>
      </c>
      <c r="K260" s="91">
        <f>K261+K264</f>
        <v>0</v>
      </c>
      <c r="L260" s="91">
        <f>L261+L264</f>
        <v>157.19999999999999</v>
      </c>
      <c r="M260" s="108">
        <f>M261+M276</f>
        <v>0</v>
      </c>
      <c r="N260" s="203">
        <f>N261+N276</f>
        <v>26830.559999999998</v>
      </c>
    </row>
    <row r="261" spans="1:18" ht="30">
      <c r="A261" s="177" t="s">
        <v>129</v>
      </c>
      <c r="B261" s="39" t="s">
        <v>271</v>
      </c>
      <c r="C261" s="39" t="s">
        <v>33</v>
      </c>
      <c r="D261" s="39" t="s">
        <v>29</v>
      </c>
      <c r="E261" s="39" t="s">
        <v>130</v>
      </c>
      <c r="F261" s="554"/>
      <c r="G261" s="291">
        <f t="shared" si="74"/>
        <v>-54.4</v>
      </c>
      <c r="H261" s="62">
        <f t="shared" si="74"/>
        <v>44.5</v>
      </c>
      <c r="I261" s="61">
        <f t="shared" si="74"/>
        <v>0</v>
      </c>
      <c r="J261" s="728">
        <f t="shared" si="74"/>
        <v>41.6</v>
      </c>
      <c r="K261" s="42">
        <f t="shared" si="74"/>
        <v>0</v>
      </c>
      <c r="L261" s="43">
        <f t="shared" si="74"/>
        <v>41.6</v>
      </c>
      <c r="M261" s="63">
        <f t="shared" si="74"/>
        <v>0</v>
      </c>
      <c r="N261" s="64">
        <f t="shared" si="74"/>
        <v>41.6</v>
      </c>
    </row>
    <row r="262" spans="1:18" ht="30">
      <c r="A262" s="229" t="s">
        <v>146</v>
      </c>
      <c r="B262" s="39" t="s">
        <v>271</v>
      </c>
      <c r="C262" s="39" t="s">
        <v>33</v>
      </c>
      <c r="D262" s="39" t="s">
        <v>29</v>
      </c>
      <c r="E262" s="39" t="s">
        <v>132</v>
      </c>
      <c r="F262" s="554"/>
      <c r="G262" s="291">
        <f t="shared" si="74"/>
        <v>-54.4</v>
      </c>
      <c r="H262" s="62">
        <f t="shared" si="74"/>
        <v>44.5</v>
      </c>
      <c r="I262" s="61">
        <f t="shared" si="74"/>
        <v>0</v>
      </c>
      <c r="J262" s="728">
        <f t="shared" si="74"/>
        <v>41.6</v>
      </c>
      <c r="K262" s="42">
        <f t="shared" si="74"/>
        <v>0</v>
      </c>
      <c r="L262" s="43">
        <f t="shared" si="74"/>
        <v>41.6</v>
      </c>
      <c r="M262" s="63">
        <f t="shared" si="74"/>
        <v>0</v>
      </c>
      <c r="N262" s="64">
        <f t="shared" si="74"/>
        <v>41.6</v>
      </c>
    </row>
    <row r="263" spans="1:18" ht="30">
      <c r="A263" s="177" t="s">
        <v>142</v>
      </c>
      <c r="B263" s="39" t="s">
        <v>271</v>
      </c>
      <c r="C263" s="39" t="s">
        <v>33</v>
      </c>
      <c r="D263" s="39" t="s">
        <v>29</v>
      </c>
      <c r="E263" s="39" t="s">
        <v>132</v>
      </c>
      <c r="F263" s="554" t="s">
        <v>134</v>
      </c>
      <c r="G263" s="291">
        <f>-54.4</f>
        <v>-54.4</v>
      </c>
      <c r="H263" s="41">
        <v>44.5</v>
      </c>
      <c r="I263" s="61"/>
      <c r="J263" s="728">
        <v>41.6</v>
      </c>
      <c r="K263" s="42"/>
      <c r="L263" s="43">
        <f>J263+K263</f>
        <v>41.6</v>
      </c>
      <c r="M263" s="63"/>
      <c r="N263" s="45">
        <f>L263+M263</f>
        <v>41.6</v>
      </c>
      <c r="O263" s="85">
        <v>41.6</v>
      </c>
      <c r="P263" s="230">
        <f>L263-O263</f>
        <v>0</v>
      </c>
      <c r="R263" s="11" t="s">
        <v>320</v>
      </c>
    </row>
    <row r="264" spans="1:18" ht="27" customHeight="1">
      <c r="A264" s="176" t="s">
        <v>312</v>
      </c>
      <c r="B264" s="39" t="s">
        <v>271</v>
      </c>
      <c r="C264" s="39" t="s">
        <v>33</v>
      </c>
      <c r="D264" s="39" t="s">
        <v>29</v>
      </c>
      <c r="E264" s="39" t="s">
        <v>313</v>
      </c>
      <c r="F264" s="554"/>
      <c r="G264" s="291">
        <f t="shared" ref="G264:N264" si="75">G265</f>
        <v>0</v>
      </c>
      <c r="H264" s="62">
        <f t="shared" si="75"/>
        <v>3469.8</v>
      </c>
      <c r="I264" s="61">
        <f t="shared" si="75"/>
        <v>0</v>
      </c>
      <c r="J264" s="728">
        <f t="shared" si="75"/>
        <v>115.6</v>
      </c>
      <c r="K264" s="42">
        <f t="shared" si="75"/>
        <v>0</v>
      </c>
      <c r="L264" s="43">
        <f t="shared" si="75"/>
        <v>115.6</v>
      </c>
      <c r="M264" s="63">
        <f t="shared" si="75"/>
        <v>0</v>
      </c>
      <c r="N264" s="64">
        <f t="shared" si="75"/>
        <v>115.6</v>
      </c>
    </row>
    <row r="265" spans="1:18">
      <c r="A265" s="176" t="s">
        <v>6</v>
      </c>
      <c r="B265" s="39" t="s">
        <v>271</v>
      </c>
      <c r="C265" s="39" t="s">
        <v>33</v>
      </c>
      <c r="D265" s="39" t="s">
        <v>29</v>
      </c>
      <c r="E265" s="39" t="s">
        <v>313</v>
      </c>
      <c r="F265" s="554" t="s">
        <v>314</v>
      </c>
      <c r="G265" s="291"/>
      <c r="H265" s="41">
        <v>3469.8</v>
      </c>
      <c r="I265" s="61"/>
      <c r="J265" s="728">
        <f>115.6</f>
        <v>115.6</v>
      </c>
      <c r="K265" s="42"/>
      <c r="L265" s="43">
        <f>J265+K265</f>
        <v>115.6</v>
      </c>
      <c r="M265" s="63"/>
      <c r="N265" s="45">
        <f>L265+M265</f>
        <v>115.6</v>
      </c>
    </row>
    <row r="266" spans="1:18">
      <c r="A266" s="231" t="s">
        <v>321</v>
      </c>
      <c r="B266" s="213" t="s">
        <v>271</v>
      </c>
      <c r="C266" s="213" t="s">
        <v>54</v>
      </c>
      <c r="D266" s="213"/>
      <c r="E266" s="213"/>
      <c r="F266" s="569"/>
      <c r="G266" s="539"/>
      <c r="H266" s="233"/>
      <c r="I266" s="232"/>
      <c r="J266" s="216">
        <f t="shared" ref="J266:L268" si="76">J267</f>
        <v>476.38</v>
      </c>
      <c r="K266" s="755">
        <f t="shared" si="76"/>
        <v>0</v>
      </c>
      <c r="L266" s="756">
        <f t="shared" si="76"/>
        <v>476.38</v>
      </c>
      <c r="M266" s="63"/>
      <c r="N266" s="45"/>
      <c r="O266" s="85"/>
      <c r="P266" s="66"/>
    </row>
    <row r="267" spans="1:18">
      <c r="A267" s="174" t="s">
        <v>73</v>
      </c>
      <c r="B267" s="38" t="s">
        <v>271</v>
      </c>
      <c r="C267" s="38" t="s">
        <v>54</v>
      </c>
      <c r="D267" s="38" t="s">
        <v>22</v>
      </c>
      <c r="E267" s="38"/>
      <c r="F267" s="556"/>
      <c r="G267" s="518"/>
      <c r="H267" s="84"/>
      <c r="I267" s="67"/>
      <c r="J267" s="734">
        <f>J268+J270+J272</f>
        <v>476.38</v>
      </c>
      <c r="K267" s="91">
        <f>K268+K270+K272</f>
        <v>0</v>
      </c>
      <c r="L267" s="92">
        <f>L268+L270+L272</f>
        <v>476.38</v>
      </c>
      <c r="M267" s="63"/>
      <c r="N267" s="45"/>
      <c r="O267" s="85"/>
      <c r="P267" s="66"/>
    </row>
    <row r="268" spans="1:18" ht="75">
      <c r="A268" s="176" t="s">
        <v>312</v>
      </c>
      <c r="B268" s="39" t="s">
        <v>271</v>
      </c>
      <c r="C268" s="39" t="s">
        <v>54</v>
      </c>
      <c r="D268" s="39" t="s">
        <v>22</v>
      </c>
      <c r="E268" s="39" t="s">
        <v>313</v>
      </c>
      <c r="F268" s="554"/>
      <c r="G268" s="291"/>
      <c r="H268" s="41"/>
      <c r="I268" s="61"/>
      <c r="J268" s="728">
        <f t="shared" si="76"/>
        <v>476.38</v>
      </c>
      <c r="K268" s="42">
        <f t="shared" si="76"/>
        <v>0</v>
      </c>
      <c r="L268" s="43">
        <f t="shared" si="76"/>
        <v>476.38</v>
      </c>
      <c r="M268" s="63"/>
      <c r="N268" s="45"/>
      <c r="O268" s="85">
        <v>5201500</v>
      </c>
      <c r="P268" s="66"/>
    </row>
    <row r="269" spans="1:18">
      <c r="A269" s="176" t="s">
        <v>6</v>
      </c>
      <c r="B269" s="39" t="s">
        <v>271</v>
      </c>
      <c r="C269" s="39" t="s">
        <v>54</v>
      </c>
      <c r="D269" s="39" t="s">
        <v>22</v>
      </c>
      <c r="E269" s="39" t="s">
        <v>313</v>
      </c>
      <c r="F269" s="554" t="s">
        <v>314</v>
      </c>
      <c r="G269" s="291"/>
      <c r="H269" s="41"/>
      <c r="I269" s="61"/>
      <c r="J269" s="728">
        <f>476.38</f>
        <v>476.38</v>
      </c>
      <c r="K269" s="42"/>
      <c r="L269" s="43">
        <f>J269+K269</f>
        <v>476.38</v>
      </c>
      <c r="M269" s="63"/>
      <c r="N269" s="45"/>
      <c r="O269" s="85"/>
      <c r="P269" s="66"/>
    </row>
    <row r="270" spans="1:18" ht="30" hidden="1">
      <c r="A270" s="235" t="s">
        <v>146</v>
      </c>
      <c r="B270" s="69" t="s">
        <v>271</v>
      </c>
      <c r="C270" s="69" t="s">
        <v>54</v>
      </c>
      <c r="D270" s="69" t="s">
        <v>22</v>
      </c>
      <c r="E270" s="69" t="s">
        <v>322</v>
      </c>
      <c r="F270" s="555"/>
      <c r="G270" s="291"/>
      <c r="H270" s="41"/>
      <c r="I270" s="61"/>
      <c r="J270" s="728">
        <f>J271</f>
        <v>0</v>
      </c>
      <c r="K270" s="42">
        <f>K271</f>
        <v>0</v>
      </c>
      <c r="L270" s="43">
        <f>L271</f>
        <v>0</v>
      </c>
      <c r="M270" s="63"/>
      <c r="N270" s="45"/>
      <c r="O270" s="85"/>
      <c r="P270" s="66">
        <f>K269+K271+K273-150</f>
        <v>-150</v>
      </c>
    </row>
    <row r="271" spans="1:18" ht="30" hidden="1">
      <c r="A271" s="235" t="s">
        <v>142</v>
      </c>
      <c r="B271" s="69" t="s">
        <v>271</v>
      </c>
      <c r="C271" s="69" t="s">
        <v>54</v>
      </c>
      <c r="D271" s="69" t="s">
        <v>22</v>
      </c>
      <c r="E271" s="69" t="s">
        <v>322</v>
      </c>
      <c r="F271" s="555" t="s">
        <v>314</v>
      </c>
      <c r="G271" s="291"/>
      <c r="H271" s="41"/>
      <c r="I271" s="61"/>
      <c r="J271" s="728"/>
      <c r="K271" s="42"/>
      <c r="L271" s="43">
        <f>J271+K271</f>
        <v>0</v>
      </c>
      <c r="M271" s="63"/>
      <c r="N271" s="45"/>
      <c r="O271" s="85"/>
      <c r="P271" s="66"/>
    </row>
    <row r="272" spans="1:18" ht="30" hidden="1">
      <c r="A272" s="235" t="s">
        <v>146</v>
      </c>
      <c r="B272" s="69" t="s">
        <v>271</v>
      </c>
      <c r="C272" s="69" t="s">
        <v>54</v>
      </c>
      <c r="D272" s="69" t="s">
        <v>22</v>
      </c>
      <c r="E272" s="69" t="s">
        <v>323</v>
      </c>
      <c r="F272" s="555"/>
      <c r="G272" s="291"/>
      <c r="H272" s="41"/>
      <c r="I272" s="61"/>
      <c r="J272" s="728">
        <f>J273</f>
        <v>0</v>
      </c>
      <c r="K272" s="42">
        <f>K273</f>
        <v>0</v>
      </c>
      <c r="L272" s="43">
        <f>L273</f>
        <v>0</v>
      </c>
      <c r="M272" s="63"/>
      <c r="N272" s="45"/>
      <c r="O272" s="85"/>
      <c r="P272" s="66"/>
    </row>
    <row r="273" spans="1:16" ht="30" hidden="1">
      <c r="A273" s="235" t="s">
        <v>142</v>
      </c>
      <c r="B273" s="69" t="s">
        <v>271</v>
      </c>
      <c r="C273" s="69" t="s">
        <v>54</v>
      </c>
      <c r="D273" s="69" t="s">
        <v>22</v>
      </c>
      <c r="E273" s="69" t="s">
        <v>323</v>
      </c>
      <c r="F273" s="555" t="s">
        <v>314</v>
      </c>
      <c r="G273" s="291"/>
      <c r="H273" s="41"/>
      <c r="I273" s="61"/>
      <c r="J273" s="728"/>
      <c r="K273" s="42"/>
      <c r="L273" s="43">
        <f>J273+K273</f>
        <v>0</v>
      </c>
      <c r="M273" s="63"/>
      <c r="N273" s="45"/>
      <c r="O273" s="85"/>
      <c r="P273" s="66">
        <f>K269+K271+K273-150</f>
        <v>-150</v>
      </c>
    </row>
    <row r="274" spans="1:16">
      <c r="A274" s="48" t="s">
        <v>137</v>
      </c>
      <c r="B274" s="49" t="s">
        <v>271</v>
      </c>
      <c r="C274" s="49" t="s">
        <v>48</v>
      </c>
      <c r="D274" s="39"/>
      <c r="E274" s="39"/>
      <c r="F274" s="554"/>
      <c r="G274" s="515" t="e">
        <f>G275+G292+G333+G316</f>
        <v>#REF!</v>
      </c>
      <c r="H274" s="41">
        <f>H275+H292+H333+H316</f>
        <v>40695.800000000003</v>
      </c>
      <c r="I274" s="40">
        <f>I275+I292+I333+I316</f>
        <v>0</v>
      </c>
      <c r="J274" s="728">
        <f t="shared" ref="J274:L276" si="77">J275</f>
        <v>26774.522000000001</v>
      </c>
      <c r="K274" s="42">
        <f t="shared" si="77"/>
        <v>14.437999999999988</v>
      </c>
      <c r="L274" s="43">
        <f t="shared" si="77"/>
        <v>26788.959999999999</v>
      </c>
      <c r="M274" s="63"/>
      <c r="N274" s="45"/>
      <c r="O274" s="85"/>
    </row>
    <row r="275" spans="1:16" ht="29.25">
      <c r="A275" s="37" t="s">
        <v>79</v>
      </c>
      <c r="B275" s="38" t="s">
        <v>271</v>
      </c>
      <c r="C275" s="38" t="s">
        <v>48</v>
      </c>
      <c r="D275" s="38" t="s">
        <v>22</v>
      </c>
      <c r="E275" s="39"/>
      <c r="F275" s="554"/>
      <c r="G275" s="516">
        <f>G279+G283+G276</f>
        <v>528</v>
      </c>
      <c r="H275" s="51">
        <f>H279+H283+H276</f>
        <v>38359.800000000003</v>
      </c>
      <c r="I275" s="50">
        <f>I279+I283+I276</f>
        <v>0</v>
      </c>
      <c r="J275" s="52">
        <f t="shared" si="77"/>
        <v>26774.522000000001</v>
      </c>
      <c r="K275" s="729">
        <f t="shared" si="77"/>
        <v>14.437999999999988</v>
      </c>
      <c r="L275" s="53">
        <f t="shared" si="77"/>
        <v>26788.959999999999</v>
      </c>
      <c r="M275" s="63"/>
      <c r="N275" s="45"/>
      <c r="O275" s="85"/>
    </row>
    <row r="276" spans="1:16" ht="58.5" customHeight="1">
      <c r="A276" s="236" t="s">
        <v>158</v>
      </c>
      <c r="B276" s="39" t="s">
        <v>271</v>
      </c>
      <c r="C276" s="39" t="s">
        <v>48</v>
      </c>
      <c r="D276" s="39" t="s">
        <v>22</v>
      </c>
      <c r="E276" s="39" t="s">
        <v>159</v>
      </c>
      <c r="F276" s="554"/>
      <c r="G276" s="291"/>
      <c r="H276" s="41"/>
      <c r="I276" s="61"/>
      <c r="J276" s="728">
        <f t="shared" si="77"/>
        <v>26774.522000000001</v>
      </c>
      <c r="K276" s="42">
        <f t="shared" si="77"/>
        <v>14.437999999999988</v>
      </c>
      <c r="L276" s="43">
        <f t="shared" si="77"/>
        <v>26788.959999999999</v>
      </c>
      <c r="M276" s="44">
        <f>M277</f>
        <v>0</v>
      </c>
      <c r="N276" s="45">
        <f>N277</f>
        <v>26788.959999999999</v>
      </c>
    </row>
    <row r="277" spans="1:16" ht="45.75" customHeight="1">
      <c r="A277" s="236" t="s">
        <v>160</v>
      </c>
      <c r="B277" s="39" t="s">
        <v>271</v>
      </c>
      <c r="C277" s="39" t="s">
        <v>48</v>
      </c>
      <c r="D277" s="39" t="s">
        <v>22</v>
      </c>
      <c r="E277" s="39" t="s">
        <v>159</v>
      </c>
      <c r="F277" s="554" t="s">
        <v>161</v>
      </c>
      <c r="G277" s="291"/>
      <c r="H277" s="41"/>
      <c r="I277" s="61"/>
      <c r="J277" s="728">
        <v>26774.522000000001</v>
      </c>
      <c r="K277" s="42">
        <f>415.95-401.512</f>
        <v>14.437999999999988</v>
      </c>
      <c r="L277" s="43">
        <f>J277+K277</f>
        <v>26788.959999999999</v>
      </c>
      <c r="M277" s="44"/>
      <c r="N277" s="45">
        <f>L277+M277</f>
        <v>26788.959999999999</v>
      </c>
    </row>
    <row r="278" spans="1:16">
      <c r="A278" s="48" t="s">
        <v>83</v>
      </c>
      <c r="B278" s="49" t="s">
        <v>271</v>
      </c>
      <c r="C278" s="49" t="s">
        <v>35</v>
      </c>
      <c r="D278" s="49"/>
      <c r="E278" s="49"/>
      <c r="F278" s="562"/>
      <c r="G278" s="517" t="e">
        <f>G279+G284+G292+G297</f>
        <v>#REF!</v>
      </c>
      <c r="H278" s="58" t="e">
        <f>H279+H284+H292+H297</f>
        <v>#REF!</v>
      </c>
      <c r="I278" s="57" t="e">
        <f>I279+I284+I292+I297</f>
        <v>#REF!</v>
      </c>
      <c r="J278" s="52">
        <f>J279+J284+J292</f>
        <v>0</v>
      </c>
      <c r="K278" s="729">
        <f>K279+K284+K292</f>
        <v>68.444000000000017</v>
      </c>
      <c r="L278" s="53">
        <f>L279+L284+L292</f>
        <v>68.444000000000017</v>
      </c>
      <c r="M278" s="59" t="e">
        <f>M279+M284+M292+M297</f>
        <v>#REF!</v>
      </c>
      <c r="N278" s="60" t="e">
        <f>N279+N284+N292+N297</f>
        <v>#REF!</v>
      </c>
    </row>
    <row r="279" spans="1:16" s="179" customFormat="1" ht="14.25">
      <c r="A279" s="174" t="s">
        <v>324</v>
      </c>
      <c r="B279" s="38" t="s">
        <v>271</v>
      </c>
      <c r="C279" s="38" t="s">
        <v>35</v>
      </c>
      <c r="D279" s="38" t="s">
        <v>22</v>
      </c>
      <c r="E279" s="38"/>
      <c r="F279" s="556"/>
      <c r="G279" s="518">
        <f t="shared" ref="G279:M279" si="78">G280+G282</f>
        <v>264</v>
      </c>
      <c r="H279" s="90">
        <f t="shared" si="78"/>
        <v>20914.8</v>
      </c>
      <c r="I279" s="67">
        <f t="shared" si="78"/>
        <v>0</v>
      </c>
      <c r="J279" s="734">
        <f t="shared" si="78"/>
        <v>0</v>
      </c>
      <c r="K279" s="91">
        <f t="shared" si="78"/>
        <v>68.444000000000017</v>
      </c>
      <c r="L279" s="92">
        <f t="shared" si="78"/>
        <v>68.444000000000017</v>
      </c>
      <c r="M279" s="147">
        <f t="shared" si="78"/>
        <v>8.4</v>
      </c>
      <c r="N279" s="148">
        <f>N280+N282</f>
        <v>76.844000000000023</v>
      </c>
    </row>
    <row r="280" spans="1:16" ht="27" customHeight="1">
      <c r="A280" s="176" t="s">
        <v>312</v>
      </c>
      <c r="B280" s="39" t="s">
        <v>271</v>
      </c>
      <c r="C280" s="39" t="s">
        <v>35</v>
      </c>
      <c r="D280" s="39" t="s">
        <v>22</v>
      </c>
      <c r="E280" s="39" t="s">
        <v>313</v>
      </c>
      <c r="F280" s="554"/>
      <c r="G280" s="291">
        <f t="shared" ref="G280:N280" si="79">G281</f>
        <v>0</v>
      </c>
      <c r="H280" s="62">
        <f t="shared" si="79"/>
        <v>3469.8</v>
      </c>
      <c r="I280" s="61">
        <f t="shared" si="79"/>
        <v>0</v>
      </c>
      <c r="J280" s="728">
        <f t="shared" si="79"/>
        <v>0</v>
      </c>
      <c r="K280" s="42">
        <f t="shared" si="79"/>
        <v>68.444000000000017</v>
      </c>
      <c r="L280" s="43">
        <f t="shared" si="79"/>
        <v>68.444000000000017</v>
      </c>
      <c r="M280" s="63">
        <f t="shared" si="79"/>
        <v>0</v>
      </c>
      <c r="N280" s="64">
        <f t="shared" si="79"/>
        <v>68.444000000000017</v>
      </c>
    </row>
    <row r="281" spans="1:16">
      <c r="A281" s="176" t="s">
        <v>6</v>
      </c>
      <c r="B281" s="39" t="s">
        <v>271</v>
      </c>
      <c r="C281" s="39" t="s">
        <v>35</v>
      </c>
      <c r="D281" s="39" t="s">
        <v>22</v>
      </c>
      <c r="E281" s="39" t="s">
        <v>313</v>
      </c>
      <c r="F281" s="554" t="s">
        <v>314</v>
      </c>
      <c r="G281" s="291"/>
      <c r="H281" s="41">
        <v>3469.8</v>
      </c>
      <c r="I281" s="61"/>
      <c r="J281" s="728">
        <v>0</v>
      </c>
      <c r="K281" s="42">
        <f>300.444-200-32</f>
        <v>68.444000000000017</v>
      </c>
      <c r="L281" s="43">
        <f>J281+K281</f>
        <v>68.444000000000017</v>
      </c>
      <c r="M281" s="63"/>
      <c r="N281" s="45">
        <f>L281+M281</f>
        <v>68.444000000000017</v>
      </c>
    </row>
    <row r="282" spans="1:16" ht="45" hidden="1">
      <c r="A282" s="177" t="s">
        <v>325</v>
      </c>
      <c r="B282" s="39" t="s">
        <v>271</v>
      </c>
      <c r="C282" s="39" t="s">
        <v>35</v>
      </c>
      <c r="D282" s="39" t="s">
        <v>22</v>
      </c>
      <c r="E282" s="39" t="s">
        <v>326</v>
      </c>
      <c r="F282" s="554"/>
      <c r="G282" s="291">
        <f t="shared" ref="G282:N282" si="80">G283</f>
        <v>264</v>
      </c>
      <c r="H282" s="62">
        <f t="shared" si="80"/>
        <v>17445</v>
      </c>
      <c r="I282" s="61">
        <f t="shared" si="80"/>
        <v>0</v>
      </c>
      <c r="J282" s="728">
        <f t="shared" si="80"/>
        <v>0</v>
      </c>
      <c r="K282" s="42">
        <f t="shared" si="80"/>
        <v>0</v>
      </c>
      <c r="L282" s="43">
        <f t="shared" si="80"/>
        <v>0</v>
      </c>
      <c r="M282" s="63">
        <f t="shared" si="80"/>
        <v>8.4</v>
      </c>
      <c r="N282" s="64">
        <f t="shared" si="80"/>
        <v>8.4</v>
      </c>
    </row>
    <row r="283" spans="1:16" hidden="1">
      <c r="A283" s="177" t="s">
        <v>327</v>
      </c>
      <c r="B283" s="39" t="s">
        <v>271</v>
      </c>
      <c r="C283" s="39" t="s">
        <v>35</v>
      </c>
      <c r="D283" s="39" t="s">
        <v>22</v>
      </c>
      <c r="E283" s="39" t="s">
        <v>326</v>
      </c>
      <c r="F283" s="554" t="s">
        <v>328</v>
      </c>
      <c r="G283" s="291">
        <v>264</v>
      </c>
      <c r="H283" s="41">
        <v>17445</v>
      </c>
      <c r="I283" s="61"/>
      <c r="J283" s="728"/>
      <c r="K283" s="42"/>
      <c r="L283" s="43">
        <f>J283+K283</f>
        <v>0</v>
      </c>
      <c r="M283" s="63">
        <f>8.4</f>
        <v>8.4</v>
      </c>
      <c r="N283" s="45">
        <f>L283+M283</f>
        <v>8.4</v>
      </c>
      <c r="O283" s="85"/>
    </row>
    <row r="284" spans="1:16" s="179" customFormat="1" ht="57" hidden="1">
      <c r="A284" s="237" t="s">
        <v>329</v>
      </c>
      <c r="B284" s="38" t="s">
        <v>271</v>
      </c>
      <c r="C284" s="38" t="s">
        <v>35</v>
      </c>
      <c r="D284" s="38" t="s">
        <v>23</v>
      </c>
      <c r="E284" s="38"/>
      <c r="F284" s="556"/>
      <c r="G284" s="518">
        <f t="shared" ref="G284:N284" si="81">G285</f>
        <v>0</v>
      </c>
      <c r="H284" s="90">
        <f t="shared" si="81"/>
        <v>9363.7999999999993</v>
      </c>
      <c r="I284" s="67">
        <f t="shared" si="81"/>
        <v>0</v>
      </c>
      <c r="J284" s="734">
        <f t="shared" si="81"/>
        <v>0</v>
      </c>
      <c r="K284" s="91">
        <f>K285</f>
        <v>0</v>
      </c>
      <c r="L284" s="92">
        <f t="shared" si="81"/>
        <v>0</v>
      </c>
      <c r="M284" s="147">
        <f t="shared" si="81"/>
        <v>-768</v>
      </c>
      <c r="N284" s="148">
        <f t="shared" si="81"/>
        <v>-768</v>
      </c>
    </row>
    <row r="285" spans="1:16" ht="105" hidden="1">
      <c r="A285" s="236" t="s">
        <v>330</v>
      </c>
      <c r="B285" s="39" t="s">
        <v>271</v>
      </c>
      <c r="C285" s="39" t="s">
        <v>35</v>
      </c>
      <c r="D285" s="39" t="s">
        <v>23</v>
      </c>
      <c r="E285" s="39" t="s">
        <v>331</v>
      </c>
      <c r="F285" s="554"/>
      <c r="G285" s="291">
        <f t="shared" ref="G285:M285" si="82">G288+G290+G286</f>
        <v>0</v>
      </c>
      <c r="H285" s="62">
        <f t="shared" si="82"/>
        <v>9363.7999999999993</v>
      </c>
      <c r="I285" s="61">
        <f t="shared" si="82"/>
        <v>0</v>
      </c>
      <c r="J285" s="728">
        <f t="shared" si="82"/>
        <v>0</v>
      </c>
      <c r="K285" s="42">
        <f t="shared" si="82"/>
        <v>0</v>
      </c>
      <c r="L285" s="43">
        <f t="shared" si="82"/>
        <v>0</v>
      </c>
      <c r="M285" s="63">
        <f t="shared" si="82"/>
        <v>-768</v>
      </c>
      <c r="N285" s="64">
        <f>N288+N290+N286</f>
        <v>-768</v>
      </c>
    </row>
    <row r="286" spans="1:16" ht="48" hidden="1" customHeight="1">
      <c r="A286" s="236" t="s">
        <v>332</v>
      </c>
      <c r="B286" s="39" t="s">
        <v>271</v>
      </c>
      <c r="C286" s="39" t="s">
        <v>35</v>
      </c>
      <c r="D286" s="39" t="s">
        <v>23</v>
      </c>
      <c r="E286" s="39" t="s">
        <v>333</v>
      </c>
      <c r="F286" s="554"/>
      <c r="G286" s="291">
        <f t="shared" ref="G286:N286" si="83">G287</f>
        <v>0</v>
      </c>
      <c r="H286" s="62">
        <f t="shared" si="83"/>
        <v>4300</v>
      </c>
      <c r="I286" s="61">
        <f t="shared" si="83"/>
        <v>0</v>
      </c>
      <c r="J286" s="728">
        <f t="shared" si="83"/>
        <v>0</v>
      </c>
      <c r="K286" s="42">
        <f>K287</f>
        <v>0</v>
      </c>
      <c r="L286" s="43">
        <f t="shared" si="83"/>
        <v>0</v>
      </c>
      <c r="M286" s="63">
        <f t="shared" si="83"/>
        <v>-768</v>
      </c>
      <c r="N286" s="64">
        <f t="shared" si="83"/>
        <v>-768</v>
      </c>
    </row>
    <row r="287" spans="1:16" ht="33" hidden="1" customHeight="1">
      <c r="A287" s="236" t="s">
        <v>334</v>
      </c>
      <c r="B287" s="39" t="s">
        <v>271</v>
      </c>
      <c r="C287" s="39" t="s">
        <v>35</v>
      </c>
      <c r="D287" s="39" t="s">
        <v>23</v>
      </c>
      <c r="E287" s="39" t="s">
        <v>333</v>
      </c>
      <c r="F287" s="554" t="s">
        <v>335</v>
      </c>
      <c r="G287" s="291"/>
      <c r="H287" s="41">
        <v>4300</v>
      </c>
      <c r="I287" s="61"/>
      <c r="J287" s="728"/>
      <c r="K287" s="42"/>
      <c r="L287" s="43">
        <f>J287+K287</f>
        <v>0</v>
      </c>
      <c r="M287" s="63">
        <f>-768</f>
        <v>-768</v>
      </c>
      <c r="N287" s="45">
        <f>L287+M287</f>
        <v>-768</v>
      </c>
      <c r="O287" s="65"/>
    </row>
    <row r="288" spans="1:16" ht="18.75" hidden="1" customHeight="1">
      <c r="A288" s="236" t="s">
        <v>336</v>
      </c>
      <c r="B288" s="39" t="s">
        <v>271</v>
      </c>
      <c r="C288" s="39" t="s">
        <v>35</v>
      </c>
      <c r="D288" s="39" t="s">
        <v>23</v>
      </c>
      <c r="E288" s="39" t="s">
        <v>337</v>
      </c>
      <c r="F288" s="554"/>
      <c r="G288" s="291">
        <f t="shared" ref="G288:N288" si="84">G289</f>
        <v>0</v>
      </c>
      <c r="H288" s="62">
        <f t="shared" si="84"/>
        <v>3301.5</v>
      </c>
      <c r="I288" s="61">
        <f t="shared" si="84"/>
        <v>0</v>
      </c>
      <c r="J288" s="728">
        <f t="shared" si="84"/>
        <v>0</v>
      </c>
      <c r="K288" s="42">
        <f t="shared" si="84"/>
        <v>0</v>
      </c>
      <c r="L288" s="43">
        <f t="shared" si="84"/>
        <v>0</v>
      </c>
      <c r="M288" s="63">
        <f t="shared" si="84"/>
        <v>0</v>
      </c>
      <c r="N288" s="64">
        <f t="shared" si="84"/>
        <v>0</v>
      </c>
    </row>
    <row r="289" spans="1:18" ht="23.25" hidden="1" customHeight="1">
      <c r="A289" s="236" t="s">
        <v>334</v>
      </c>
      <c r="B289" s="39" t="s">
        <v>271</v>
      </c>
      <c r="C289" s="39" t="s">
        <v>35</v>
      </c>
      <c r="D289" s="39" t="s">
        <v>23</v>
      </c>
      <c r="E289" s="39" t="s">
        <v>337</v>
      </c>
      <c r="F289" s="554" t="s">
        <v>335</v>
      </c>
      <c r="G289" s="291"/>
      <c r="H289" s="103">
        <v>3301.5</v>
      </c>
      <c r="I289" s="209"/>
      <c r="J289" s="728"/>
      <c r="K289" s="42"/>
      <c r="L289" s="43">
        <f>J289+K289</f>
        <v>0</v>
      </c>
      <c r="M289" s="63"/>
      <c r="N289" s="45">
        <f>L289+M289</f>
        <v>0</v>
      </c>
    </row>
    <row r="290" spans="1:18" ht="75" hidden="1">
      <c r="A290" s="236" t="s">
        <v>338</v>
      </c>
      <c r="B290" s="39" t="s">
        <v>271</v>
      </c>
      <c r="C290" s="39" t="s">
        <v>35</v>
      </c>
      <c r="D290" s="39" t="s">
        <v>23</v>
      </c>
      <c r="E290" s="39" t="s">
        <v>339</v>
      </c>
      <c r="F290" s="554"/>
      <c r="G290" s="291">
        <f t="shared" ref="G290:N290" si="85">G291</f>
        <v>0</v>
      </c>
      <c r="H290" s="62">
        <f t="shared" si="85"/>
        <v>1762.3</v>
      </c>
      <c r="I290" s="61">
        <f t="shared" si="85"/>
        <v>0</v>
      </c>
      <c r="J290" s="728">
        <f t="shared" si="85"/>
        <v>0</v>
      </c>
      <c r="K290" s="42">
        <f t="shared" si="85"/>
        <v>0</v>
      </c>
      <c r="L290" s="43">
        <f t="shared" si="85"/>
        <v>0</v>
      </c>
      <c r="M290" s="63">
        <f t="shared" si="85"/>
        <v>0</v>
      </c>
      <c r="N290" s="64">
        <f t="shared" si="85"/>
        <v>0</v>
      </c>
    </row>
    <row r="291" spans="1:18" hidden="1">
      <c r="A291" s="236" t="s">
        <v>334</v>
      </c>
      <c r="B291" s="39" t="s">
        <v>271</v>
      </c>
      <c r="C291" s="39" t="s">
        <v>35</v>
      </c>
      <c r="D291" s="39" t="s">
        <v>23</v>
      </c>
      <c r="E291" s="39" t="s">
        <v>339</v>
      </c>
      <c r="F291" s="554" t="s">
        <v>335</v>
      </c>
      <c r="G291" s="291"/>
      <c r="H291" s="103">
        <v>1762.3</v>
      </c>
      <c r="I291" s="209"/>
      <c r="J291" s="728"/>
      <c r="K291" s="42"/>
      <c r="L291" s="43">
        <f>J291+K291</f>
        <v>0</v>
      </c>
      <c r="M291" s="63"/>
      <c r="N291" s="45">
        <f>L291+M291</f>
        <v>0</v>
      </c>
    </row>
    <row r="292" spans="1:18" s="179" customFormat="1" ht="42.75" hidden="1">
      <c r="A292" s="237" t="s">
        <v>340</v>
      </c>
      <c r="B292" s="38" t="s">
        <v>271</v>
      </c>
      <c r="C292" s="38" t="s">
        <v>35</v>
      </c>
      <c r="D292" s="38" t="s">
        <v>25</v>
      </c>
      <c r="E292" s="38"/>
      <c r="F292" s="556"/>
      <c r="G292" s="518">
        <f t="shared" ref="G292:N293" si="86">G293</f>
        <v>42.8</v>
      </c>
      <c r="H292" s="90">
        <f t="shared" si="86"/>
        <v>573.70000000000005</v>
      </c>
      <c r="I292" s="67">
        <f t="shared" si="86"/>
        <v>0</v>
      </c>
      <c r="J292" s="734">
        <f t="shared" si="86"/>
        <v>0</v>
      </c>
      <c r="K292" s="91">
        <f t="shared" si="86"/>
        <v>0</v>
      </c>
      <c r="L292" s="92">
        <f t="shared" si="86"/>
        <v>0</v>
      </c>
      <c r="M292" s="147">
        <f t="shared" si="86"/>
        <v>0</v>
      </c>
      <c r="N292" s="148">
        <f t="shared" si="86"/>
        <v>0</v>
      </c>
      <c r="R292" s="238"/>
    </row>
    <row r="293" spans="1:18" ht="24.75" hidden="1" customHeight="1">
      <c r="A293" s="236" t="s">
        <v>341</v>
      </c>
      <c r="B293" s="39" t="s">
        <v>271</v>
      </c>
      <c r="C293" s="39" t="s">
        <v>35</v>
      </c>
      <c r="D293" s="39" t="s">
        <v>25</v>
      </c>
      <c r="E293" s="39" t="s">
        <v>296</v>
      </c>
      <c r="F293" s="554"/>
      <c r="G293" s="291">
        <f t="shared" si="86"/>
        <v>42.8</v>
      </c>
      <c r="H293" s="62">
        <f t="shared" si="86"/>
        <v>573.70000000000005</v>
      </c>
      <c r="I293" s="61">
        <f t="shared" si="86"/>
        <v>0</v>
      </c>
      <c r="J293" s="728">
        <f t="shared" si="86"/>
        <v>0</v>
      </c>
      <c r="K293" s="42">
        <f t="shared" si="86"/>
        <v>0</v>
      </c>
      <c r="L293" s="43">
        <f t="shared" si="86"/>
        <v>0</v>
      </c>
      <c r="M293" s="63">
        <f t="shared" si="86"/>
        <v>0</v>
      </c>
      <c r="N293" s="64">
        <f t="shared" si="86"/>
        <v>0</v>
      </c>
    </row>
    <row r="294" spans="1:18" ht="23.25" hidden="1" customHeight="1" thickBot="1">
      <c r="A294" s="239" t="s">
        <v>342</v>
      </c>
      <c r="B294" s="95" t="s">
        <v>271</v>
      </c>
      <c r="C294" s="95" t="s">
        <v>35</v>
      </c>
      <c r="D294" s="95" t="s">
        <v>25</v>
      </c>
      <c r="E294" s="95" t="s">
        <v>296</v>
      </c>
      <c r="F294" s="557" t="s">
        <v>298</v>
      </c>
      <c r="G294" s="540">
        <v>42.8</v>
      </c>
      <c r="H294" s="241">
        <v>573.70000000000005</v>
      </c>
      <c r="I294" s="61"/>
      <c r="J294" s="735"/>
      <c r="K294" s="736"/>
      <c r="L294" s="737">
        <f>J294+K294</f>
        <v>0</v>
      </c>
      <c r="M294" s="121"/>
      <c r="N294" s="73">
        <f>L294+M294</f>
        <v>0</v>
      </c>
      <c r="P294" s="15">
        <f>K294</f>
        <v>0</v>
      </c>
    </row>
    <row r="295" spans="1:18" ht="29.25">
      <c r="A295" s="242" t="s">
        <v>34</v>
      </c>
      <c r="B295" s="213" t="s">
        <v>271</v>
      </c>
      <c r="C295" s="213" t="s">
        <v>38</v>
      </c>
      <c r="D295" s="213"/>
      <c r="E295" s="243"/>
      <c r="F295" s="571"/>
      <c r="G295" s="541" t="e">
        <f>#REF!</f>
        <v>#REF!</v>
      </c>
      <c r="H295" s="244" t="e">
        <f>#REF!+H297</f>
        <v>#REF!</v>
      </c>
      <c r="I295" s="245" t="e">
        <f>#REF!+I297</f>
        <v>#REF!</v>
      </c>
      <c r="J295" s="216">
        <f>J297</f>
        <v>144.07</v>
      </c>
      <c r="K295" s="755">
        <f>K297</f>
        <v>18</v>
      </c>
      <c r="L295" s="756">
        <f>L297</f>
        <v>162.07</v>
      </c>
      <c r="M295" s="246"/>
      <c r="N295" s="73"/>
    </row>
    <row r="296" spans="1:18" ht="43.5">
      <c r="A296" s="237" t="s">
        <v>103</v>
      </c>
      <c r="B296" s="38" t="s">
        <v>271</v>
      </c>
      <c r="C296" s="38" t="s">
        <v>38</v>
      </c>
      <c r="D296" s="38" t="s">
        <v>22</v>
      </c>
      <c r="E296" s="39"/>
      <c r="F296" s="554"/>
      <c r="G296" s="291"/>
      <c r="H296" s="41"/>
      <c r="I296" s="40"/>
      <c r="J296" s="734">
        <f t="shared" ref="J296:L297" si="87">J297</f>
        <v>144.07</v>
      </c>
      <c r="K296" s="91">
        <f t="shared" si="87"/>
        <v>18</v>
      </c>
      <c r="L296" s="92">
        <f t="shared" si="87"/>
        <v>162.07</v>
      </c>
      <c r="M296" s="246"/>
      <c r="N296" s="73"/>
    </row>
    <row r="297" spans="1:18" ht="26.25" customHeight="1">
      <c r="A297" s="177" t="s">
        <v>284</v>
      </c>
      <c r="B297" s="39" t="s">
        <v>271</v>
      </c>
      <c r="C297" s="39" t="s">
        <v>38</v>
      </c>
      <c r="D297" s="39" t="s">
        <v>22</v>
      </c>
      <c r="E297" s="39" t="s">
        <v>285</v>
      </c>
      <c r="F297" s="554"/>
      <c r="G297" s="291" t="e">
        <f>#REF!</f>
        <v>#REF!</v>
      </c>
      <c r="H297" s="41" t="e">
        <f>#REF!+H298</f>
        <v>#REF!</v>
      </c>
      <c r="I297" s="40" t="e">
        <f>#REF!+I298</f>
        <v>#REF!</v>
      </c>
      <c r="J297" s="728">
        <f t="shared" si="87"/>
        <v>144.07</v>
      </c>
      <c r="K297" s="42">
        <f t="shared" si="87"/>
        <v>18</v>
      </c>
      <c r="L297" s="43">
        <f t="shared" si="87"/>
        <v>162.07</v>
      </c>
      <c r="M297" s="247" t="e">
        <f>#REF!+M298</f>
        <v>#REF!</v>
      </c>
      <c r="N297" s="45" t="e">
        <f>#REF!+N298</f>
        <v>#REF!</v>
      </c>
    </row>
    <row r="298" spans="1:18" ht="29.25" customHeight="1">
      <c r="A298" s="177" t="s">
        <v>286</v>
      </c>
      <c r="B298" s="39" t="s">
        <v>271</v>
      </c>
      <c r="C298" s="39" t="s">
        <v>38</v>
      </c>
      <c r="D298" s="39" t="s">
        <v>22</v>
      </c>
      <c r="E298" s="39" t="s">
        <v>287</v>
      </c>
      <c r="F298" s="554"/>
      <c r="G298" s="291"/>
      <c r="H298" s="41">
        <f t="shared" ref="H298:N298" si="88">H299</f>
        <v>0</v>
      </c>
      <c r="I298" s="40">
        <f t="shared" si="88"/>
        <v>0</v>
      </c>
      <c r="J298" s="728">
        <f t="shared" si="88"/>
        <v>144.07</v>
      </c>
      <c r="K298" s="42">
        <f t="shared" si="88"/>
        <v>18</v>
      </c>
      <c r="L298" s="43">
        <f t="shared" si="88"/>
        <v>162.07</v>
      </c>
      <c r="M298" s="44">
        <f t="shared" si="88"/>
        <v>0</v>
      </c>
      <c r="N298" s="45">
        <f t="shared" si="88"/>
        <v>162.07</v>
      </c>
    </row>
    <row r="299" spans="1:18" ht="15.75" customHeight="1">
      <c r="A299" s="177" t="s">
        <v>288</v>
      </c>
      <c r="B299" s="39" t="s">
        <v>271</v>
      </c>
      <c r="C299" s="39" t="s">
        <v>38</v>
      </c>
      <c r="D299" s="39" t="s">
        <v>22</v>
      </c>
      <c r="E299" s="39" t="s">
        <v>287</v>
      </c>
      <c r="F299" s="554" t="s">
        <v>289</v>
      </c>
      <c r="G299" s="291"/>
      <c r="H299" s="41"/>
      <c r="I299" s="61"/>
      <c r="J299" s="728">
        <v>144.07</v>
      </c>
      <c r="K299" s="42">
        <v>18</v>
      </c>
      <c r="L299" s="43">
        <f>J299+K299</f>
        <v>162.07</v>
      </c>
      <c r="M299" s="63"/>
      <c r="N299" s="45">
        <f>L299+M299</f>
        <v>162.07</v>
      </c>
      <c r="O299" s="11">
        <v>144.07</v>
      </c>
      <c r="P299" s="14">
        <f>L299-O299</f>
        <v>18</v>
      </c>
    </row>
    <row r="300" spans="1:18" ht="57.75" customHeight="1">
      <c r="A300" s="181" t="s">
        <v>343</v>
      </c>
      <c r="B300" s="49" t="s">
        <v>271</v>
      </c>
      <c r="C300" s="49" t="s">
        <v>40</v>
      </c>
      <c r="D300" s="49" t="s">
        <v>293</v>
      </c>
      <c r="E300" s="49"/>
      <c r="F300" s="562"/>
      <c r="G300" s="517"/>
      <c r="H300" s="51"/>
      <c r="I300" s="57"/>
      <c r="J300" s="52">
        <f>J301+J307+J309</f>
        <v>32757.17</v>
      </c>
      <c r="K300" s="729">
        <f>K301+K307+K309</f>
        <v>1160.0999999999999</v>
      </c>
      <c r="L300" s="53">
        <f>L301+L307+L309</f>
        <v>33917.269999999997</v>
      </c>
      <c r="M300" s="63"/>
      <c r="N300" s="45"/>
    </row>
    <row r="301" spans="1:18" ht="54.75" customHeight="1">
      <c r="A301" s="237" t="s">
        <v>344</v>
      </c>
      <c r="B301" s="38" t="s">
        <v>271</v>
      </c>
      <c r="C301" s="38" t="s">
        <v>40</v>
      </c>
      <c r="D301" s="38" t="s">
        <v>22</v>
      </c>
      <c r="E301" s="38"/>
      <c r="F301" s="556"/>
      <c r="G301" s="518"/>
      <c r="H301" s="84"/>
      <c r="I301" s="67"/>
      <c r="J301" s="734">
        <f>J302</f>
        <v>25131.67</v>
      </c>
      <c r="K301" s="91">
        <f>K302</f>
        <v>0</v>
      </c>
      <c r="L301" s="92">
        <f>L302</f>
        <v>25131.67</v>
      </c>
      <c r="M301" s="63"/>
      <c r="N301" s="45"/>
    </row>
    <row r="302" spans="1:18" ht="27.75" customHeight="1">
      <c r="A302" s="98" t="s">
        <v>345</v>
      </c>
      <c r="B302" s="39" t="s">
        <v>271</v>
      </c>
      <c r="C302" s="39" t="s">
        <v>40</v>
      </c>
      <c r="D302" s="39" t="s">
        <v>22</v>
      </c>
      <c r="E302" s="249" t="s">
        <v>346</v>
      </c>
      <c r="F302" s="554"/>
      <c r="G302" s="291"/>
      <c r="H302" s="41"/>
      <c r="I302" s="61"/>
      <c r="J302" s="728">
        <f>J303+J305</f>
        <v>25131.67</v>
      </c>
      <c r="K302" s="42">
        <f>K303+K305</f>
        <v>0</v>
      </c>
      <c r="L302" s="43">
        <f>J302+K302</f>
        <v>25131.67</v>
      </c>
      <c r="M302" s="63"/>
      <c r="N302" s="45"/>
    </row>
    <row r="303" spans="1:18" ht="58.5" customHeight="1">
      <c r="A303" s="98" t="s">
        <v>347</v>
      </c>
      <c r="B303" s="39" t="s">
        <v>271</v>
      </c>
      <c r="C303" s="39" t="s">
        <v>40</v>
      </c>
      <c r="D303" s="39" t="s">
        <v>22</v>
      </c>
      <c r="E303" s="39" t="s">
        <v>348</v>
      </c>
      <c r="F303" s="554"/>
      <c r="G303" s="291"/>
      <c r="H303" s="41"/>
      <c r="I303" s="61"/>
      <c r="J303" s="728">
        <f>J304</f>
        <v>4269.5</v>
      </c>
      <c r="K303" s="42">
        <f>K304</f>
        <v>0</v>
      </c>
      <c r="L303" s="43">
        <f>L304</f>
        <v>4269.5</v>
      </c>
      <c r="M303" s="63"/>
      <c r="N303" s="45"/>
    </row>
    <row r="304" spans="1:18" ht="14.25" customHeight="1">
      <c r="A304" s="98" t="s">
        <v>349</v>
      </c>
      <c r="B304" s="39" t="s">
        <v>271</v>
      </c>
      <c r="C304" s="39" t="s">
        <v>40</v>
      </c>
      <c r="D304" s="39" t="s">
        <v>22</v>
      </c>
      <c r="E304" s="39" t="s">
        <v>348</v>
      </c>
      <c r="F304" s="554" t="s">
        <v>328</v>
      </c>
      <c r="G304" s="291"/>
      <c r="H304" s="41"/>
      <c r="I304" s="61"/>
      <c r="J304" s="728">
        <v>4269.5</v>
      </c>
      <c r="K304" s="42"/>
      <c r="L304" s="856">
        <f>J304+K304</f>
        <v>4269.5</v>
      </c>
      <c r="M304" s="63"/>
      <c r="N304" s="45"/>
    </row>
    <row r="305" spans="1:16" ht="57.75" customHeight="1">
      <c r="A305" s="98" t="s">
        <v>350</v>
      </c>
      <c r="B305" s="39" t="s">
        <v>271</v>
      </c>
      <c r="C305" s="39" t="s">
        <v>40</v>
      </c>
      <c r="D305" s="39" t="s">
        <v>22</v>
      </c>
      <c r="E305" s="39" t="s">
        <v>326</v>
      </c>
      <c r="F305" s="554"/>
      <c r="G305" s="291"/>
      <c r="H305" s="41"/>
      <c r="I305" s="61"/>
      <c r="J305" s="728">
        <f>J306</f>
        <v>20862.169999999998</v>
      </c>
      <c r="K305" s="42">
        <f>K306</f>
        <v>0</v>
      </c>
      <c r="L305" s="43">
        <f>L306</f>
        <v>20862.169999999998</v>
      </c>
      <c r="M305" s="63"/>
      <c r="N305" s="45"/>
    </row>
    <row r="306" spans="1:16" ht="16.5" customHeight="1">
      <c r="A306" s="98" t="s">
        <v>349</v>
      </c>
      <c r="B306" s="39" t="s">
        <v>271</v>
      </c>
      <c r="C306" s="39" t="s">
        <v>40</v>
      </c>
      <c r="D306" s="39" t="s">
        <v>22</v>
      </c>
      <c r="E306" s="39" t="s">
        <v>326</v>
      </c>
      <c r="F306" s="554" t="s">
        <v>328</v>
      </c>
      <c r="G306" s="291"/>
      <c r="H306" s="41"/>
      <c r="I306" s="61"/>
      <c r="J306" s="728">
        <v>20862.169999999998</v>
      </c>
      <c r="K306" s="42"/>
      <c r="L306" s="856">
        <f>J306+K306</f>
        <v>20862.169999999998</v>
      </c>
      <c r="M306" s="63"/>
      <c r="N306" s="45"/>
      <c r="O306" s="11">
        <v>20862.169999999998</v>
      </c>
      <c r="P306" s="66">
        <f>K306-O306</f>
        <v>-20862.169999999998</v>
      </c>
    </row>
    <row r="307" spans="1:16" ht="15" hidden="1" customHeight="1">
      <c r="A307" s="237" t="s">
        <v>107</v>
      </c>
      <c r="B307" s="38" t="s">
        <v>271</v>
      </c>
      <c r="C307" s="38" t="s">
        <v>40</v>
      </c>
      <c r="D307" s="38" t="s">
        <v>23</v>
      </c>
      <c r="E307" s="38"/>
      <c r="F307" s="556"/>
      <c r="G307" s="518"/>
      <c r="H307" s="84"/>
      <c r="I307" s="67"/>
      <c r="J307" s="734">
        <f>J308</f>
        <v>0</v>
      </c>
      <c r="K307" s="91">
        <f>K308</f>
        <v>0</v>
      </c>
      <c r="L307" s="92">
        <f>L308</f>
        <v>0</v>
      </c>
      <c r="M307" s="63"/>
      <c r="N307" s="45"/>
    </row>
    <row r="308" spans="1:16" ht="18" hidden="1" customHeight="1">
      <c r="A308" s="68" t="s">
        <v>107</v>
      </c>
      <c r="B308" s="69" t="s">
        <v>271</v>
      </c>
      <c r="C308" s="69" t="s">
        <v>40</v>
      </c>
      <c r="D308" s="69" t="s">
        <v>23</v>
      </c>
      <c r="E308" s="69" t="s">
        <v>351</v>
      </c>
      <c r="F308" s="555"/>
      <c r="G308" s="519"/>
      <c r="H308" s="71"/>
      <c r="I308" s="70"/>
      <c r="J308" s="731">
        <f>H308+I308</f>
        <v>0</v>
      </c>
      <c r="K308" s="732"/>
      <c r="L308" s="730">
        <f>J308+K308</f>
        <v>0</v>
      </c>
      <c r="M308" s="63"/>
      <c r="N308" s="45"/>
    </row>
    <row r="309" spans="1:16" ht="56.25" customHeight="1">
      <c r="A309" s="237" t="s">
        <v>108</v>
      </c>
      <c r="B309" s="38" t="s">
        <v>271</v>
      </c>
      <c r="C309" s="38" t="s">
        <v>40</v>
      </c>
      <c r="D309" s="38" t="s">
        <v>25</v>
      </c>
      <c r="E309" s="38"/>
      <c r="F309" s="556"/>
      <c r="G309" s="518"/>
      <c r="H309" s="84"/>
      <c r="I309" s="67"/>
      <c r="J309" s="734">
        <f>J312+J310</f>
        <v>7625.5</v>
      </c>
      <c r="K309" s="830">
        <f>K312+K310</f>
        <v>1160.0999999999999</v>
      </c>
      <c r="L309" s="92">
        <f>J309+K309</f>
        <v>8785.6</v>
      </c>
      <c r="M309" s="63"/>
      <c r="N309" s="45"/>
    </row>
    <row r="310" spans="1:16" ht="75">
      <c r="A310" s="176" t="s">
        <v>312</v>
      </c>
      <c r="B310" s="39" t="s">
        <v>271</v>
      </c>
      <c r="C310" s="39" t="s">
        <v>40</v>
      </c>
      <c r="D310" s="39" t="s">
        <v>25</v>
      </c>
      <c r="E310" s="39" t="s">
        <v>313</v>
      </c>
      <c r="F310" s="554"/>
      <c r="G310" s="518"/>
      <c r="H310" s="84"/>
      <c r="I310" s="67"/>
      <c r="J310" s="728">
        <f>J311</f>
        <v>373.5</v>
      </c>
      <c r="K310" s="42">
        <f>K311</f>
        <v>710.1</v>
      </c>
      <c r="L310" s="43">
        <f>L311</f>
        <v>1083.5999999999999</v>
      </c>
      <c r="M310" s="63"/>
      <c r="N310" s="45"/>
    </row>
    <row r="311" spans="1:16">
      <c r="A311" s="176" t="s">
        <v>6</v>
      </c>
      <c r="B311" s="39" t="s">
        <v>271</v>
      </c>
      <c r="C311" s="39" t="s">
        <v>40</v>
      </c>
      <c r="D311" s="39" t="s">
        <v>25</v>
      </c>
      <c r="E311" s="39" t="s">
        <v>313</v>
      </c>
      <c r="F311" s="554" t="s">
        <v>314</v>
      </c>
      <c r="G311" s="518"/>
      <c r="H311" s="84"/>
      <c r="I311" s="67"/>
      <c r="J311" s="728">
        <v>373.5</v>
      </c>
      <c r="K311" s="42">
        <f>851.6-373.5+200+32</f>
        <v>710.1</v>
      </c>
      <c r="L311" s="43">
        <f>J311+K311</f>
        <v>1083.5999999999999</v>
      </c>
      <c r="M311" s="63"/>
      <c r="N311" s="45"/>
    </row>
    <row r="312" spans="1:16" ht="58.5" customHeight="1">
      <c r="A312" s="236" t="s">
        <v>330</v>
      </c>
      <c r="B312" s="208" t="s">
        <v>271</v>
      </c>
      <c r="C312" s="208" t="s">
        <v>40</v>
      </c>
      <c r="D312" s="208" t="s">
        <v>25</v>
      </c>
      <c r="E312" s="208" t="s">
        <v>331</v>
      </c>
      <c r="F312" s="572"/>
      <c r="G312" s="542"/>
      <c r="H312" s="251"/>
      <c r="I312" s="250"/>
      <c r="J312" s="728">
        <f>J315+J313</f>
        <v>7252</v>
      </c>
      <c r="K312" s="42">
        <f>K315+K313</f>
        <v>450</v>
      </c>
      <c r="L312" s="43">
        <f>L315+L313</f>
        <v>7702</v>
      </c>
      <c r="M312" s="63"/>
      <c r="N312" s="45"/>
    </row>
    <row r="313" spans="1:16" ht="42.75" customHeight="1">
      <c r="A313" s="236" t="s">
        <v>332</v>
      </c>
      <c r="B313" s="208" t="s">
        <v>271</v>
      </c>
      <c r="C313" s="208" t="s">
        <v>40</v>
      </c>
      <c r="D313" s="208" t="s">
        <v>25</v>
      </c>
      <c r="E313" s="208" t="s">
        <v>333</v>
      </c>
      <c r="F313" s="568"/>
      <c r="G313" s="412">
        <f t="shared" ref="G313:L313" si="89">G314</f>
        <v>0</v>
      </c>
      <c r="H313" s="210">
        <f t="shared" si="89"/>
        <v>4300</v>
      </c>
      <c r="I313" s="209">
        <f t="shared" si="89"/>
        <v>0</v>
      </c>
      <c r="J313" s="728">
        <f t="shared" si="89"/>
        <v>1638.2</v>
      </c>
      <c r="K313" s="42">
        <f>K314</f>
        <v>450</v>
      </c>
      <c r="L313" s="43">
        <f t="shared" si="89"/>
        <v>2088.1999999999998</v>
      </c>
      <c r="M313" s="246"/>
      <c r="N313" s="252"/>
    </row>
    <row r="314" spans="1:16" ht="15" customHeight="1">
      <c r="A314" s="236" t="s">
        <v>334</v>
      </c>
      <c r="B314" s="208" t="s">
        <v>271</v>
      </c>
      <c r="C314" s="208" t="s">
        <v>40</v>
      </c>
      <c r="D314" s="208" t="s">
        <v>25</v>
      </c>
      <c r="E314" s="208" t="s">
        <v>333</v>
      </c>
      <c r="F314" s="568" t="s">
        <v>335</v>
      </c>
      <c r="G314" s="412"/>
      <c r="H314" s="212">
        <v>4300</v>
      </c>
      <c r="I314" s="209"/>
      <c r="J314" s="728">
        <v>1638.2</v>
      </c>
      <c r="K314" s="42">
        <v>450</v>
      </c>
      <c r="L314" s="856">
        <f>J314+K314</f>
        <v>2088.1999999999998</v>
      </c>
      <c r="M314" s="246"/>
      <c r="N314" s="252"/>
    </row>
    <row r="315" spans="1:16" ht="57" customHeight="1">
      <c r="A315" s="236" t="s">
        <v>338</v>
      </c>
      <c r="B315" s="208" t="s">
        <v>271</v>
      </c>
      <c r="C315" s="208" t="s">
        <v>40</v>
      </c>
      <c r="D315" s="208" t="s">
        <v>25</v>
      </c>
      <c r="E315" s="208" t="s">
        <v>339</v>
      </c>
      <c r="F315" s="568"/>
      <c r="G315" s="543"/>
      <c r="H315" s="254"/>
      <c r="I315" s="253"/>
      <c r="J315" s="761">
        <f>J316</f>
        <v>5613.8</v>
      </c>
      <c r="K315" s="762">
        <f>K316</f>
        <v>0</v>
      </c>
      <c r="L315" s="763">
        <f>L316</f>
        <v>5613.8</v>
      </c>
      <c r="M315" s="246"/>
      <c r="N315" s="252"/>
    </row>
    <row r="316" spans="1:16" ht="18" customHeight="1" thickBot="1">
      <c r="A316" s="236" t="s">
        <v>334</v>
      </c>
      <c r="B316" s="208" t="s">
        <v>271</v>
      </c>
      <c r="C316" s="208" t="s">
        <v>40</v>
      </c>
      <c r="D316" s="208" t="s">
        <v>25</v>
      </c>
      <c r="E316" s="208" t="s">
        <v>339</v>
      </c>
      <c r="F316" s="568" t="s">
        <v>335</v>
      </c>
      <c r="G316" s="412"/>
      <c r="H316" s="103">
        <v>1762.3</v>
      </c>
      <c r="I316" s="209"/>
      <c r="J316" s="741">
        <v>5613.8</v>
      </c>
      <c r="K316" s="742"/>
      <c r="L316" s="857">
        <f>J316+K316</f>
        <v>5613.8</v>
      </c>
      <c r="M316" s="246"/>
      <c r="N316" s="252"/>
    </row>
    <row r="317" spans="1:16" ht="30" thickBot="1">
      <c r="A317" s="165" t="s">
        <v>352</v>
      </c>
      <c r="B317" s="133" t="s">
        <v>353</v>
      </c>
      <c r="C317" s="133"/>
      <c r="D317" s="133"/>
      <c r="E317" s="133"/>
      <c r="F317" s="560"/>
      <c r="G317" s="544" t="e">
        <f t="shared" ref="G317:M317" si="90">G318+G329</f>
        <v>#REF!</v>
      </c>
      <c r="H317" s="256">
        <f t="shared" si="90"/>
        <v>42203.4</v>
      </c>
      <c r="I317" s="255">
        <f t="shared" si="90"/>
        <v>0</v>
      </c>
      <c r="J317" s="764">
        <f t="shared" si="90"/>
        <v>53564.176500000001</v>
      </c>
      <c r="K317" s="765">
        <f t="shared" si="90"/>
        <v>6124.3469999999998</v>
      </c>
      <c r="L317" s="135">
        <f t="shared" si="90"/>
        <v>59688.523499999996</v>
      </c>
      <c r="M317" s="135">
        <f t="shared" si="90"/>
        <v>135.5</v>
      </c>
      <c r="N317" s="136">
        <f>N318+N329</f>
        <v>45606.343499999995</v>
      </c>
    </row>
    <row r="318" spans="1:16" hidden="1">
      <c r="A318" s="257" t="s">
        <v>64</v>
      </c>
      <c r="B318" s="139" t="s">
        <v>353</v>
      </c>
      <c r="C318" s="139" t="s">
        <v>33</v>
      </c>
      <c r="D318" s="30"/>
      <c r="E318" s="30"/>
      <c r="F318" s="553"/>
      <c r="G318" s="530">
        <f t="shared" ref="G318:N321" si="91">G319</f>
        <v>0</v>
      </c>
      <c r="H318" s="258">
        <f t="shared" ref="H318:N318" si="92">H319+H325</f>
        <v>50</v>
      </c>
      <c r="I318" s="31">
        <f t="shared" si="92"/>
        <v>0</v>
      </c>
      <c r="J318" s="739">
        <f t="shared" si="92"/>
        <v>732.46749999999997</v>
      </c>
      <c r="K318" s="727">
        <f t="shared" si="92"/>
        <v>0</v>
      </c>
      <c r="L318" s="34">
        <f t="shared" si="92"/>
        <v>732.46749999999997</v>
      </c>
      <c r="M318" s="35">
        <f t="shared" si="92"/>
        <v>0</v>
      </c>
      <c r="N318" s="36">
        <f t="shared" si="92"/>
        <v>732.46749999999997</v>
      </c>
    </row>
    <row r="319" spans="1:16" s="179" customFormat="1" hidden="1">
      <c r="A319" s="259" t="s">
        <v>319</v>
      </c>
      <c r="B319" s="38" t="s">
        <v>353</v>
      </c>
      <c r="C319" s="38" t="s">
        <v>33</v>
      </c>
      <c r="D319" s="38" t="s">
        <v>29</v>
      </c>
      <c r="E319" s="38"/>
      <c r="F319" s="556"/>
      <c r="G319" s="538">
        <f t="shared" ref="G319:M319" si="93">G320+G323</f>
        <v>0</v>
      </c>
      <c r="H319" s="84">
        <f t="shared" si="93"/>
        <v>50</v>
      </c>
      <c r="I319" s="175">
        <f t="shared" si="93"/>
        <v>0</v>
      </c>
      <c r="J319" s="734">
        <f t="shared" si="93"/>
        <v>0</v>
      </c>
      <c r="K319" s="91">
        <f t="shared" si="93"/>
        <v>0</v>
      </c>
      <c r="L319" s="92">
        <f t="shared" si="93"/>
        <v>0</v>
      </c>
      <c r="M319" s="108">
        <f t="shared" si="93"/>
        <v>0</v>
      </c>
      <c r="N319" s="203">
        <f>N320+N323</f>
        <v>0</v>
      </c>
    </row>
    <row r="320" spans="1:16" ht="30" hidden="1">
      <c r="A320" s="236" t="s">
        <v>129</v>
      </c>
      <c r="B320" s="39" t="s">
        <v>353</v>
      </c>
      <c r="C320" s="39" t="s">
        <v>33</v>
      </c>
      <c r="D320" s="39" t="s">
        <v>29</v>
      </c>
      <c r="E320" s="39" t="s">
        <v>130</v>
      </c>
      <c r="F320" s="554"/>
      <c r="G320" s="291">
        <f t="shared" si="91"/>
        <v>-50</v>
      </c>
      <c r="H320" s="62">
        <f t="shared" si="91"/>
        <v>50</v>
      </c>
      <c r="I320" s="61">
        <f t="shared" si="91"/>
        <v>0</v>
      </c>
      <c r="J320" s="728">
        <f t="shared" si="91"/>
        <v>0</v>
      </c>
      <c r="K320" s="42">
        <f t="shared" si="91"/>
        <v>0</v>
      </c>
      <c r="L320" s="43">
        <f t="shared" si="91"/>
        <v>0</v>
      </c>
      <c r="M320" s="63">
        <f t="shared" si="91"/>
        <v>0</v>
      </c>
      <c r="N320" s="64">
        <f t="shared" si="91"/>
        <v>0</v>
      </c>
    </row>
    <row r="321" spans="1:16" ht="30" hidden="1">
      <c r="A321" s="236" t="s">
        <v>354</v>
      </c>
      <c r="B321" s="39" t="s">
        <v>353</v>
      </c>
      <c r="C321" s="39" t="s">
        <v>33</v>
      </c>
      <c r="D321" s="39" t="s">
        <v>29</v>
      </c>
      <c r="E321" s="39" t="s">
        <v>132</v>
      </c>
      <c r="F321" s="554"/>
      <c r="G321" s="291">
        <f t="shared" si="91"/>
        <v>-50</v>
      </c>
      <c r="H321" s="62">
        <f t="shared" si="91"/>
        <v>50</v>
      </c>
      <c r="I321" s="61">
        <f t="shared" si="91"/>
        <v>0</v>
      </c>
      <c r="J321" s="728">
        <f t="shared" si="91"/>
        <v>0</v>
      </c>
      <c r="K321" s="42">
        <f t="shared" si="91"/>
        <v>0</v>
      </c>
      <c r="L321" s="43">
        <f t="shared" si="91"/>
        <v>0</v>
      </c>
      <c r="M321" s="63">
        <f t="shared" si="91"/>
        <v>0</v>
      </c>
      <c r="N321" s="64">
        <f t="shared" si="91"/>
        <v>0</v>
      </c>
    </row>
    <row r="322" spans="1:16" ht="29.25" hidden="1" customHeight="1">
      <c r="A322" s="236" t="s">
        <v>142</v>
      </c>
      <c r="B322" s="39" t="s">
        <v>353</v>
      </c>
      <c r="C322" s="39" t="s">
        <v>33</v>
      </c>
      <c r="D322" s="39" t="s">
        <v>29</v>
      </c>
      <c r="E322" s="39" t="s">
        <v>132</v>
      </c>
      <c r="F322" s="554" t="s">
        <v>235</v>
      </c>
      <c r="G322" s="291">
        <v>-50</v>
      </c>
      <c r="H322" s="41">
        <v>50</v>
      </c>
      <c r="I322" s="61"/>
      <c r="J322" s="728"/>
      <c r="K322" s="42"/>
      <c r="L322" s="43">
        <f>J322+K322</f>
        <v>0</v>
      </c>
      <c r="M322" s="63"/>
      <c r="N322" s="45">
        <f>L322+M322</f>
        <v>0</v>
      </c>
    </row>
    <row r="323" spans="1:16" ht="27" hidden="1" customHeight="1">
      <c r="A323" s="46" t="s">
        <v>131</v>
      </c>
      <c r="B323" s="39" t="s">
        <v>353</v>
      </c>
      <c r="C323" s="39" t="s">
        <v>33</v>
      </c>
      <c r="D323" s="39" t="s">
        <v>29</v>
      </c>
      <c r="E323" s="39" t="s">
        <v>135</v>
      </c>
      <c r="F323" s="554"/>
      <c r="G323" s="515">
        <f t="shared" ref="G323:N323" si="94">G324</f>
        <v>50</v>
      </c>
      <c r="H323" s="41">
        <f t="shared" si="94"/>
        <v>0</v>
      </c>
      <c r="I323" s="40">
        <f t="shared" si="94"/>
        <v>0</v>
      </c>
      <c r="J323" s="728">
        <f t="shared" si="94"/>
        <v>0</v>
      </c>
      <c r="K323" s="42">
        <f t="shared" si="94"/>
        <v>0</v>
      </c>
      <c r="L323" s="43">
        <f t="shared" si="94"/>
        <v>0</v>
      </c>
      <c r="M323" s="44">
        <f t="shared" si="94"/>
        <v>0</v>
      </c>
      <c r="N323" s="45">
        <f t="shared" si="94"/>
        <v>0</v>
      </c>
    </row>
    <row r="324" spans="1:16" ht="26.25" hidden="1" customHeight="1">
      <c r="A324" s="46" t="s">
        <v>136</v>
      </c>
      <c r="B324" s="39" t="s">
        <v>353</v>
      </c>
      <c r="C324" s="39" t="s">
        <v>33</v>
      </c>
      <c r="D324" s="39" t="s">
        <v>29</v>
      </c>
      <c r="E324" s="39" t="s">
        <v>135</v>
      </c>
      <c r="F324" s="554" t="s">
        <v>134</v>
      </c>
      <c r="G324" s="515">
        <v>50</v>
      </c>
      <c r="H324" s="41"/>
      <c r="I324" s="40"/>
      <c r="J324" s="728">
        <f>H324+I324</f>
        <v>0</v>
      </c>
      <c r="K324" s="42"/>
      <c r="L324" s="43">
        <f>J324+K324</f>
        <v>0</v>
      </c>
      <c r="M324" s="44"/>
      <c r="N324" s="45">
        <f>L324+M324</f>
        <v>0</v>
      </c>
    </row>
    <row r="325" spans="1:16" ht="28.5" customHeight="1">
      <c r="A325" s="37" t="s">
        <v>69</v>
      </c>
      <c r="B325" s="38" t="s">
        <v>353</v>
      </c>
      <c r="C325" s="38" t="s">
        <v>33</v>
      </c>
      <c r="D325" s="38" t="s">
        <v>33</v>
      </c>
      <c r="E325" s="38"/>
      <c r="F325" s="556"/>
      <c r="G325" s="518" t="e">
        <f t="shared" ref="G325:N327" si="95">G326</f>
        <v>#REF!</v>
      </c>
      <c r="H325" s="90">
        <f t="shared" si="95"/>
        <v>0</v>
      </c>
      <c r="I325" s="67">
        <f t="shared" si="95"/>
        <v>0</v>
      </c>
      <c r="J325" s="734">
        <f t="shared" si="95"/>
        <v>732.46749999999997</v>
      </c>
      <c r="K325" s="91">
        <f t="shared" si="95"/>
        <v>0</v>
      </c>
      <c r="L325" s="92">
        <f t="shared" si="95"/>
        <v>732.46749999999997</v>
      </c>
      <c r="M325" s="147">
        <f t="shared" si="95"/>
        <v>0</v>
      </c>
      <c r="N325" s="148">
        <f t="shared" si="95"/>
        <v>732.46749999999997</v>
      </c>
    </row>
    <row r="326" spans="1:16" ht="30" customHeight="1">
      <c r="A326" s="46" t="s">
        <v>229</v>
      </c>
      <c r="B326" s="39" t="s">
        <v>353</v>
      </c>
      <c r="C326" s="39" t="s">
        <v>33</v>
      </c>
      <c r="D326" s="39" t="s">
        <v>33</v>
      </c>
      <c r="E326" s="39" t="s">
        <v>230</v>
      </c>
      <c r="F326" s="554"/>
      <c r="G326" s="291" t="e">
        <f t="shared" si="95"/>
        <v>#REF!</v>
      </c>
      <c r="H326" s="62">
        <f t="shared" si="95"/>
        <v>0</v>
      </c>
      <c r="I326" s="61">
        <f t="shared" si="95"/>
        <v>0</v>
      </c>
      <c r="J326" s="728">
        <f t="shared" si="95"/>
        <v>732.46749999999997</v>
      </c>
      <c r="K326" s="42">
        <f t="shared" si="95"/>
        <v>0</v>
      </c>
      <c r="L326" s="43">
        <f t="shared" si="95"/>
        <v>732.46749999999997</v>
      </c>
      <c r="M326" s="63">
        <f t="shared" si="95"/>
        <v>0</v>
      </c>
      <c r="N326" s="64">
        <f t="shared" si="95"/>
        <v>732.46749999999997</v>
      </c>
    </row>
    <row r="327" spans="1:16" ht="15" customHeight="1">
      <c r="A327" s="46" t="s">
        <v>231</v>
      </c>
      <c r="B327" s="39" t="s">
        <v>353</v>
      </c>
      <c r="C327" s="39" t="s">
        <v>33</v>
      </c>
      <c r="D327" s="39" t="s">
        <v>33</v>
      </c>
      <c r="E327" s="39" t="s">
        <v>232</v>
      </c>
      <c r="F327" s="554"/>
      <c r="G327" s="291" t="e">
        <f>G328+#REF!</f>
        <v>#REF!</v>
      </c>
      <c r="H327" s="41">
        <f t="shared" si="95"/>
        <v>0</v>
      </c>
      <c r="I327" s="61">
        <f t="shared" si="95"/>
        <v>0</v>
      </c>
      <c r="J327" s="728">
        <f t="shared" si="95"/>
        <v>732.46749999999997</v>
      </c>
      <c r="K327" s="42">
        <f t="shared" si="95"/>
        <v>0</v>
      </c>
      <c r="L327" s="43">
        <f t="shared" si="95"/>
        <v>732.46749999999997</v>
      </c>
      <c r="M327" s="63">
        <f t="shared" si="95"/>
        <v>0</v>
      </c>
      <c r="N327" s="64">
        <f t="shared" si="95"/>
        <v>732.46749999999997</v>
      </c>
    </row>
    <row r="328" spans="1:16" ht="27.75" customHeight="1">
      <c r="A328" s="46" t="s">
        <v>153</v>
      </c>
      <c r="B328" s="39" t="s">
        <v>353</v>
      </c>
      <c r="C328" s="39" t="s">
        <v>33</v>
      </c>
      <c r="D328" s="39" t="s">
        <v>33</v>
      </c>
      <c r="E328" s="39" t="s">
        <v>232</v>
      </c>
      <c r="F328" s="554" t="s">
        <v>143</v>
      </c>
      <c r="G328" s="291">
        <v>321</v>
      </c>
      <c r="H328" s="41"/>
      <c r="I328" s="61"/>
      <c r="J328" s="728">
        <v>732.46749999999997</v>
      </c>
      <c r="K328" s="42"/>
      <c r="L328" s="43">
        <f>J328+K328</f>
        <v>732.46749999999997</v>
      </c>
      <c r="M328" s="63"/>
      <c r="N328" s="45">
        <f>L328+M328</f>
        <v>732.46749999999997</v>
      </c>
      <c r="O328" s="11">
        <v>1699</v>
      </c>
      <c r="P328" s="15">
        <f>K328</f>
        <v>0</v>
      </c>
    </row>
    <row r="329" spans="1:16">
      <c r="A329" s="231" t="s">
        <v>87</v>
      </c>
      <c r="B329" s="49" t="s">
        <v>353</v>
      </c>
      <c r="C329" s="49" t="s">
        <v>86</v>
      </c>
      <c r="D329" s="49"/>
      <c r="E329" s="49"/>
      <c r="F329" s="562"/>
      <c r="G329" s="545" t="e">
        <f t="shared" ref="G329:M329" si="96">G330+G337+G347+G399</f>
        <v>#REF!</v>
      </c>
      <c r="H329" s="144">
        <f t="shared" si="96"/>
        <v>42153.4</v>
      </c>
      <c r="I329" s="145">
        <f t="shared" si="96"/>
        <v>0</v>
      </c>
      <c r="J329" s="52">
        <f t="shared" si="96"/>
        <v>52831.709000000003</v>
      </c>
      <c r="K329" s="729">
        <f t="shared" si="96"/>
        <v>6124.3469999999998</v>
      </c>
      <c r="L329" s="53">
        <f t="shared" si="96"/>
        <v>58956.055999999997</v>
      </c>
      <c r="M329" s="53">
        <f t="shared" si="96"/>
        <v>135.5</v>
      </c>
      <c r="N329" s="146">
        <f>N330+N337+N347+N399</f>
        <v>44873.875999999997</v>
      </c>
    </row>
    <row r="330" spans="1:16">
      <c r="A330" s="176" t="s">
        <v>89</v>
      </c>
      <c r="B330" s="38" t="s">
        <v>353</v>
      </c>
      <c r="C330" s="38" t="s">
        <v>86</v>
      </c>
      <c r="D330" s="38" t="s">
        <v>22</v>
      </c>
      <c r="E330" s="38"/>
      <c r="F330" s="556"/>
      <c r="G330" s="518" t="e">
        <f t="shared" ref="G330:M330" si="97">G331+G333</f>
        <v>#REF!</v>
      </c>
      <c r="H330" s="84">
        <f t="shared" si="97"/>
        <v>1925.2</v>
      </c>
      <c r="I330" s="67">
        <f t="shared" si="97"/>
        <v>0</v>
      </c>
      <c r="J330" s="734">
        <f>J331+J333+J335</f>
        <v>1593.18</v>
      </c>
      <c r="K330" s="91">
        <f>K331+K333+K335</f>
        <v>0</v>
      </c>
      <c r="L330" s="92">
        <f>L331+L333+L335</f>
        <v>1593.18</v>
      </c>
      <c r="M330" s="147">
        <f t="shared" si="97"/>
        <v>0</v>
      </c>
      <c r="N330" s="203">
        <f>N331+N333</f>
        <v>83.18</v>
      </c>
    </row>
    <row r="331" spans="1:16" ht="75" hidden="1">
      <c r="A331" s="176" t="s">
        <v>355</v>
      </c>
      <c r="B331" s="39" t="s">
        <v>353</v>
      </c>
      <c r="C331" s="39" t="s">
        <v>86</v>
      </c>
      <c r="D331" s="39" t="s">
        <v>22</v>
      </c>
      <c r="E331" s="39" t="s">
        <v>356</v>
      </c>
      <c r="F331" s="554"/>
      <c r="G331" s="291">
        <f t="shared" ref="G331:N331" si="98">G332</f>
        <v>-227</v>
      </c>
      <c r="H331" s="62">
        <f t="shared" si="98"/>
        <v>1925.2</v>
      </c>
      <c r="I331" s="61">
        <f t="shared" si="98"/>
        <v>0</v>
      </c>
      <c r="J331" s="728">
        <f t="shared" si="98"/>
        <v>0</v>
      </c>
      <c r="K331" s="42">
        <f t="shared" si="98"/>
        <v>0</v>
      </c>
      <c r="L331" s="43">
        <f t="shared" si="98"/>
        <v>0</v>
      </c>
      <c r="M331" s="63">
        <f t="shared" si="98"/>
        <v>0</v>
      </c>
      <c r="N331" s="64">
        <f t="shared" si="98"/>
        <v>0</v>
      </c>
    </row>
    <row r="332" spans="1:16" hidden="1">
      <c r="A332" s="176" t="s">
        <v>244</v>
      </c>
      <c r="B332" s="39" t="s">
        <v>353</v>
      </c>
      <c r="C332" s="39" t="s">
        <v>86</v>
      </c>
      <c r="D332" s="39" t="s">
        <v>22</v>
      </c>
      <c r="E332" s="39" t="s">
        <v>356</v>
      </c>
      <c r="F332" s="554" t="s">
        <v>245</v>
      </c>
      <c r="G332" s="291">
        <f>-227</f>
        <v>-227</v>
      </c>
      <c r="H332" s="41">
        <v>1925.2</v>
      </c>
      <c r="I332" s="61"/>
      <c r="J332" s="728"/>
      <c r="K332" s="42"/>
      <c r="L332" s="43">
        <f>J332+K332</f>
        <v>0</v>
      </c>
      <c r="M332" s="63"/>
      <c r="N332" s="45">
        <f>L332+M332</f>
        <v>0</v>
      </c>
    </row>
    <row r="333" spans="1:16" ht="60">
      <c r="A333" s="176" t="s">
        <v>357</v>
      </c>
      <c r="B333" s="39" t="s">
        <v>353</v>
      </c>
      <c r="C333" s="39" t="s">
        <v>86</v>
      </c>
      <c r="D333" s="39" t="s">
        <v>22</v>
      </c>
      <c r="E333" s="39" t="s">
        <v>358</v>
      </c>
      <c r="F333" s="554"/>
      <c r="G333" s="291" t="e">
        <f t="shared" ref="G333:N333" si="99">G334</f>
        <v>#REF!</v>
      </c>
      <c r="H333" s="41">
        <f t="shared" si="99"/>
        <v>0</v>
      </c>
      <c r="I333" s="61">
        <f t="shared" si="99"/>
        <v>0</v>
      </c>
      <c r="J333" s="728">
        <f t="shared" si="99"/>
        <v>83.18</v>
      </c>
      <c r="K333" s="42">
        <f t="shared" si="99"/>
        <v>0</v>
      </c>
      <c r="L333" s="43">
        <f t="shared" si="99"/>
        <v>83.18</v>
      </c>
      <c r="M333" s="63">
        <f t="shared" si="99"/>
        <v>0</v>
      </c>
      <c r="N333" s="45">
        <f t="shared" si="99"/>
        <v>83.18</v>
      </c>
    </row>
    <row r="334" spans="1:16">
      <c r="A334" s="176" t="s">
        <v>244</v>
      </c>
      <c r="B334" s="39" t="s">
        <v>353</v>
      </c>
      <c r="C334" s="39" t="s">
        <v>86</v>
      </c>
      <c r="D334" s="39" t="s">
        <v>22</v>
      </c>
      <c r="E334" s="39" t="s">
        <v>358</v>
      </c>
      <c r="F334" s="554" t="s">
        <v>245</v>
      </c>
      <c r="G334" s="515" t="e">
        <f>H334-#REF!</f>
        <v>#REF!</v>
      </c>
      <c r="H334" s="41"/>
      <c r="I334" s="40"/>
      <c r="J334" s="728">
        <v>83.18</v>
      </c>
      <c r="K334" s="42"/>
      <c r="L334" s="43">
        <f>J334+K334</f>
        <v>83.18</v>
      </c>
      <c r="M334" s="44"/>
      <c r="N334" s="45">
        <f>L334+M334</f>
        <v>83.18</v>
      </c>
      <c r="O334" s="65">
        <v>83.18</v>
      </c>
      <c r="P334" s="14">
        <f>L334-O334</f>
        <v>0</v>
      </c>
    </row>
    <row r="335" spans="1:16" ht="75">
      <c r="A335" s="176" t="s">
        <v>355</v>
      </c>
      <c r="B335" s="39" t="s">
        <v>353</v>
      </c>
      <c r="C335" s="39" t="s">
        <v>86</v>
      </c>
      <c r="D335" s="39" t="s">
        <v>22</v>
      </c>
      <c r="E335" s="39" t="s">
        <v>359</v>
      </c>
      <c r="F335" s="554"/>
      <c r="G335" s="515"/>
      <c r="H335" s="41"/>
      <c r="I335" s="40"/>
      <c r="J335" s="728">
        <f>J336</f>
        <v>1510</v>
      </c>
      <c r="K335" s="42">
        <f>K336</f>
        <v>0</v>
      </c>
      <c r="L335" s="43">
        <f>L336</f>
        <v>1510</v>
      </c>
      <c r="M335" s="44"/>
      <c r="N335" s="45"/>
    </row>
    <row r="336" spans="1:16">
      <c r="A336" s="176" t="s">
        <v>244</v>
      </c>
      <c r="B336" s="39" t="s">
        <v>353</v>
      </c>
      <c r="C336" s="39" t="s">
        <v>86</v>
      </c>
      <c r="D336" s="39" t="s">
        <v>22</v>
      </c>
      <c r="E336" s="208" t="s">
        <v>359</v>
      </c>
      <c r="F336" s="568" t="s">
        <v>245</v>
      </c>
      <c r="G336" s="515"/>
      <c r="H336" s="41"/>
      <c r="I336" s="40"/>
      <c r="J336" s="728">
        <v>1510</v>
      </c>
      <c r="K336" s="42"/>
      <c r="L336" s="43">
        <f>J336+K336</f>
        <v>1510</v>
      </c>
      <c r="M336" s="44"/>
      <c r="N336" s="45"/>
      <c r="O336" s="11">
        <v>1510</v>
      </c>
      <c r="P336" s="15">
        <f>K336</f>
        <v>0</v>
      </c>
    </row>
    <row r="337" spans="1:16" ht="29.25">
      <c r="A337" s="178" t="s">
        <v>90</v>
      </c>
      <c r="B337" s="38" t="s">
        <v>353</v>
      </c>
      <c r="C337" s="38" t="s">
        <v>86</v>
      </c>
      <c r="D337" s="38" t="s">
        <v>23</v>
      </c>
      <c r="E337" s="38"/>
      <c r="F337" s="556"/>
      <c r="G337" s="518">
        <f t="shared" ref="G337:M337" si="100">G342+G338+G340</f>
        <v>6</v>
      </c>
      <c r="H337" s="90">
        <f t="shared" si="100"/>
        <v>4331.8999999999996</v>
      </c>
      <c r="I337" s="67">
        <f t="shared" si="100"/>
        <v>0</v>
      </c>
      <c r="J337" s="734">
        <f>J342+J338+J340+J345</f>
        <v>6930.4129999999996</v>
      </c>
      <c r="K337" s="91">
        <f>K342+K338+K340+K345</f>
        <v>1098.347</v>
      </c>
      <c r="L337" s="92">
        <f>L342+L338+L340+L345</f>
        <v>8028.76</v>
      </c>
      <c r="M337" s="147">
        <f t="shared" si="100"/>
        <v>182.5</v>
      </c>
      <c r="N337" s="148">
        <f>N342+N338+N340</f>
        <v>7885.76</v>
      </c>
    </row>
    <row r="338" spans="1:16" ht="75">
      <c r="A338" s="142" t="s">
        <v>360</v>
      </c>
      <c r="B338" s="39" t="s">
        <v>353</v>
      </c>
      <c r="C338" s="39" t="s">
        <v>86</v>
      </c>
      <c r="D338" s="39" t="s">
        <v>23</v>
      </c>
      <c r="E338" s="39" t="s">
        <v>361</v>
      </c>
      <c r="F338" s="554"/>
      <c r="G338" s="291">
        <f t="shared" ref="G338:N338" si="101">G339</f>
        <v>4570.2999999999993</v>
      </c>
      <c r="H338" s="62">
        <f t="shared" si="101"/>
        <v>0</v>
      </c>
      <c r="I338" s="61">
        <f t="shared" si="101"/>
        <v>0</v>
      </c>
      <c r="J338" s="728">
        <f t="shared" si="101"/>
        <v>6608.0569999999998</v>
      </c>
      <c r="K338" s="42">
        <f t="shared" si="101"/>
        <v>1095.203</v>
      </c>
      <c r="L338" s="43">
        <f t="shared" si="101"/>
        <v>7703.26</v>
      </c>
      <c r="M338" s="63">
        <f t="shared" si="101"/>
        <v>250</v>
      </c>
      <c r="N338" s="64">
        <f t="shared" si="101"/>
        <v>7953.26</v>
      </c>
    </row>
    <row r="339" spans="1:16" ht="30">
      <c r="A339" s="177" t="s">
        <v>142</v>
      </c>
      <c r="B339" s="39" t="s">
        <v>353</v>
      </c>
      <c r="C339" s="39" t="s">
        <v>86</v>
      </c>
      <c r="D339" s="39" t="s">
        <v>23</v>
      </c>
      <c r="E339" s="39" t="s">
        <v>361</v>
      </c>
      <c r="F339" s="554" t="s">
        <v>143</v>
      </c>
      <c r="G339" s="291">
        <f>4569.9+0.4</f>
        <v>4570.2999999999993</v>
      </c>
      <c r="H339" s="41"/>
      <c r="I339" s="61"/>
      <c r="J339" s="728">
        <f>6395.2+212.857</f>
        <v>6608.0569999999998</v>
      </c>
      <c r="K339" s="42">
        <f>856.203+239</f>
        <v>1095.203</v>
      </c>
      <c r="L339" s="43">
        <f>J339+K339</f>
        <v>7703.26</v>
      </c>
      <c r="M339" s="63">
        <v>250</v>
      </c>
      <c r="N339" s="45">
        <f>L339+M339</f>
        <v>7953.26</v>
      </c>
    </row>
    <row r="340" spans="1:16" ht="80.25" hidden="1" customHeight="1">
      <c r="A340" s="176" t="s">
        <v>355</v>
      </c>
      <c r="B340" s="39" t="s">
        <v>353</v>
      </c>
      <c r="C340" s="39" t="s">
        <v>86</v>
      </c>
      <c r="D340" s="39" t="s">
        <v>23</v>
      </c>
      <c r="E340" s="39" t="s">
        <v>356</v>
      </c>
      <c r="F340" s="554"/>
      <c r="G340" s="291">
        <f t="shared" ref="G340:N340" si="102">G341</f>
        <v>0</v>
      </c>
      <c r="H340" s="62">
        <f t="shared" si="102"/>
        <v>0</v>
      </c>
      <c r="I340" s="61">
        <f t="shared" si="102"/>
        <v>0</v>
      </c>
      <c r="J340" s="728">
        <f t="shared" si="102"/>
        <v>0</v>
      </c>
      <c r="K340" s="42">
        <f t="shared" si="102"/>
        <v>0</v>
      </c>
      <c r="L340" s="43">
        <f t="shared" si="102"/>
        <v>0</v>
      </c>
      <c r="M340" s="63">
        <f t="shared" si="102"/>
        <v>0</v>
      </c>
      <c r="N340" s="64">
        <f t="shared" si="102"/>
        <v>0</v>
      </c>
    </row>
    <row r="341" spans="1:16" ht="12.75" hidden="1" customHeight="1">
      <c r="A341" s="176" t="s">
        <v>244</v>
      </c>
      <c r="B341" s="39" t="s">
        <v>353</v>
      </c>
      <c r="C341" s="39" t="s">
        <v>86</v>
      </c>
      <c r="D341" s="39" t="s">
        <v>23</v>
      </c>
      <c r="E341" s="39" t="s">
        <v>356</v>
      </c>
      <c r="F341" s="554" t="s">
        <v>245</v>
      </c>
      <c r="G341" s="291">
        <v>0</v>
      </c>
      <c r="H341" s="41"/>
      <c r="I341" s="61">
        <v>0</v>
      </c>
      <c r="J341" s="728">
        <f>H341+I341</f>
        <v>0</v>
      </c>
      <c r="K341" s="42">
        <v>0</v>
      </c>
      <c r="L341" s="43">
        <f>J341+K341</f>
        <v>0</v>
      </c>
      <c r="M341" s="63">
        <v>0</v>
      </c>
      <c r="N341" s="45">
        <f>L341+M341</f>
        <v>0</v>
      </c>
    </row>
    <row r="342" spans="1:16" ht="30" hidden="1">
      <c r="A342" s="177" t="s">
        <v>362</v>
      </c>
      <c r="B342" s="39" t="s">
        <v>353</v>
      </c>
      <c r="C342" s="39" t="s">
        <v>86</v>
      </c>
      <c r="D342" s="39" t="s">
        <v>23</v>
      </c>
      <c r="E342" s="39" t="s">
        <v>363</v>
      </c>
      <c r="F342" s="554"/>
      <c r="G342" s="291">
        <f t="shared" ref="G342:N345" si="103">G343</f>
        <v>-4564.2999999999993</v>
      </c>
      <c r="H342" s="62">
        <f t="shared" si="103"/>
        <v>4331.8999999999996</v>
      </c>
      <c r="I342" s="61">
        <f t="shared" si="103"/>
        <v>0</v>
      </c>
      <c r="J342" s="728">
        <f t="shared" si="103"/>
        <v>0</v>
      </c>
      <c r="K342" s="42">
        <f t="shared" si="103"/>
        <v>0</v>
      </c>
      <c r="L342" s="43">
        <f t="shared" si="103"/>
        <v>0</v>
      </c>
      <c r="M342" s="63">
        <f t="shared" si="103"/>
        <v>-67.5</v>
      </c>
      <c r="N342" s="64">
        <f t="shared" si="103"/>
        <v>-67.5</v>
      </c>
    </row>
    <row r="343" spans="1:16" ht="30" hidden="1">
      <c r="A343" s="177" t="s">
        <v>146</v>
      </c>
      <c r="B343" s="39" t="s">
        <v>353</v>
      </c>
      <c r="C343" s="39" t="s">
        <v>86</v>
      </c>
      <c r="D343" s="39" t="s">
        <v>23</v>
      </c>
      <c r="E343" s="39" t="s">
        <v>364</v>
      </c>
      <c r="F343" s="554"/>
      <c r="G343" s="291">
        <f t="shared" si="103"/>
        <v>-4564.2999999999993</v>
      </c>
      <c r="H343" s="62">
        <f t="shared" si="103"/>
        <v>4331.8999999999996</v>
      </c>
      <c r="I343" s="61">
        <f t="shared" si="103"/>
        <v>0</v>
      </c>
      <c r="J343" s="728">
        <f t="shared" si="103"/>
        <v>0</v>
      </c>
      <c r="K343" s="42">
        <f t="shared" si="103"/>
        <v>0</v>
      </c>
      <c r="L343" s="43">
        <f t="shared" si="103"/>
        <v>0</v>
      </c>
      <c r="M343" s="63">
        <f t="shared" si="103"/>
        <v>-67.5</v>
      </c>
      <c r="N343" s="64">
        <f t="shared" si="103"/>
        <v>-67.5</v>
      </c>
    </row>
    <row r="344" spans="1:16" ht="30" hidden="1">
      <c r="A344" s="177" t="s">
        <v>142</v>
      </c>
      <c r="B344" s="39" t="s">
        <v>353</v>
      </c>
      <c r="C344" s="39" t="s">
        <v>86</v>
      </c>
      <c r="D344" s="39" t="s">
        <v>23</v>
      </c>
      <c r="E344" s="39" t="s">
        <v>364</v>
      </c>
      <c r="F344" s="554" t="s">
        <v>143</v>
      </c>
      <c r="G344" s="291">
        <f>6-15.4-4569.9+15</f>
        <v>-4564.2999999999993</v>
      </c>
      <c r="H344" s="41">
        <v>4331.8999999999996</v>
      </c>
      <c r="I344" s="61"/>
      <c r="J344" s="728"/>
      <c r="K344" s="42"/>
      <c r="L344" s="43">
        <f>J344+K344</f>
        <v>0</v>
      </c>
      <c r="M344" s="63">
        <f>-17.5-50</f>
        <v>-67.5</v>
      </c>
      <c r="N344" s="45">
        <f>L344+M344</f>
        <v>-67.5</v>
      </c>
    </row>
    <row r="345" spans="1:16" ht="30">
      <c r="A345" s="177" t="s">
        <v>146</v>
      </c>
      <c r="B345" s="39" t="s">
        <v>353</v>
      </c>
      <c r="C345" s="39" t="s">
        <v>86</v>
      </c>
      <c r="D345" s="39" t="s">
        <v>23</v>
      </c>
      <c r="E345" s="39" t="s">
        <v>365</v>
      </c>
      <c r="F345" s="554"/>
      <c r="G345" s="291"/>
      <c r="H345" s="41"/>
      <c r="I345" s="61"/>
      <c r="J345" s="42">
        <f t="shared" si="103"/>
        <v>322.35599999999999</v>
      </c>
      <c r="K345" s="42">
        <f t="shared" si="103"/>
        <v>3.1439999999999997</v>
      </c>
      <c r="L345" s="43">
        <f t="shared" si="103"/>
        <v>325.5</v>
      </c>
      <c r="M345" s="63"/>
      <c r="N345" s="45"/>
    </row>
    <row r="346" spans="1:16" ht="30">
      <c r="A346" s="177" t="s">
        <v>142</v>
      </c>
      <c r="B346" s="39" t="s">
        <v>353</v>
      </c>
      <c r="C346" s="39" t="s">
        <v>86</v>
      </c>
      <c r="D346" s="39" t="s">
        <v>23</v>
      </c>
      <c r="E346" s="39" t="s">
        <v>365</v>
      </c>
      <c r="F346" s="554" t="s">
        <v>143</v>
      </c>
      <c r="G346" s="291"/>
      <c r="H346" s="41"/>
      <c r="I346" s="61"/>
      <c r="J346" s="728">
        <v>322.35599999999999</v>
      </c>
      <c r="K346" s="42">
        <f>5.6-2.456</f>
        <v>3.1439999999999997</v>
      </c>
      <c r="L346" s="43">
        <f>J346+K346</f>
        <v>325.5</v>
      </c>
      <c r="M346" s="63"/>
      <c r="N346" s="45"/>
      <c r="O346" s="65">
        <f>178.92+171.97</f>
        <v>350.89</v>
      </c>
      <c r="P346" s="66">
        <f>L346-O346</f>
        <v>-25.389999999999986</v>
      </c>
    </row>
    <row r="347" spans="1:16" ht="29.25">
      <c r="A347" s="260" t="s">
        <v>241</v>
      </c>
      <c r="B347" s="38" t="s">
        <v>353</v>
      </c>
      <c r="C347" s="38" t="s">
        <v>86</v>
      </c>
      <c r="D347" s="38" t="s">
        <v>25</v>
      </c>
      <c r="E347" s="38"/>
      <c r="F347" s="556"/>
      <c r="G347" s="521">
        <f t="shared" ref="G347:M347" si="104">G350+G396+G348</f>
        <v>3317.9229300000006</v>
      </c>
      <c r="H347" s="82">
        <f t="shared" si="104"/>
        <v>34738.200000000004</v>
      </c>
      <c r="I347" s="81">
        <f t="shared" si="104"/>
        <v>0</v>
      </c>
      <c r="J347" s="734">
        <f t="shared" si="104"/>
        <v>42314.186000000002</v>
      </c>
      <c r="K347" s="91">
        <f>K350+K396+K348</f>
        <v>5026</v>
      </c>
      <c r="L347" s="92">
        <f t="shared" si="104"/>
        <v>47340.185999999994</v>
      </c>
      <c r="M347" s="92">
        <f t="shared" si="104"/>
        <v>122</v>
      </c>
      <c r="N347" s="150">
        <f>N350+N396+N348</f>
        <v>35255.185999999994</v>
      </c>
    </row>
    <row r="348" spans="1:16" ht="75" hidden="1" customHeight="1">
      <c r="A348" s="56" t="s">
        <v>138</v>
      </c>
      <c r="B348" s="38" t="s">
        <v>353</v>
      </c>
      <c r="C348" s="38" t="s">
        <v>86</v>
      </c>
      <c r="D348" s="38" t="s">
        <v>25</v>
      </c>
      <c r="E348" s="38" t="s">
        <v>139</v>
      </c>
      <c r="F348" s="556"/>
      <c r="G348" s="518">
        <f t="shared" ref="G348:N348" si="105">G349</f>
        <v>3</v>
      </c>
      <c r="H348" s="90">
        <f t="shared" si="105"/>
        <v>0</v>
      </c>
      <c r="I348" s="67">
        <f t="shared" si="105"/>
        <v>0</v>
      </c>
      <c r="J348" s="734">
        <f t="shared" si="105"/>
        <v>0</v>
      </c>
      <c r="K348" s="91">
        <f t="shared" si="105"/>
        <v>0</v>
      </c>
      <c r="L348" s="92">
        <f t="shared" si="105"/>
        <v>0</v>
      </c>
      <c r="M348" s="147">
        <f t="shared" si="105"/>
        <v>0</v>
      </c>
      <c r="N348" s="148">
        <f t="shared" si="105"/>
        <v>0</v>
      </c>
    </row>
    <row r="349" spans="1:16" ht="15" hidden="1" customHeight="1">
      <c r="A349" s="176" t="s">
        <v>244</v>
      </c>
      <c r="B349" s="38" t="s">
        <v>353</v>
      </c>
      <c r="C349" s="38" t="s">
        <v>86</v>
      </c>
      <c r="D349" s="38" t="s">
        <v>25</v>
      </c>
      <c r="E349" s="38" t="s">
        <v>139</v>
      </c>
      <c r="F349" s="556" t="s">
        <v>245</v>
      </c>
      <c r="G349" s="518">
        <v>3</v>
      </c>
      <c r="H349" s="41"/>
      <c r="I349" s="67"/>
      <c r="J349" s="728">
        <f>H349+I349</f>
        <v>0</v>
      </c>
      <c r="K349" s="91"/>
      <c r="L349" s="43">
        <f>J349+K349</f>
        <v>0</v>
      </c>
      <c r="M349" s="147"/>
      <c r="N349" s="45">
        <f>L349+M349</f>
        <v>0</v>
      </c>
    </row>
    <row r="350" spans="1:16">
      <c r="A350" s="229" t="s">
        <v>366</v>
      </c>
      <c r="B350" s="39" t="s">
        <v>353</v>
      </c>
      <c r="C350" s="39" t="s">
        <v>86</v>
      </c>
      <c r="D350" s="39" t="s">
        <v>25</v>
      </c>
      <c r="E350" s="39" t="s">
        <v>367</v>
      </c>
      <c r="F350" s="554"/>
      <c r="G350" s="522">
        <f t="shared" ref="G350:M350" si="106">G351+G353+G356++G358+G360+G362+G365+G368+G370+G372++G375+G388+G390+G392+G394+G386</f>
        <v>6827.9229300000006</v>
      </c>
      <c r="H350" s="87">
        <f t="shared" si="106"/>
        <v>31056.600000000002</v>
      </c>
      <c r="I350" s="86">
        <f t="shared" si="106"/>
        <v>0</v>
      </c>
      <c r="J350" s="728">
        <f>J351+J353+J356++J358+J360+J362+J365+J368+J370+J372++J375+J388+J390+J392+J394+J386+J379+J381+J383</f>
        <v>42314.186000000002</v>
      </c>
      <c r="K350" s="42">
        <f>K351+K353+K356++K358+K360+K362+K365+K368+K370+K372++K375+K388+K390+K392+K394+K386+K379+K381+K383</f>
        <v>5026</v>
      </c>
      <c r="L350" s="43">
        <f>L351+L353+L356++L358+L360+L362+L365+L368+L370+L372++L375+L388+L390+L392+L394+L386+L379+L381+L383</f>
        <v>47340.185999999994</v>
      </c>
      <c r="M350" s="43">
        <f t="shared" si="106"/>
        <v>122</v>
      </c>
      <c r="N350" s="83">
        <f>N351+N353+N356++N358+N360+N362+N365+N368+N370+N372++N375+N388+N390+N392+N394+N386</f>
        <v>35255.185999999994</v>
      </c>
    </row>
    <row r="351" spans="1:16" ht="90" hidden="1">
      <c r="A351" s="176" t="s">
        <v>368</v>
      </c>
      <c r="B351" s="39" t="s">
        <v>353</v>
      </c>
      <c r="C351" s="39" t="s">
        <v>86</v>
      </c>
      <c r="D351" s="39" t="s">
        <v>25</v>
      </c>
      <c r="E351" s="39" t="s">
        <v>369</v>
      </c>
      <c r="F351" s="554"/>
      <c r="G351" s="291">
        <f t="shared" ref="G351:N351" si="107">G352</f>
        <v>-206</v>
      </c>
      <c r="H351" s="62">
        <f t="shared" si="107"/>
        <v>215.9</v>
      </c>
      <c r="I351" s="61">
        <f t="shared" si="107"/>
        <v>0</v>
      </c>
      <c r="J351" s="728">
        <f t="shared" si="107"/>
        <v>0</v>
      </c>
      <c r="K351" s="42">
        <f t="shared" si="107"/>
        <v>0</v>
      </c>
      <c r="L351" s="43">
        <f t="shared" si="107"/>
        <v>0</v>
      </c>
      <c r="M351" s="63">
        <f t="shared" si="107"/>
        <v>0</v>
      </c>
      <c r="N351" s="64">
        <f t="shared" si="107"/>
        <v>0</v>
      </c>
    </row>
    <row r="352" spans="1:16" hidden="1">
      <c r="A352" s="176" t="s">
        <v>244</v>
      </c>
      <c r="B352" s="39" t="s">
        <v>353</v>
      </c>
      <c r="C352" s="39" t="s">
        <v>86</v>
      </c>
      <c r="D352" s="39" t="s">
        <v>25</v>
      </c>
      <c r="E352" s="39" t="s">
        <v>369</v>
      </c>
      <c r="F352" s="554" t="s">
        <v>245</v>
      </c>
      <c r="G352" s="291">
        <v>-206</v>
      </c>
      <c r="H352" s="41">
        <v>215.9</v>
      </c>
      <c r="I352" s="61"/>
      <c r="J352" s="728"/>
      <c r="K352" s="42"/>
      <c r="L352" s="43">
        <f>J352+K352</f>
        <v>0</v>
      </c>
      <c r="M352" s="63"/>
      <c r="N352" s="45">
        <f>L352+M352</f>
        <v>0</v>
      </c>
    </row>
    <row r="353" spans="1:16" ht="45">
      <c r="A353" s="176" t="s">
        <v>370</v>
      </c>
      <c r="B353" s="39" t="s">
        <v>353</v>
      </c>
      <c r="C353" s="39" t="s">
        <v>86</v>
      </c>
      <c r="D353" s="39" t="s">
        <v>25</v>
      </c>
      <c r="E353" s="39" t="s">
        <v>371</v>
      </c>
      <c r="F353" s="554"/>
      <c r="G353" s="522">
        <f t="shared" ref="G353:M353" si="108">G354+G355</f>
        <v>27.99813</v>
      </c>
      <c r="H353" s="87">
        <f t="shared" si="108"/>
        <v>87.7</v>
      </c>
      <c r="I353" s="86">
        <f t="shared" si="108"/>
        <v>0</v>
      </c>
      <c r="J353" s="728">
        <f t="shared" si="108"/>
        <v>115</v>
      </c>
      <c r="K353" s="42">
        <f t="shared" si="108"/>
        <v>0</v>
      </c>
      <c r="L353" s="43">
        <f t="shared" si="108"/>
        <v>115</v>
      </c>
      <c r="M353" s="43">
        <f t="shared" si="108"/>
        <v>0</v>
      </c>
      <c r="N353" s="83">
        <f>N354+N355</f>
        <v>115</v>
      </c>
    </row>
    <row r="354" spans="1:16" ht="30" hidden="1">
      <c r="A354" s="176" t="s">
        <v>142</v>
      </c>
      <c r="B354" s="39" t="s">
        <v>353</v>
      </c>
      <c r="C354" s="39" t="s">
        <v>86</v>
      </c>
      <c r="D354" s="39" t="s">
        <v>25</v>
      </c>
      <c r="E354" s="39" t="s">
        <v>371</v>
      </c>
      <c r="F354" s="554" t="s">
        <v>143</v>
      </c>
      <c r="G354" s="291"/>
      <c r="H354" s="41">
        <v>87.7</v>
      </c>
      <c r="I354" s="61"/>
      <c r="J354" s="728"/>
      <c r="K354" s="42"/>
      <c r="L354" s="43">
        <f>J354+K354</f>
        <v>0</v>
      </c>
      <c r="M354" s="63"/>
      <c r="N354" s="45">
        <f>L354+M354</f>
        <v>0</v>
      </c>
    </row>
    <row r="355" spans="1:16">
      <c r="A355" s="176" t="s">
        <v>244</v>
      </c>
      <c r="B355" s="39" t="s">
        <v>353</v>
      </c>
      <c r="C355" s="39" t="s">
        <v>86</v>
      </c>
      <c r="D355" s="39" t="s">
        <v>25</v>
      </c>
      <c r="E355" s="39" t="s">
        <v>371</v>
      </c>
      <c r="F355" s="554" t="s">
        <v>245</v>
      </c>
      <c r="G355" s="291">
        <v>27.99813</v>
      </c>
      <c r="H355" s="41"/>
      <c r="I355" s="61"/>
      <c r="J355" s="728">
        <v>115</v>
      </c>
      <c r="K355" s="42"/>
      <c r="L355" s="43">
        <f>J355+K355</f>
        <v>115</v>
      </c>
      <c r="M355" s="63"/>
      <c r="N355" s="45">
        <f>L355+M355</f>
        <v>115</v>
      </c>
      <c r="O355" s="11">
        <v>115</v>
      </c>
      <c r="P355" s="15">
        <f>K355</f>
        <v>0</v>
      </c>
    </row>
    <row r="356" spans="1:16" ht="30" hidden="1">
      <c r="A356" s="186" t="s">
        <v>372</v>
      </c>
      <c r="B356" s="39" t="s">
        <v>353</v>
      </c>
      <c r="C356" s="39" t="s">
        <v>86</v>
      </c>
      <c r="D356" s="39" t="s">
        <v>25</v>
      </c>
      <c r="E356" s="39" t="s">
        <v>373</v>
      </c>
      <c r="F356" s="554"/>
      <c r="G356" s="291">
        <f t="shared" ref="G356:N356" si="109">G357</f>
        <v>0</v>
      </c>
      <c r="H356" s="62">
        <f t="shared" si="109"/>
        <v>7457.6</v>
      </c>
      <c r="I356" s="61">
        <f t="shared" si="109"/>
        <v>0</v>
      </c>
      <c r="J356" s="728">
        <f>J357</f>
        <v>0</v>
      </c>
      <c r="K356" s="42">
        <f t="shared" si="109"/>
        <v>0</v>
      </c>
      <c r="L356" s="43">
        <f t="shared" si="109"/>
        <v>0</v>
      </c>
      <c r="M356" s="63">
        <f t="shared" si="109"/>
        <v>0</v>
      </c>
      <c r="N356" s="64">
        <f t="shared" si="109"/>
        <v>0</v>
      </c>
    </row>
    <row r="357" spans="1:16" hidden="1">
      <c r="A357" s="186" t="s">
        <v>374</v>
      </c>
      <c r="B357" s="39" t="s">
        <v>353</v>
      </c>
      <c r="C357" s="39" t="s">
        <v>86</v>
      </c>
      <c r="D357" s="39" t="s">
        <v>25</v>
      </c>
      <c r="E357" s="39" t="s">
        <v>373</v>
      </c>
      <c r="F357" s="554" t="s">
        <v>245</v>
      </c>
      <c r="G357" s="291">
        <f>-2752.3+2752.3</f>
        <v>0</v>
      </c>
      <c r="H357" s="41">
        <v>7457.6</v>
      </c>
      <c r="I357" s="61"/>
      <c r="J357" s="728"/>
      <c r="K357" s="42"/>
      <c r="L357" s="43">
        <f>J357+K357</f>
        <v>0</v>
      </c>
      <c r="M357" s="63"/>
      <c r="N357" s="45">
        <f>L357+M357</f>
        <v>0</v>
      </c>
    </row>
    <row r="358" spans="1:16" hidden="1">
      <c r="A358" s="142" t="s">
        <v>374</v>
      </c>
      <c r="B358" s="39" t="s">
        <v>353</v>
      </c>
      <c r="C358" s="39" t="s">
        <v>86</v>
      </c>
      <c r="D358" s="39" t="s">
        <v>25</v>
      </c>
      <c r="E358" s="39" t="s">
        <v>375</v>
      </c>
      <c r="F358" s="554"/>
      <c r="G358" s="522">
        <f t="shared" ref="G358:N358" si="110">G359</f>
        <v>353.22045000000003</v>
      </c>
      <c r="H358" s="87">
        <f t="shared" si="110"/>
        <v>0</v>
      </c>
      <c r="I358" s="86">
        <f t="shared" si="110"/>
        <v>0</v>
      </c>
      <c r="J358" s="728">
        <f t="shared" si="110"/>
        <v>0</v>
      </c>
      <c r="K358" s="42">
        <f t="shared" si="110"/>
        <v>0</v>
      </c>
      <c r="L358" s="43">
        <f t="shared" si="110"/>
        <v>0</v>
      </c>
      <c r="M358" s="43">
        <f t="shared" si="110"/>
        <v>0</v>
      </c>
      <c r="N358" s="83">
        <f t="shared" si="110"/>
        <v>0</v>
      </c>
    </row>
    <row r="359" spans="1:16" hidden="1">
      <c r="A359" s="176" t="s">
        <v>244</v>
      </c>
      <c r="B359" s="39" t="s">
        <v>353</v>
      </c>
      <c r="C359" s="39" t="s">
        <v>86</v>
      </c>
      <c r="D359" s="39" t="s">
        <v>25</v>
      </c>
      <c r="E359" s="39" t="s">
        <v>375</v>
      </c>
      <c r="F359" s="554" t="s">
        <v>245</v>
      </c>
      <c r="G359" s="522">
        <v>353.22045000000003</v>
      </c>
      <c r="H359" s="41"/>
      <c r="I359" s="86"/>
      <c r="J359" s="728"/>
      <c r="K359" s="42"/>
      <c r="L359" s="43">
        <f>J359+K359</f>
        <v>0</v>
      </c>
      <c r="M359" s="43"/>
      <c r="N359" s="45">
        <f>L359+M359</f>
        <v>0</v>
      </c>
    </row>
    <row r="360" spans="1:16" ht="45" hidden="1">
      <c r="A360" s="142" t="s">
        <v>376</v>
      </c>
      <c r="B360" s="39" t="s">
        <v>353</v>
      </c>
      <c r="C360" s="39" t="s">
        <v>86</v>
      </c>
      <c r="D360" s="39" t="s">
        <v>25</v>
      </c>
      <c r="E360" s="39" t="s">
        <v>377</v>
      </c>
      <c r="F360" s="554"/>
      <c r="G360" s="522">
        <f t="shared" ref="G360:N360" si="111">G361</f>
        <v>909.37545</v>
      </c>
      <c r="H360" s="62">
        <f t="shared" si="111"/>
        <v>0</v>
      </c>
      <c r="I360" s="86">
        <f t="shared" si="111"/>
        <v>0</v>
      </c>
      <c r="J360" s="728">
        <f t="shared" si="111"/>
        <v>0</v>
      </c>
      <c r="K360" s="42">
        <f t="shared" si="111"/>
        <v>0</v>
      </c>
      <c r="L360" s="43">
        <f t="shared" si="111"/>
        <v>0</v>
      </c>
      <c r="M360" s="43">
        <f t="shared" si="111"/>
        <v>0</v>
      </c>
      <c r="N360" s="64">
        <f t="shared" si="111"/>
        <v>0</v>
      </c>
    </row>
    <row r="361" spans="1:16" hidden="1">
      <c r="A361" s="176" t="s">
        <v>244</v>
      </c>
      <c r="B361" s="39" t="s">
        <v>353</v>
      </c>
      <c r="C361" s="39" t="s">
        <v>86</v>
      </c>
      <c r="D361" s="39" t="s">
        <v>25</v>
      </c>
      <c r="E361" s="39" t="s">
        <v>377</v>
      </c>
      <c r="F361" s="554" t="s">
        <v>245</v>
      </c>
      <c r="G361" s="522">
        <f>0.17545+909.2</f>
        <v>909.37545</v>
      </c>
      <c r="H361" s="41"/>
      <c r="I361" s="86"/>
      <c r="J361" s="728"/>
      <c r="K361" s="42"/>
      <c r="L361" s="43">
        <f>J361+K361</f>
        <v>0</v>
      </c>
      <c r="M361" s="43"/>
      <c r="N361" s="45">
        <f>L361+M361</f>
        <v>0</v>
      </c>
    </row>
    <row r="362" spans="1:16" ht="45" hidden="1">
      <c r="A362" s="186" t="s">
        <v>376</v>
      </c>
      <c r="B362" s="39" t="s">
        <v>353</v>
      </c>
      <c r="C362" s="39" t="s">
        <v>86</v>
      </c>
      <c r="D362" s="39" t="s">
        <v>25</v>
      </c>
      <c r="E362" s="39" t="s">
        <v>378</v>
      </c>
      <c r="F362" s="554"/>
      <c r="G362" s="522">
        <f t="shared" ref="G362:M362" si="112">G363+G364</f>
        <v>-997.68505000000005</v>
      </c>
      <c r="H362" s="87">
        <f t="shared" si="112"/>
        <v>1557.3</v>
      </c>
      <c r="I362" s="86">
        <f t="shared" si="112"/>
        <v>0</v>
      </c>
      <c r="J362" s="728">
        <f t="shared" si="112"/>
        <v>0</v>
      </c>
      <c r="K362" s="42">
        <f t="shared" si="112"/>
        <v>0</v>
      </c>
      <c r="L362" s="43">
        <f t="shared" si="112"/>
        <v>0</v>
      </c>
      <c r="M362" s="43">
        <f t="shared" si="112"/>
        <v>0</v>
      </c>
      <c r="N362" s="83">
        <f>N363+N364</f>
        <v>0</v>
      </c>
    </row>
    <row r="363" spans="1:16" ht="30" hidden="1">
      <c r="A363" s="186" t="s">
        <v>379</v>
      </c>
      <c r="B363" s="39" t="s">
        <v>353</v>
      </c>
      <c r="C363" s="39" t="s">
        <v>86</v>
      </c>
      <c r="D363" s="39" t="s">
        <v>25</v>
      </c>
      <c r="E363" s="39" t="s">
        <v>380</v>
      </c>
      <c r="F363" s="554" t="s">
        <v>245</v>
      </c>
      <c r="G363" s="522">
        <f>1.51495-90+486.8</f>
        <v>398.31495000000001</v>
      </c>
      <c r="H363" s="41">
        <v>1557.3</v>
      </c>
      <c r="I363" s="86"/>
      <c r="J363" s="728"/>
      <c r="K363" s="42"/>
      <c r="L363" s="43">
        <f>J363+K363</f>
        <v>0</v>
      </c>
      <c r="M363" s="43"/>
      <c r="N363" s="45">
        <f>L363+M363</f>
        <v>0</v>
      </c>
    </row>
    <row r="364" spans="1:16" ht="30" hidden="1">
      <c r="A364" s="186" t="s">
        <v>381</v>
      </c>
      <c r="B364" s="39" t="s">
        <v>353</v>
      </c>
      <c r="C364" s="39" t="s">
        <v>86</v>
      </c>
      <c r="D364" s="39" t="s">
        <v>25</v>
      </c>
      <c r="E364" s="39" t="s">
        <v>380</v>
      </c>
      <c r="F364" s="554" t="s">
        <v>245</v>
      </c>
      <c r="G364" s="291">
        <v>-1396</v>
      </c>
      <c r="H364" s="41"/>
      <c r="I364" s="61"/>
      <c r="J364" s="728"/>
      <c r="K364" s="42"/>
      <c r="L364" s="43">
        <f>J364+K364</f>
        <v>0</v>
      </c>
      <c r="M364" s="63"/>
      <c r="N364" s="45">
        <f>L364+M364</f>
        <v>0</v>
      </c>
    </row>
    <row r="365" spans="1:16" ht="150" customHeight="1">
      <c r="A365" s="176" t="s">
        <v>382</v>
      </c>
      <c r="B365" s="39" t="s">
        <v>353</v>
      </c>
      <c r="C365" s="39" t="s">
        <v>86</v>
      </c>
      <c r="D365" s="39" t="s">
        <v>25</v>
      </c>
      <c r="E365" s="39" t="s">
        <v>383</v>
      </c>
      <c r="F365" s="554"/>
      <c r="G365" s="291">
        <f t="shared" ref="G365:N365" si="113">G367</f>
        <v>0</v>
      </c>
      <c r="H365" s="62">
        <f t="shared" si="113"/>
        <v>809.6</v>
      </c>
      <c r="I365" s="61">
        <f t="shared" si="113"/>
        <v>0</v>
      </c>
      <c r="J365" s="728">
        <f>J367+J366</f>
        <v>1116</v>
      </c>
      <c r="K365" s="42">
        <f>K367+K366</f>
        <v>1116</v>
      </c>
      <c r="L365" s="42">
        <f>L367+L366</f>
        <v>2232</v>
      </c>
      <c r="M365" s="63">
        <f t="shared" si="113"/>
        <v>0</v>
      </c>
      <c r="N365" s="64">
        <f t="shared" si="113"/>
        <v>1116</v>
      </c>
    </row>
    <row r="366" spans="1:16">
      <c r="A366" s="176" t="s">
        <v>244</v>
      </c>
      <c r="B366" s="39" t="s">
        <v>353</v>
      </c>
      <c r="C366" s="39" t="s">
        <v>86</v>
      </c>
      <c r="D366" s="39" t="s">
        <v>25</v>
      </c>
      <c r="E366" s="39" t="s">
        <v>1202</v>
      </c>
      <c r="F366" s="554" t="s">
        <v>245</v>
      </c>
      <c r="G366" s="291"/>
      <c r="H366" s="62"/>
      <c r="I366" s="61"/>
      <c r="J366" s="728"/>
      <c r="K366" s="42">
        <f>1116</f>
        <v>1116</v>
      </c>
      <c r="L366" s="43">
        <f>J366+K366</f>
        <v>1116</v>
      </c>
      <c r="M366" s="63"/>
      <c r="N366" s="64"/>
    </row>
    <row r="367" spans="1:16">
      <c r="A367" s="176" t="s">
        <v>244</v>
      </c>
      <c r="B367" s="39" t="s">
        <v>353</v>
      </c>
      <c r="C367" s="39" t="s">
        <v>86</v>
      </c>
      <c r="D367" s="39" t="s">
        <v>25</v>
      </c>
      <c r="E367" s="39" t="s">
        <v>384</v>
      </c>
      <c r="F367" s="554" t="s">
        <v>245</v>
      </c>
      <c r="G367" s="291"/>
      <c r="H367" s="41">
        <v>809.6</v>
      </c>
      <c r="I367" s="61"/>
      <c r="J367" s="728">
        <v>1116</v>
      </c>
      <c r="K367" s="42">
        <f>34.7-34.7</f>
        <v>0</v>
      </c>
      <c r="L367" s="43">
        <f>J367+K367</f>
        <v>1116</v>
      </c>
      <c r="M367" s="63"/>
      <c r="N367" s="45">
        <f>L367+M367</f>
        <v>1116</v>
      </c>
      <c r="O367" s="11">
        <v>558</v>
      </c>
      <c r="P367" s="15">
        <f>K367</f>
        <v>0</v>
      </c>
    </row>
    <row r="368" spans="1:16" ht="12" hidden="1" customHeight="1">
      <c r="A368" s="176" t="s">
        <v>385</v>
      </c>
      <c r="B368" s="39" t="s">
        <v>353</v>
      </c>
      <c r="C368" s="39" t="s">
        <v>86</v>
      </c>
      <c r="D368" s="39" t="s">
        <v>25</v>
      </c>
      <c r="E368" s="39" t="s">
        <v>386</v>
      </c>
      <c r="F368" s="554"/>
      <c r="G368" s="522">
        <f t="shared" ref="G368:N368" si="114">G369</f>
        <v>12.433579999999999</v>
      </c>
      <c r="H368" s="87">
        <f t="shared" si="114"/>
        <v>63.5</v>
      </c>
      <c r="I368" s="86">
        <f t="shared" si="114"/>
        <v>0</v>
      </c>
      <c r="J368" s="728">
        <f t="shared" si="114"/>
        <v>0</v>
      </c>
      <c r="K368" s="42">
        <f t="shared" si="114"/>
        <v>0</v>
      </c>
      <c r="L368" s="43">
        <f t="shared" si="114"/>
        <v>0</v>
      </c>
      <c r="M368" s="43">
        <f t="shared" si="114"/>
        <v>0</v>
      </c>
      <c r="N368" s="83">
        <f t="shared" si="114"/>
        <v>0</v>
      </c>
    </row>
    <row r="369" spans="1:16" ht="17.25" hidden="1" customHeight="1">
      <c r="A369" s="176" t="s">
        <v>244</v>
      </c>
      <c r="B369" s="39" t="s">
        <v>353</v>
      </c>
      <c r="C369" s="39" t="s">
        <v>86</v>
      </c>
      <c r="D369" s="39" t="s">
        <v>25</v>
      </c>
      <c r="E369" s="39" t="s">
        <v>386</v>
      </c>
      <c r="F369" s="554" t="s">
        <v>245</v>
      </c>
      <c r="G369" s="522">
        <v>12.433579999999999</v>
      </c>
      <c r="H369" s="41">
        <v>63.5</v>
      </c>
      <c r="I369" s="86"/>
      <c r="J369" s="728"/>
      <c r="K369" s="42"/>
      <c r="L369" s="43">
        <f>J369+K369</f>
        <v>0</v>
      </c>
      <c r="M369" s="43"/>
      <c r="N369" s="45">
        <f>L369+M369</f>
        <v>0</v>
      </c>
    </row>
    <row r="370" spans="1:16" ht="29.25" customHeight="1">
      <c r="A370" s="176" t="s">
        <v>387</v>
      </c>
      <c r="B370" s="39" t="s">
        <v>353</v>
      </c>
      <c r="C370" s="39" t="s">
        <v>86</v>
      </c>
      <c r="D370" s="39" t="s">
        <v>25</v>
      </c>
      <c r="E370" s="39" t="s">
        <v>388</v>
      </c>
      <c r="F370" s="554"/>
      <c r="G370" s="515">
        <f t="shared" ref="G370:N370" si="115">G371</f>
        <v>2180.9865300000001</v>
      </c>
      <c r="H370" s="41">
        <f t="shared" si="115"/>
        <v>19158.8</v>
      </c>
      <c r="I370" s="40">
        <f t="shared" si="115"/>
        <v>0</v>
      </c>
      <c r="J370" s="728">
        <f t="shared" si="115"/>
        <v>10564.1</v>
      </c>
      <c r="K370" s="42">
        <f t="shared" si="115"/>
        <v>3910</v>
      </c>
      <c r="L370" s="43">
        <f t="shared" si="115"/>
        <v>14474.1</v>
      </c>
      <c r="M370" s="44">
        <f t="shared" si="115"/>
        <v>0</v>
      </c>
      <c r="N370" s="45">
        <f t="shared" si="115"/>
        <v>14474.1</v>
      </c>
    </row>
    <row r="371" spans="1:16">
      <c r="A371" s="176" t="s">
        <v>244</v>
      </c>
      <c r="B371" s="39" t="s">
        <v>353</v>
      </c>
      <c r="C371" s="39" t="s">
        <v>86</v>
      </c>
      <c r="D371" s="39" t="s">
        <v>25</v>
      </c>
      <c r="E371" s="39" t="s">
        <v>388</v>
      </c>
      <c r="F371" s="554" t="s">
        <v>245</v>
      </c>
      <c r="G371" s="515">
        <f>2180.98653</f>
        <v>2180.9865300000001</v>
      </c>
      <c r="H371" s="41">
        <v>19158.8</v>
      </c>
      <c r="I371" s="40"/>
      <c r="J371" s="728">
        <v>10564.1</v>
      </c>
      <c r="K371" s="42">
        <f>3910</f>
        <v>3910</v>
      </c>
      <c r="L371" s="43">
        <f>J371+K371</f>
        <v>14474.1</v>
      </c>
      <c r="M371" s="44"/>
      <c r="N371" s="45">
        <f>L371+M371</f>
        <v>14474.1</v>
      </c>
      <c r="O371" s="11">
        <v>10564.1</v>
      </c>
      <c r="P371" s="15">
        <f>K371</f>
        <v>3910</v>
      </c>
    </row>
    <row r="372" spans="1:16" ht="60" hidden="1">
      <c r="A372" s="176" t="s">
        <v>389</v>
      </c>
      <c r="B372" s="39" t="s">
        <v>353</v>
      </c>
      <c r="C372" s="39" t="s">
        <v>86</v>
      </c>
      <c r="D372" s="39" t="s">
        <v>25</v>
      </c>
      <c r="E372" s="39" t="s">
        <v>390</v>
      </c>
      <c r="F372" s="554"/>
      <c r="G372" s="522">
        <f t="shared" ref="G372:M372" si="116">G373+G374</f>
        <v>13.745500000000002</v>
      </c>
      <c r="H372" s="87">
        <f t="shared" si="116"/>
        <v>95.4</v>
      </c>
      <c r="I372" s="86">
        <f t="shared" si="116"/>
        <v>0</v>
      </c>
      <c r="J372" s="728">
        <f t="shared" si="116"/>
        <v>0</v>
      </c>
      <c r="K372" s="42">
        <f t="shared" si="116"/>
        <v>0</v>
      </c>
      <c r="L372" s="43">
        <f t="shared" si="116"/>
        <v>0</v>
      </c>
      <c r="M372" s="43">
        <f t="shared" si="116"/>
        <v>0</v>
      </c>
      <c r="N372" s="83">
        <f>N373+N374</f>
        <v>0</v>
      </c>
    </row>
    <row r="373" spans="1:16" hidden="1">
      <c r="A373" s="176" t="s">
        <v>244</v>
      </c>
      <c r="B373" s="39" t="s">
        <v>353</v>
      </c>
      <c r="C373" s="39" t="s">
        <v>86</v>
      </c>
      <c r="D373" s="39" t="s">
        <v>25</v>
      </c>
      <c r="E373" s="39" t="s">
        <v>390</v>
      </c>
      <c r="F373" s="554" t="s">
        <v>245</v>
      </c>
      <c r="G373" s="522">
        <f>5.3945-47.9+47.9</f>
        <v>5.3945000000000007</v>
      </c>
      <c r="H373" s="41">
        <v>95.4</v>
      </c>
      <c r="I373" s="86"/>
      <c r="J373" s="728"/>
      <c r="K373" s="42"/>
      <c r="L373" s="43">
        <f>J373+K373</f>
        <v>0</v>
      </c>
      <c r="M373" s="43"/>
      <c r="N373" s="45">
        <f>L373+M373</f>
        <v>0</v>
      </c>
    </row>
    <row r="374" spans="1:16" ht="15" hidden="1" customHeight="1">
      <c r="A374" s="176" t="s">
        <v>244</v>
      </c>
      <c r="B374" s="39" t="s">
        <v>353</v>
      </c>
      <c r="C374" s="39" t="s">
        <v>86</v>
      </c>
      <c r="D374" s="39" t="s">
        <v>25</v>
      </c>
      <c r="E374" s="39" t="s">
        <v>391</v>
      </c>
      <c r="F374" s="554" t="s">
        <v>245</v>
      </c>
      <c r="G374" s="291">
        <f>8.351</f>
        <v>8.3510000000000009</v>
      </c>
      <c r="H374" s="41"/>
      <c r="I374" s="61"/>
      <c r="J374" s="728">
        <f>H374+I374</f>
        <v>0</v>
      </c>
      <c r="K374" s="42"/>
      <c r="L374" s="43">
        <f>J374+K374</f>
        <v>0</v>
      </c>
      <c r="M374" s="63"/>
      <c r="N374" s="45">
        <f>L374+M374</f>
        <v>0</v>
      </c>
    </row>
    <row r="375" spans="1:16" ht="45">
      <c r="A375" s="176" t="s">
        <v>392</v>
      </c>
      <c r="B375" s="39" t="s">
        <v>353</v>
      </c>
      <c r="C375" s="39" t="s">
        <v>86</v>
      </c>
      <c r="D375" s="39" t="s">
        <v>25</v>
      </c>
      <c r="E375" s="39" t="s">
        <v>393</v>
      </c>
      <c r="F375" s="554"/>
      <c r="G375" s="522">
        <f t="shared" ref="G375:M375" si="117">G376+G377</f>
        <v>701.88176999999996</v>
      </c>
      <c r="H375" s="41">
        <f t="shared" si="117"/>
        <v>556.5</v>
      </c>
      <c r="I375" s="86">
        <f t="shared" si="117"/>
        <v>0</v>
      </c>
      <c r="J375" s="728">
        <f t="shared" si="117"/>
        <v>8129.1</v>
      </c>
      <c r="K375" s="42">
        <f t="shared" si="117"/>
        <v>0</v>
      </c>
      <c r="L375" s="43">
        <f t="shared" si="117"/>
        <v>8129.1</v>
      </c>
      <c r="M375" s="43">
        <f t="shared" si="117"/>
        <v>0</v>
      </c>
      <c r="N375" s="45">
        <f>N376+N377</f>
        <v>8129.1</v>
      </c>
    </row>
    <row r="376" spans="1:16" hidden="1">
      <c r="A376" s="176" t="s">
        <v>244</v>
      </c>
      <c r="B376" s="39" t="s">
        <v>353</v>
      </c>
      <c r="C376" s="39" t="s">
        <v>86</v>
      </c>
      <c r="D376" s="39" t="s">
        <v>25</v>
      </c>
      <c r="E376" s="39" t="s">
        <v>393</v>
      </c>
      <c r="F376" s="554" t="s">
        <v>245</v>
      </c>
      <c r="G376" s="522">
        <f>561.12977+140.752-531</f>
        <v>170.88176999999996</v>
      </c>
      <c r="H376" s="41">
        <v>556.5</v>
      </c>
      <c r="I376" s="86"/>
      <c r="J376" s="728"/>
      <c r="K376" s="42"/>
      <c r="L376" s="43">
        <f>J376+K376</f>
        <v>0</v>
      </c>
      <c r="M376" s="43"/>
      <c r="N376" s="45">
        <f>L376+M376</f>
        <v>0</v>
      </c>
    </row>
    <row r="377" spans="1:16" ht="45">
      <c r="A377" s="142" t="s">
        <v>392</v>
      </c>
      <c r="B377" s="39" t="s">
        <v>353</v>
      </c>
      <c r="C377" s="39" t="s">
        <v>86</v>
      </c>
      <c r="D377" s="39" t="s">
        <v>25</v>
      </c>
      <c r="E377" s="39" t="s">
        <v>394</v>
      </c>
      <c r="F377" s="554"/>
      <c r="G377" s="291">
        <f t="shared" ref="G377:N377" si="118">G378</f>
        <v>531</v>
      </c>
      <c r="H377" s="62">
        <f t="shared" si="118"/>
        <v>0</v>
      </c>
      <c r="I377" s="61">
        <f t="shared" si="118"/>
        <v>0</v>
      </c>
      <c r="J377" s="728">
        <f t="shared" si="118"/>
        <v>8129.1</v>
      </c>
      <c r="K377" s="42">
        <f t="shared" si="118"/>
        <v>0</v>
      </c>
      <c r="L377" s="43">
        <f t="shared" si="118"/>
        <v>8129.1</v>
      </c>
      <c r="M377" s="63">
        <f t="shared" si="118"/>
        <v>0</v>
      </c>
      <c r="N377" s="64">
        <f t="shared" si="118"/>
        <v>8129.1</v>
      </c>
    </row>
    <row r="378" spans="1:16">
      <c r="A378" s="176" t="s">
        <v>244</v>
      </c>
      <c r="B378" s="39" t="s">
        <v>353</v>
      </c>
      <c r="C378" s="39" t="s">
        <v>86</v>
      </c>
      <c r="D378" s="39" t="s">
        <v>25</v>
      </c>
      <c r="E378" s="39" t="s">
        <v>394</v>
      </c>
      <c r="F378" s="554" t="s">
        <v>245</v>
      </c>
      <c r="G378" s="291">
        <v>531</v>
      </c>
      <c r="H378" s="41"/>
      <c r="I378" s="61"/>
      <c r="J378" s="728">
        <v>8129.1</v>
      </c>
      <c r="K378" s="42"/>
      <c r="L378" s="43">
        <f>J378+K378</f>
        <v>8129.1</v>
      </c>
      <c r="M378" s="63"/>
      <c r="N378" s="45">
        <f>L378+M378</f>
        <v>8129.1</v>
      </c>
      <c r="O378" s="11">
        <v>8129.1</v>
      </c>
      <c r="P378" s="15">
        <f>K378</f>
        <v>0</v>
      </c>
    </row>
    <row r="379" spans="1:16" ht="30">
      <c r="A379" s="186" t="s">
        <v>372</v>
      </c>
      <c r="B379" s="39" t="s">
        <v>353</v>
      </c>
      <c r="C379" s="39" t="s">
        <v>86</v>
      </c>
      <c r="D379" s="39" t="s">
        <v>25</v>
      </c>
      <c r="E379" s="39" t="s">
        <v>395</v>
      </c>
      <c r="F379" s="554"/>
      <c r="G379" s="291"/>
      <c r="H379" s="41"/>
      <c r="I379" s="61"/>
      <c r="J379" s="728">
        <f>J380</f>
        <v>7021</v>
      </c>
      <c r="K379" s="42">
        <f>K380</f>
        <v>0</v>
      </c>
      <c r="L379" s="43">
        <f>L380</f>
        <v>7021</v>
      </c>
      <c r="M379" s="63"/>
      <c r="N379" s="45"/>
    </row>
    <row r="380" spans="1:16">
      <c r="A380" s="186" t="s">
        <v>374</v>
      </c>
      <c r="B380" s="39" t="s">
        <v>353</v>
      </c>
      <c r="C380" s="39" t="s">
        <v>86</v>
      </c>
      <c r="D380" s="39" t="s">
        <v>25</v>
      </c>
      <c r="E380" s="39" t="s">
        <v>395</v>
      </c>
      <c r="F380" s="554" t="s">
        <v>245</v>
      </c>
      <c r="G380" s="291"/>
      <c r="H380" s="41"/>
      <c r="I380" s="61"/>
      <c r="J380" s="728">
        <v>7021</v>
      </c>
      <c r="K380" s="42"/>
      <c r="L380" s="43">
        <f>J380+K380</f>
        <v>7021</v>
      </c>
      <c r="M380" s="63"/>
      <c r="N380" s="45"/>
      <c r="O380" s="11">
        <v>7021</v>
      </c>
      <c r="P380" s="15">
        <f>K380</f>
        <v>0</v>
      </c>
    </row>
    <row r="381" spans="1:16" ht="45">
      <c r="A381" s="142" t="s">
        <v>376</v>
      </c>
      <c r="B381" s="39" t="s">
        <v>353</v>
      </c>
      <c r="C381" s="39" t="s">
        <v>86</v>
      </c>
      <c r="D381" s="39" t="s">
        <v>25</v>
      </c>
      <c r="E381" s="39" t="s">
        <v>396</v>
      </c>
      <c r="F381" s="554"/>
      <c r="G381" s="291"/>
      <c r="H381" s="41"/>
      <c r="I381" s="61"/>
      <c r="J381" s="728">
        <f>J382</f>
        <v>3840</v>
      </c>
      <c r="K381" s="42">
        <f>K382</f>
        <v>0</v>
      </c>
      <c r="L381" s="43">
        <f>L382</f>
        <v>3840</v>
      </c>
      <c r="M381" s="63"/>
      <c r="N381" s="45"/>
    </row>
    <row r="382" spans="1:16">
      <c r="A382" s="176" t="s">
        <v>244</v>
      </c>
      <c r="B382" s="39" t="s">
        <v>353</v>
      </c>
      <c r="C382" s="39" t="s">
        <v>86</v>
      </c>
      <c r="D382" s="39" t="s">
        <v>25</v>
      </c>
      <c r="E382" s="39" t="s">
        <v>396</v>
      </c>
      <c r="F382" s="554" t="s">
        <v>245</v>
      </c>
      <c r="G382" s="291"/>
      <c r="H382" s="41"/>
      <c r="I382" s="61"/>
      <c r="J382" s="728">
        <v>3840</v>
      </c>
      <c r="K382" s="42"/>
      <c r="L382" s="43">
        <f>J382+K382</f>
        <v>3840</v>
      </c>
      <c r="M382" s="63"/>
      <c r="N382" s="45"/>
      <c r="O382" s="11">
        <v>3840</v>
      </c>
      <c r="P382" s="15">
        <f>K382</f>
        <v>0</v>
      </c>
    </row>
    <row r="383" spans="1:16" ht="60">
      <c r="A383" s="176" t="s">
        <v>389</v>
      </c>
      <c r="B383" s="39" t="s">
        <v>353</v>
      </c>
      <c r="C383" s="39" t="s">
        <v>86</v>
      </c>
      <c r="D383" s="39" t="s">
        <v>25</v>
      </c>
      <c r="E383" s="39" t="s">
        <v>397</v>
      </c>
      <c r="F383" s="554"/>
      <c r="G383" s="291"/>
      <c r="H383" s="41"/>
      <c r="I383" s="61"/>
      <c r="J383" s="728">
        <f>J385+J384</f>
        <v>230</v>
      </c>
      <c r="K383" s="42">
        <f>K385+K384</f>
        <v>0</v>
      </c>
      <c r="L383" s="43">
        <f>L385+L384</f>
        <v>230</v>
      </c>
      <c r="M383" s="63"/>
      <c r="N383" s="45"/>
    </row>
    <row r="384" spans="1:16">
      <c r="A384" s="176" t="s">
        <v>244</v>
      </c>
      <c r="B384" s="39" t="s">
        <v>353</v>
      </c>
      <c r="C384" s="39" t="s">
        <v>86</v>
      </c>
      <c r="D384" s="39" t="s">
        <v>25</v>
      </c>
      <c r="E384" s="39" t="s">
        <v>397</v>
      </c>
      <c r="F384" s="554" t="s">
        <v>245</v>
      </c>
      <c r="G384" s="291"/>
      <c r="H384" s="41"/>
      <c r="I384" s="61"/>
      <c r="J384" s="728">
        <f>134.9</f>
        <v>134.9</v>
      </c>
      <c r="K384" s="42"/>
      <c r="L384" s="43">
        <f>K384+J384</f>
        <v>134.9</v>
      </c>
      <c r="M384" s="63"/>
      <c r="N384" s="45"/>
    </row>
    <row r="385" spans="1:16">
      <c r="A385" s="176" t="s">
        <v>244</v>
      </c>
      <c r="B385" s="39" t="s">
        <v>353</v>
      </c>
      <c r="C385" s="39" t="s">
        <v>86</v>
      </c>
      <c r="D385" s="39" t="s">
        <v>25</v>
      </c>
      <c r="E385" s="39" t="s">
        <v>398</v>
      </c>
      <c r="F385" s="554" t="s">
        <v>245</v>
      </c>
      <c r="G385" s="291"/>
      <c r="H385" s="41"/>
      <c r="I385" s="61"/>
      <c r="J385" s="728">
        <f>230-134.9</f>
        <v>95.1</v>
      </c>
      <c r="K385" s="42"/>
      <c r="L385" s="43">
        <f>J385+K385</f>
        <v>95.1</v>
      </c>
      <c r="M385" s="63"/>
      <c r="N385" s="45"/>
      <c r="O385" s="11">
        <v>230</v>
      </c>
      <c r="P385" s="15">
        <f>K385</f>
        <v>0</v>
      </c>
    </row>
    <row r="386" spans="1:16" ht="30">
      <c r="A386" s="142" t="s">
        <v>399</v>
      </c>
      <c r="B386" s="39" t="s">
        <v>353</v>
      </c>
      <c r="C386" s="39" t="s">
        <v>86</v>
      </c>
      <c r="D386" s="39" t="s">
        <v>25</v>
      </c>
      <c r="E386" s="39" t="s">
        <v>400</v>
      </c>
      <c r="F386" s="554"/>
      <c r="G386" s="291">
        <f t="shared" ref="G386:N386" si="119">G387</f>
        <v>206</v>
      </c>
      <c r="H386" s="62">
        <f t="shared" si="119"/>
        <v>0</v>
      </c>
      <c r="I386" s="61">
        <f t="shared" si="119"/>
        <v>0</v>
      </c>
      <c r="J386" s="728">
        <f t="shared" si="119"/>
        <v>327</v>
      </c>
      <c r="K386" s="42">
        <f t="shared" si="119"/>
        <v>0</v>
      </c>
      <c r="L386" s="43">
        <f t="shared" si="119"/>
        <v>327</v>
      </c>
      <c r="M386" s="63">
        <f t="shared" si="119"/>
        <v>0</v>
      </c>
      <c r="N386" s="64">
        <f t="shared" si="119"/>
        <v>327</v>
      </c>
    </row>
    <row r="387" spans="1:16">
      <c r="A387" s="176" t="s">
        <v>244</v>
      </c>
      <c r="B387" s="39" t="s">
        <v>353</v>
      </c>
      <c r="C387" s="39" t="s">
        <v>86</v>
      </c>
      <c r="D387" s="39" t="s">
        <v>25</v>
      </c>
      <c r="E387" s="39" t="s">
        <v>400</v>
      </c>
      <c r="F387" s="554" t="s">
        <v>245</v>
      </c>
      <c r="G387" s="291">
        <f>206</f>
        <v>206</v>
      </c>
      <c r="H387" s="41"/>
      <c r="I387" s="61"/>
      <c r="J387" s="728">
        <v>327</v>
      </c>
      <c r="K387" s="42"/>
      <c r="L387" s="43">
        <f>J387+K387</f>
        <v>327</v>
      </c>
      <c r="M387" s="63"/>
      <c r="N387" s="45">
        <f>L387+M387</f>
        <v>327</v>
      </c>
      <c r="O387" s="11">
        <v>327</v>
      </c>
      <c r="P387" s="15">
        <f>K387</f>
        <v>0</v>
      </c>
    </row>
    <row r="388" spans="1:16" ht="42" customHeight="1">
      <c r="A388" s="46" t="s">
        <v>401</v>
      </c>
      <c r="B388" s="39" t="s">
        <v>353</v>
      </c>
      <c r="C388" s="39" t="s">
        <v>86</v>
      </c>
      <c r="D388" s="39" t="s">
        <v>25</v>
      </c>
      <c r="E388" s="39" t="s">
        <v>402</v>
      </c>
      <c r="F388" s="554"/>
      <c r="G388" s="522">
        <f t="shared" ref="G388:N388" si="120">G389</f>
        <v>99.15607</v>
      </c>
      <c r="H388" s="87">
        <f t="shared" si="120"/>
        <v>0</v>
      </c>
      <c r="I388" s="86">
        <f t="shared" si="120"/>
        <v>0</v>
      </c>
      <c r="J388" s="728">
        <f t="shared" si="120"/>
        <v>897</v>
      </c>
      <c r="K388" s="42">
        <f t="shared" si="120"/>
        <v>0</v>
      </c>
      <c r="L388" s="43">
        <f t="shared" si="120"/>
        <v>897</v>
      </c>
      <c r="M388" s="43">
        <f t="shared" si="120"/>
        <v>0</v>
      </c>
      <c r="N388" s="83">
        <f t="shared" si="120"/>
        <v>897</v>
      </c>
    </row>
    <row r="389" spans="1:16" ht="16.5" customHeight="1">
      <c r="A389" s="176" t="s">
        <v>244</v>
      </c>
      <c r="B389" s="39" t="s">
        <v>353</v>
      </c>
      <c r="C389" s="39" t="s">
        <v>86</v>
      </c>
      <c r="D389" s="39" t="s">
        <v>25</v>
      </c>
      <c r="E389" s="39" t="s">
        <v>402</v>
      </c>
      <c r="F389" s="554" t="s">
        <v>245</v>
      </c>
      <c r="G389" s="522">
        <f>9.15607+90</f>
        <v>99.15607</v>
      </c>
      <c r="H389" s="41"/>
      <c r="I389" s="86"/>
      <c r="J389" s="728">
        <v>897</v>
      </c>
      <c r="K389" s="42"/>
      <c r="L389" s="43">
        <f>J389+K389</f>
        <v>897</v>
      </c>
      <c r="M389" s="43"/>
      <c r="N389" s="45">
        <f>L389+M389</f>
        <v>897</v>
      </c>
      <c r="O389" s="11">
        <v>897</v>
      </c>
      <c r="P389" s="15">
        <f>K389</f>
        <v>0</v>
      </c>
    </row>
    <row r="390" spans="1:16" ht="78" customHeight="1">
      <c r="A390" s="142" t="s">
        <v>403</v>
      </c>
      <c r="B390" s="39" t="s">
        <v>353</v>
      </c>
      <c r="C390" s="39" t="s">
        <v>86</v>
      </c>
      <c r="D390" s="39" t="s">
        <v>25</v>
      </c>
      <c r="E390" s="39" t="s">
        <v>404</v>
      </c>
      <c r="F390" s="554"/>
      <c r="G390" s="515">
        <f t="shared" ref="G390:N390" si="121">G391</f>
        <v>3526.3411700000001</v>
      </c>
      <c r="H390" s="41">
        <f t="shared" si="121"/>
        <v>0</v>
      </c>
      <c r="I390" s="40">
        <f t="shared" si="121"/>
        <v>0</v>
      </c>
      <c r="J390" s="728">
        <f t="shared" si="121"/>
        <v>7042</v>
      </c>
      <c r="K390" s="42">
        <f t="shared" si="121"/>
        <v>0</v>
      </c>
      <c r="L390" s="43">
        <f t="shared" si="121"/>
        <v>7042</v>
      </c>
      <c r="M390" s="44">
        <f t="shared" si="121"/>
        <v>0</v>
      </c>
      <c r="N390" s="45">
        <f t="shared" si="121"/>
        <v>7042</v>
      </c>
    </row>
    <row r="391" spans="1:16" ht="16.5" customHeight="1">
      <c r="A391" s="176" t="s">
        <v>244</v>
      </c>
      <c r="B391" s="39" t="s">
        <v>353</v>
      </c>
      <c r="C391" s="39" t="s">
        <v>86</v>
      </c>
      <c r="D391" s="39" t="s">
        <v>25</v>
      </c>
      <c r="E391" s="39" t="s">
        <v>404</v>
      </c>
      <c r="F391" s="554" t="s">
        <v>245</v>
      </c>
      <c r="G391" s="515">
        <f>13.34117+3513</f>
        <v>3526.3411700000001</v>
      </c>
      <c r="H391" s="41"/>
      <c r="I391" s="40"/>
      <c r="J391" s="728">
        <v>7042</v>
      </c>
      <c r="K391" s="42"/>
      <c r="L391" s="43">
        <f>J391+K391</f>
        <v>7042</v>
      </c>
      <c r="M391" s="44"/>
      <c r="N391" s="45">
        <f>L391+M391</f>
        <v>7042</v>
      </c>
      <c r="O391" s="11">
        <v>7042</v>
      </c>
      <c r="P391" s="15">
        <f>K391</f>
        <v>0</v>
      </c>
    </row>
    <row r="392" spans="1:16" ht="29.25" customHeight="1">
      <c r="A392" s="46" t="s">
        <v>405</v>
      </c>
      <c r="B392" s="39" t="s">
        <v>353</v>
      </c>
      <c r="C392" s="39" t="s">
        <v>86</v>
      </c>
      <c r="D392" s="39" t="s">
        <v>25</v>
      </c>
      <c r="E392" s="39" t="s">
        <v>406</v>
      </c>
      <c r="F392" s="554"/>
      <c r="G392" s="522">
        <f t="shared" ref="G392:N392" si="122">G393</f>
        <v>796.46933000000001</v>
      </c>
      <c r="H392" s="87">
        <f t="shared" si="122"/>
        <v>0</v>
      </c>
      <c r="I392" s="86">
        <f t="shared" si="122"/>
        <v>0</v>
      </c>
      <c r="J392" s="728">
        <f t="shared" si="122"/>
        <v>2592</v>
      </c>
      <c r="K392" s="42">
        <f t="shared" si="122"/>
        <v>0</v>
      </c>
      <c r="L392" s="43">
        <f t="shared" si="122"/>
        <v>2592</v>
      </c>
      <c r="M392" s="43">
        <f t="shared" si="122"/>
        <v>0</v>
      </c>
      <c r="N392" s="83">
        <f t="shared" si="122"/>
        <v>2592</v>
      </c>
    </row>
    <row r="393" spans="1:16">
      <c r="A393" s="176" t="s">
        <v>244</v>
      </c>
      <c r="B393" s="39" t="s">
        <v>353</v>
      </c>
      <c r="C393" s="39" t="s">
        <v>86</v>
      </c>
      <c r="D393" s="39" t="s">
        <v>25</v>
      </c>
      <c r="E393" s="39" t="s">
        <v>406</v>
      </c>
      <c r="F393" s="554" t="s">
        <v>245</v>
      </c>
      <c r="G393" s="522">
        <f>0.46933+796</f>
        <v>796.46933000000001</v>
      </c>
      <c r="H393" s="41"/>
      <c r="I393" s="86"/>
      <c r="J393" s="728">
        <v>2592</v>
      </c>
      <c r="K393" s="42"/>
      <c r="L393" s="43">
        <f>J393+K393</f>
        <v>2592</v>
      </c>
      <c r="M393" s="43"/>
      <c r="N393" s="45">
        <f>L393+M393</f>
        <v>2592</v>
      </c>
      <c r="O393" s="11">
        <v>3129</v>
      </c>
      <c r="P393" s="15">
        <f>K393</f>
        <v>0</v>
      </c>
    </row>
    <row r="394" spans="1:16" ht="30">
      <c r="A394" s="176" t="s">
        <v>407</v>
      </c>
      <c r="B394" s="39" t="s">
        <v>353</v>
      </c>
      <c r="C394" s="39" t="s">
        <v>86</v>
      </c>
      <c r="D394" s="39" t="s">
        <v>25</v>
      </c>
      <c r="E394" s="39" t="s">
        <v>408</v>
      </c>
      <c r="F394" s="554"/>
      <c r="G394" s="291">
        <f t="shared" ref="G394:N394" si="123">G395</f>
        <v>-796</v>
      </c>
      <c r="H394" s="62">
        <f t="shared" si="123"/>
        <v>1054.3</v>
      </c>
      <c r="I394" s="61">
        <f t="shared" si="123"/>
        <v>0</v>
      </c>
      <c r="J394" s="728">
        <f t="shared" si="123"/>
        <v>440.98599999999999</v>
      </c>
      <c r="K394" s="42">
        <f>K395+K397</f>
        <v>0</v>
      </c>
      <c r="L394" s="43">
        <f t="shared" si="123"/>
        <v>440.98599999999999</v>
      </c>
      <c r="M394" s="63">
        <f t="shared" si="123"/>
        <v>122</v>
      </c>
      <c r="N394" s="64">
        <f t="shared" si="123"/>
        <v>562.98599999999999</v>
      </c>
    </row>
    <row r="395" spans="1:16">
      <c r="A395" s="176" t="s">
        <v>244</v>
      </c>
      <c r="B395" s="39" t="s">
        <v>353</v>
      </c>
      <c r="C395" s="39" t="s">
        <v>86</v>
      </c>
      <c r="D395" s="39" t="s">
        <v>25</v>
      </c>
      <c r="E395" s="39" t="s">
        <v>408</v>
      </c>
      <c r="F395" s="554" t="s">
        <v>245</v>
      </c>
      <c r="G395" s="291">
        <v>-796</v>
      </c>
      <c r="H395" s="41">
        <v>1054.3</v>
      </c>
      <c r="I395" s="61"/>
      <c r="J395" s="728">
        <v>440.98599999999999</v>
      </c>
      <c r="K395" s="42"/>
      <c r="L395" s="43">
        <f>J395+K395</f>
        <v>440.98599999999999</v>
      </c>
      <c r="M395" s="63">
        <f>122</f>
        <v>122</v>
      </c>
      <c r="N395" s="45">
        <f>L395+M395</f>
        <v>562.98599999999999</v>
      </c>
      <c r="O395" s="65">
        <v>228</v>
      </c>
      <c r="P395" s="15">
        <f>L395-O395</f>
        <v>212.98599999999999</v>
      </c>
    </row>
    <row r="396" spans="1:16" ht="27.75" hidden="1" customHeight="1">
      <c r="A396" s="176" t="s">
        <v>409</v>
      </c>
      <c r="B396" s="39" t="s">
        <v>353</v>
      </c>
      <c r="C396" s="39" t="s">
        <v>86</v>
      </c>
      <c r="D396" s="39" t="s">
        <v>25</v>
      </c>
      <c r="E396" s="39" t="s">
        <v>410</v>
      </c>
      <c r="F396" s="554"/>
      <c r="G396" s="291">
        <f t="shared" ref="G396:N397" si="124">G397</f>
        <v>-3513</v>
      </c>
      <c r="H396" s="62">
        <f t="shared" si="124"/>
        <v>3681.6</v>
      </c>
      <c r="I396" s="61">
        <f t="shared" si="124"/>
        <v>0</v>
      </c>
      <c r="J396" s="728">
        <f t="shared" si="124"/>
        <v>0</v>
      </c>
      <c r="K396" s="42"/>
      <c r="L396" s="43">
        <f t="shared" si="124"/>
        <v>0</v>
      </c>
      <c r="M396" s="63">
        <f t="shared" si="124"/>
        <v>0</v>
      </c>
      <c r="N396" s="64">
        <f t="shared" si="124"/>
        <v>0</v>
      </c>
    </row>
    <row r="397" spans="1:16" ht="29.25" customHeight="1">
      <c r="A397" s="176" t="s">
        <v>407</v>
      </c>
      <c r="B397" s="39" t="s">
        <v>353</v>
      </c>
      <c r="C397" s="39" t="s">
        <v>86</v>
      </c>
      <c r="D397" s="39" t="s">
        <v>25</v>
      </c>
      <c r="E397" s="39" t="s">
        <v>411</v>
      </c>
      <c r="F397" s="554"/>
      <c r="G397" s="291">
        <f t="shared" si="124"/>
        <v>-3513</v>
      </c>
      <c r="H397" s="62">
        <f t="shared" si="124"/>
        <v>3681.6</v>
      </c>
      <c r="I397" s="61">
        <f t="shared" si="124"/>
        <v>0</v>
      </c>
      <c r="J397" s="728">
        <f t="shared" si="124"/>
        <v>0</v>
      </c>
      <c r="K397" s="42">
        <f t="shared" si="124"/>
        <v>0</v>
      </c>
      <c r="L397" s="43">
        <f t="shared" si="124"/>
        <v>0</v>
      </c>
      <c r="M397" s="63">
        <f t="shared" si="124"/>
        <v>0</v>
      </c>
      <c r="N397" s="64">
        <f t="shared" si="124"/>
        <v>0</v>
      </c>
    </row>
    <row r="398" spans="1:16" ht="15.75" customHeight="1">
      <c r="A398" s="176" t="s">
        <v>244</v>
      </c>
      <c r="B398" s="39" t="s">
        <v>353</v>
      </c>
      <c r="C398" s="39" t="s">
        <v>86</v>
      </c>
      <c r="D398" s="39" t="s">
        <v>25</v>
      </c>
      <c r="E398" s="39" t="s">
        <v>411</v>
      </c>
      <c r="F398" s="554" t="s">
        <v>245</v>
      </c>
      <c r="G398" s="291">
        <v>-3513</v>
      </c>
      <c r="H398" s="41">
        <v>3681.6</v>
      </c>
      <c r="I398" s="61"/>
      <c r="J398" s="42">
        <v>0</v>
      </c>
      <c r="K398" s="42"/>
      <c r="L398" s="43">
        <f>J398+K398</f>
        <v>0</v>
      </c>
      <c r="M398" s="63"/>
      <c r="N398" s="45">
        <f>L398+M398</f>
        <v>0</v>
      </c>
    </row>
    <row r="399" spans="1:16" s="179" customFormat="1" ht="28.5">
      <c r="A399" s="194" t="s">
        <v>93</v>
      </c>
      <c r="B399" s="38" t="s">
        <v>353</v>
      </c>
      <c r="C399" s="38" t="s">
        <v>86</v>
      </c>
      <c r="D399" s="38" t="s">
        <v>31</v>
      </c>
      <c r="E399" s="38"/>
      <c r="F399" s="556"/>
      <c r="G399" s="518">
        <f t="shared" ref="G399:M399" si="125">G402+G406+G400</f>
        <v>75</v>
      </c>
      <c r="H399" s="90">
        <f t="shared" si="125"/>
        <v>1158.1000000000001</v>
      </c>
      <c r="I399" s="67">
        <f t="shared" si="125"/>
        <v>0</v>
      </c>
      <c r="J399" s="734">
        <f t="shared" si="125"/>
        <v>1993.93</v>
      </c>
      <c r="K399" s="91">
        <f t="shared" si="125"/>
        <v>0</v>
      </c>
      <c r="L399" s="92">
        <f t="shared" si="125"/>
        <v>1993.93</v>
      </c>
      <c r="M399" s="147">
        <f t="shared" si="125"/>
        <v>-169</v>
      </c>
      <c r="N399" s="148">
        <f>N402+N406+N400</f>
        <v>1649.75</v>
      </c>
    </row>
    <row r="400" spans="1:16" s="179" customFormat="1" ht="78.75" customHeight="1">
      <c r="A400" s="46" t="s">
        <v>360</v>
      </c>
      <c r="B400" s="39" t="s">
        <v>353</v>
      </c>
      <c r="C400" s="39" t="s">
        <v>86</v>
      </c>
      <c r="D400" s="39" t="s">
        <v>31</v>
      </c>
      <c r="E400" s="39" t="s">
        <v>361</v>
      </c>
      <c r="F400" s="554"/>
      <c r="G400" s="291">
        <f t="shared" ref="G400:N400" si="126">G401</f>
        <v>912</v>
      </c>
      <c r="H400" s="62">
        <f t="shared" si="126"/>
        <v>0</v>
      </c>
      <c r="I400" s="61">
        <f t="shared" si="126"/>
        <v>0</v>
      </c>
      <c r="J400" s="728">
        <f t="shared" si="126"/>
        <v>1417</v>
      </c>
      <c r="K400" s="42">
        <f t="shared" si="126"/>
        <v>0</v>
      </c>
      <c r="L400" s="43">
        <f t="shared" si="126"/>
        <v>1417</v>
      </c>
      <c r="M400" s="63">
        <f t="shared" si="126"/>
        <v>-250</v>
      </c>
      <c r="N400" s="64">
        <f t="shared" si="126"/>
        <v>1167</v>
      </c>
    </row>
    <row r="401" spans="1:20" s="179" customFormat="1" ht="30">
      <c r="A401" s="46" t="s">
        <v>136</v>
      </c>
      <c r="B401" s="39" t="s">
        <v>353</v>
      </c>
      <c r="C401" s="39" t="s">
        <v>86</v>
      </c>
      <c r="D401" s="39" t="s">
        <v>31</v>
      </c>
      <c r="E401" s="39" t="s">
        <v>361</v>
      </c>
      <c r="F401" s="554" t="s">
        <v>134</v>
      </c>
      <c r="G401" s="291">
        <f>950-38</f>
        <v>912</v>
      </c>
      <c r="H401" s="41"/>
      <c r="I401" s="61"/>
      <c r="J401" s="728">
        <v>1417</v>
      </c>
      <c r="K401" s="42"/>
      <c r="L401" s="43">
        <f>J401+K401</f>
        <v>1417</v>
      </c>
      <c r="M401" s="63">
        <f>-250</f>
        <v>-250</v>
      </c>
      <c r="N401" s="45">
        <f>L401+M401</f>
        <v>1167</v>
      </c>
      <c r="O401" s="238">
        <f>L401+L339</f>
        <v>9120.26</v>
      </c>
      <c r="P401" s="238">
        <f>K339</f>
        <v>1095.203</v>
      </c>
      <c r="R401" s="238">
        <f>L401+L339</f>
        <v>9120.26</v>
      </c>
    </row>
    <row r="402" spans="1:20" ht="30">
      <c r="A402" s="186" t="s">
        <v>412</v>
      </c>
      <c r="B402" s="39" t="s">
        <v>353</v>
      </c>
      <c r="C402" s="39" t="s">
        <v>86</v>
      </c>
      <c r="D402" s="39" t="s">
        <v>31</v>
      </c>
      <c r="E402" s="39" t="s">
        <v>192</v>
      </c>
      <c r="F402" s="554"/>
      <c r="G402" s="291">
        <f t="shared" ref="G402:N403" si="127">G403</f>
        <v>-912</v>
      </c>
      <c r="H402" s="62">
        <f t="shared" si="127"/>
        <v>1095.22</v>
      </c>
      <c r="I402" s="61">
        <f t="shared" si="127"/>
        <v>0</v>
      </c>
      <c r="J402" s="728">
        <f>J403</f>
        <v>175.18</v>
      </c>
      <c r="K402" s="42">
        <f t="shared" si="127"/>
        <v>0</v>
      </c>
      <c r="L402" s="43">
        <f t="shared" si="127"/>
        <v>175.18</v>
      </c>
      <c r="M402" s="63">
        <f t="shared" si="127"/>
        <v>41</v>
      </c>
      <c r="N402" s="64">
        <f t="shared" si="127"/>
        <v>41</v>
      </c>
    </row>
    <row r="403" spans="1:20">
      <c r="A403" s="186" t="s">
        <v>193</v>
      </c>
      <c r="B403" s="39" t="s">
        <v>353</v>
      </c>
      <c r="C403" s="39" t="s">
        <v>86</v>
      </c>
      <c r="D403" s="39" t="s">
        <v>31</v>
      </c>
      <c r="E403" s="39" t="s">
        <v>194</v>
      </c>
      <c r="F403" s="554"/>
      <c r="G403" s="291">
        <f t="shared" si="127"/>
        <v>-912</v>
      </c>
      <c r="H403" s="62">
        <f t="shared" si="127"/>
        <v>1095.22</v>
      </c>
      <c r="I403" s="61">
        <f t="shared" si="127"/>
        <v>0</v>
      </c>
      <c r="J403" s="728">
        <f>J404+J405</f>
        <v>175.18</v>
      </c>
      <c r="K403" s="42">
        <f>K404+K405</f>
        <v>0</v>
      </c>
      <c r="L403" s="43">
        <f>L404+L405</f>
        <v>175.18</v>
      </c>
      <c r="M403" s="63">
        <f t="shared" si="127"/>
        <v>41</v>
      </c>
      <c r="N403" s="64">
        <f t="shared" si="127"/>
        <v>41</v>
      </c>
    </row>
    <row r="404" spans="1:20" ht="30" hidden="1">
      <c r="A404" s="176" t="s">
        <v>142</v>
      </c>
      <c r="B404" s="39" t="s">
        <v>353</v>
      </c>
      <c r="C404" s="39" t="s">
        <v>86</v>
      </c>
      <c r="D404" s="39" t="s">
        <v>31</v>
      </c>
      <c r="E404" s="39" t="s">
        <v>194</v>
      </c>
      <c r="F404" s="554" t="s">
        <v>235</v>
      </c>
      <c r="G404" s="291">
        <f>-950+38</f>
        <v>-912</v>
      </c>
      <c r="H404" s="41">
        <v>1095.22</v>
      </c>
      <c r="I404" s="61"/>
      <c r="J404" s="728"/>
      <c r="K404" s="42"/>
      <c r="L404" s="43">
        <f>J404+K404</f>
        <v>0</v>
      </c>
      <c r="M404" s="63">
        <f>-9+50</f>
        <v>41</v>
      </c>
      <c r="N404" s="45">
        <f>L404+M404</f>
        <v>41</v>
      </c>
    </row>
    <row r="405" spans="1:20" ht="30">
      <c r="A405" s="46" t="s">
        <v>136</v>
      </c>
      <c r="B405" s="39" t="s">
        <v>353</v>
      </c>
      <c r="C405" s="39" t="s">
        <v>86</v>
      </c>
      <c r="D405" s="39" t="s">
        <v>31</v>
      </c>
      <c r="E405" s="39" t="s">
        <v>194</v>
      </c>
      <c r="F405" s="554" t="s">
        <v>134</v>
      </c>
      <c r="G405" s="291"/>
      <c r="H405" s="41"/>
      <c r="I405" s="61"/>
      <c r="J405" s="728">
        <v>175.18</v>
      </c>
      <c r="K405" s="42"/>
      <c r="L405" s="43">
        <f>J405+K405</f>
        <v>175.18</v>
      </c>
      <c r="M405" s="63"/>
      <c r="N405" s="45"/>
      <c r="O405" s="65">
        <f>175.411+1.58+1.64</f>
        <v>178.631</v>
      </c>
      <c r="P405" s="66">
        <f>L405-O405</f>
        <v>-3.4509999999999934</v>
      </c>
      <c r="S405" s="11">
        <v>174.11</v>
      </c>
      <c r="T405" s="261">
        <f>L405+L346</f>
        <v>500.68</v>
      </c>
    </row>
    <row r="406" spans="1:20" ht="30">
      <c r="A406" s="176" t="s">
        <v>413</v>
      </c>
      <c r="B406" s="39" t="s">
        <v>353</v>
      </c>
      <c r="C406" s="39" t="s">
        <v>86</v>
      </c>
      <c r="D406" s="39" t="s">
        <v>31</v>
      </c>
      <c r="E406" s="39" t="s">
        <v>414</v>
      </c>
      <c r="F406" s="554"/>
      <c r="G406" s="291">
        <f t="shared" ref="G406:M406" si="128">G407+G409</f>
        <v>75</v>
      </c>
      <c r="H406" s="62">
        <f t="shared" si="128"/>
        <v>62.88</v>
      </c>
      <c r="I406" s="61">
        <f t="shared" si="128"/>
        <v>0</v>
      </c>
      <c r="J406" s="728">
        <f t="shared" si="128"/>
        <v>401.75</v>
      </c>
      <c r="K406" s="42">
        <f t="shared" si="128"/>
        <v>0</v>
      </c>
      <c r="L406" s="43">
        <f t="shared" si="128"/>
        <v>401.75</v>
      </c>
      <c r="M406" s="63">
        <f t="shared" si="128"/>
        <v>40</v>
      </c>
      <c r="N406" s="45">
        <f>N407+N409</f>
        <v>441.75</v>
      </c>
    </row>
    <row r="407" spans="1:20" ht="39">
      <c r="A407" s="262" t="s">
        <v>415</v>
      </c>
      <c r="B407" s="39" t="s">
        <v>353</v>
      </c>
      <c r="C407" s="39" t="s">
        <v>86</v>
      </c>
      <c r="D407" s="39" t="s">
        <v>31</v>
      </c>
      <c r="E407" s="39" t="s">
        <v>416</v>
      </c>
      <c r="F407" s="554"/>
      <c r="G407" s="291">
        <f t="shared" ref="G407:N407" si="129">G408</f>
        <v>35</v>
      </c>
      <c r="H407" s="62">
        <f t="shared" si="129"/>
        <v>62.88</v>
      </c>
      <c r="I407" s="61">
        <f t="shared" si="129"/>
        <v>0</v>
      </c>
      <c r="J407" s="728">
        <f t="shared" si="129"/>
        <v>321.75</v>
      </c>
      <c r="K407" s="42">
        <f t="shared" si="129"/>
        <v>0</v>
      </c>
      <c r="L407" s="43">
        <f t="shared" si="129"/>
        <v>321.75</v>
      </c>
      <c r="M407" s="63">
        <f t="shared" si="129"/>
        <v>40</v>
      </c>
      <c r="N407" s="64">
        <f t="shared" si="129"/>
        <v>361.75</v>
      </c>
    </row>
    <row r="408" spans="1:20" ht="30">
      <c r="A408" s="176" t="s">
        <v>417</v>
      </c>
      <c r="B408" s="39" t="s">
        <v>353</v>
      </c>
      <c r="C408" s="39" t="s">
        <v>86</v>
      </c>
      <c r="D408" s="39" t="s">
        <v>31</v>
      </c>
      <c r="E408" s="39" t="s">
        <v>416</v>
      </c>
      <c r="F408" s="554" t="s">
        <v>418</v>
      </c>
      <c r="G408" s="291">
        <f>15.4+19.6</f>
        <v>35</v>
      </c>
      <c r="H408" s="41">
        <v>62.88</v>
      </c>
      <c r="I408" s="61"/>
      <c r="J408" s="728">
        <v>321.75</v>
      </c>
      <c r="K408" s="42"/>
      <c r="L408" s="43">
        <f>J408+K408</f>
        <v>321.75</v>
      </c>
      <c r="M408" s="63">
        <f>40</f>
        <v>40</v>
      </c>
      <c r="N408" s="45">
        <f>L408+M408</f>
        <v>361.75</v>
      </c>
      <c r="O408" s="65"/>
    </row>
    <row r="409" spans="1:20" ht="42" customHeight="1">
      <c r="A409" s="176" t="s">
        <v>419</v>
      </c>
      <c r="B409" s="39" t="s">
        <v>353</v>
      </c>
      <c r="C409" s="39" t="s">
        <v>86</v>
      </c>
      <c r="D409" s="39" t="s">
        <v>31</v>
      </c>
      <c r="E409" s="39" t="s">
        <v>420</v>
      </c>
      <c r="F409" s="554"/>
      <c r="G409" s="291">
        <f t="shared" ref="G409:N409" si="130">G410</f>
        <v>40</v>
      </c>
      <c r="H409" s="41">
        <f t="shared" si="130"/>
        <v>0</v>
      </c>
      <c r="I409" s="61">
        <f t="shared" si="130"/>
        <v>0</v>
      </c>
      <c r="J409" s="728">
        <f t="shared" si="130"/>
        <v>80</v>
      </c>
      <c r="K409" s="42">
        <f t="shared" si="130"/>
        <v>0</v>
      </c>
      <c r="L409" s="43">
        <f t="shared" si="130"/>
        <v>80</v>
      </c>
      <c r="M409" s="63">
        <f t="shared" si="130"/>
        <v>0</v>
      </c>
      <c r="N409" s="45">
        <f t="shared" si="130"/>
        <v>80</v>
      </c>
    </row>
    <row r="410" spans="1:20" ht="30.75" thickBot="1">
      <c r="A410" s="176" t="s">
        <v>417</v>
      </c>
      <c r="B410" s="39" t="s">
        <v>353</v>
      </c>
      <c r="C410" s="39" t="s">
        <v>86</v>
      </c>
      <c r="D410" s="39" t="s">
        <v>31</v>
      </c>
      <c r="E410" s="39" t="s">
        <v>420</v>
      </c>
      <c r="F410" s="554" t="s">
        <v>418</v>
      </c>
      <c r="G410" s="291">
        <v>40</v>
      </c>
      <c r="H410" s="41"/>
      <c r="I410" s="61"/>
      <c r="J410" s="728">
        <v>80</v>
      </c>
      <c r="K410" s="42"/>
      <c r="L410" s="43">
        <f>J410+K410</f>
        <v>80</v>
      </c>
      <c r="M410" s="63"/>
      <c r="N410" s="45">
        <f>L410+M410</f>
        <v>80</v>
      </c>
      <c r="O410" s="65"/>
    </row>
    <row r="411" spans="1:20" ht="15.75" hidden="1" thickBot="1">
      <c r="A411" s="263" t="s">
        <v>421</v>
      </c>
      <c r="B411" s="264" t="s">
        <v>422</v>
      </c>
      <c r="C411" s="264"/>
      <c r="D411" s="264"/>
      <c r="E411" s="264"/>
      <c r="F411" s="573"/>
      <c r="G411" s="544">
        <f t="shared" ref="G411:N412" si="131">G412</f>
        <v>0</v>
      </c>
      <c r="H411" s="256">
        <f t="shared" si="131"/>
        <v>526.1</v>
      </c>
      <c r="I411" s="255">
        <f t="shared" si="131"/>
        <v>0</v>
      </c>
      <c r="J411" s="764">
        <f t="shared" si="131"/>
        <v>0</v>
      </c>
      <c r="K411" s="765">
        <f t="shared" si="131"/>
        <v>0</v>
      </c>
      <c r="L411" s="135">
        <f t="shared" si="131"/>
        <v>0</v>
      </c>
      <c r="M411" s="135">
        <f t="shared" si="131"/>
        <v>0</v>
      </c>
      <c r="N411" s="136">
        <f t="shared" si="131"/>
        <v>0</v>
      </c>
    </row>
    <row r="412" spans="1:20" ht="44.25" hidden="1" thickBot="1">
      <c r="A412" s="193" t="s">
        <v>44</v>
      </c>
      <c r="B412" s="139" t="s">
        <v>422</v>
      </c>
      <c r="C412" s="139" t="s">
        <v>25</v>
      </c>
      <c r="D412" s="30"/>
      <c r="E412" s="30"/>
      <c r="F412" s="553"/>
      <c r="G412" s="530">
        <f t="shared" si="131"/>
        <v>0</v>
      </c>
      <c r="H412" s="170">
        <f t="shared" si="131"/>
        <v>526.1</v>
      </c>
      <c r="I412" s="169">
        <f t="shared" si="131"/>
        <v>0</v>
      </c>
      <c r="J412" s="739">
        <f t="shared" si="131"/>
        <v>0</v>
      </c>
      <c r="K412" s="727">
        <f t="shared" si="131"/>
        <v>0</v>
      </c>
      <c r="L412" s="34">
        <f t="shared" si="131"/>
        <v>0</v>
      </c>
      <c r="M412" s="171">
        <f t="shared" si="131"/>
        <v>0</v>
      </c>
      <c r="N412" s="172">
        <f t="shared" si="131"/>
        <v>0</v>
      </c>
    </row>
    <row r="413" spans="1:20" s="179" customFormat="1" hidden="1" thickBot="1">
      <c r="A413" s="194" t="s">
        <v>46</v>
      </c>
      <c r="B413" s="38" t="s">
        <v>422</v>
      </c>
      <c r="C413" s="38" t="s">
        <v>25</v>
      </c>
      <c r="D413" s="38" t="s">
        <v>23</v>
      </c>
      <c r="E413" s="38"/>
      <c r="F413" s="556"/>
      <c r="G413" s="518">
        <f t="shared" ref="G413:M413" si="132">G414+G416</f>
        <v>0</v>
      </c>
      <c r="H413" s="90">
        <f t="shared" si="132"/>
        <v>526.1</v>
      </c>
      <c r="I413" s="67">
        <f t="shared" si="132"/>
        <v>0</v>
      </c>
      <c r="J413" s="734">
        <f t="shared" si="132"/>
        <v>0</v>
      </c>
      <c r="K413" s="91">
        <f t="shared" si="132"/>
        <v>0</v>
      </c>
      <c r="L413" s="92">
        <f t="shared" si="132"/>
        <v>0</v>
      </c>
      <c r="M413" s="147">
        <f t="shared" si="132"/>
        <v>0</v>
      </c>
      <c r="N413" s="148">
        <f>N414+N416</f>
        <v>0</v>
      </c>
    </row>
    <row r="414" spans="1:20" ht="60.75" hidden="1" thickBot="1">
      <c r="A414" s="186" t="s">
        <v>423</v>
      </c>
      <c r="B414" s="39" t="s">
        <v>422</v>
      </c>
      <c r="C414" s="39" t="s">
        <v>25</v>
      </c>
      <c r="D414" s="39" t="s">
        <v>23</v>
      </c>
      <c r="E414" s="39" t="s">
        <v>302</v>
      </c>
      <c r="F414" s="554"/>
      <c r="G414" s="291">
        <f t="shared" ref="G414:N414" si="133">G415</f>
        <v>0</v>
      </c>
      <c r="H414" s="62">
        <f t="shared" si="133"/>
        <v>316.5</v>
      </c>
      <c r="I414" s="61">
        <f t="shared" si="133"/>
        <v>0</v>
      </c>
      <c r="J414" s="728">
        <f t="shared" si="133"/>
        <v>0</v>
      </c>
      <c r="K414" s="42">
        <f t="shared" si="133"/>
        <v>0</v>
      </c>
      <c r="L414" s="43">
        <f t="shared" si="133"/>
        <v>0</v>
      </c>
      <c r="M414" s="63">
        <f t="shared" si="133"/>
        <v>0</v>
      </c>
      <c r="N414" s="64">
        <f t="shared" si="133"/>
        <v>0</v>
      </c>
    </row>
    <row r="415" spans="1:20" ht="30.75" hidden="1" thickBot="1">
      <c r="A415" s="186" t="s">
        <v>136</v>
      </c>
      <c r="B415" s="39" t="s">
        <v>422</v>
      </c>
      <c r="C415" s="39" t="s">
        <v>25</v>
      </c>
      <c r="D415" s="39" t="s">
        <v>23</v>
      </c>
      <c r="E415" s="39" t="s">
        <v>302</v>
      </c>
      <c r="F415" s="554" t="s">
        <v>134</v>
      </c>
      <c r="G415" s="291"/>
      <c r="H415" s="41">
        <v>316.5</v>
      </c>
      <c r="I415" s="61"/>
      <c r="J415" s="728"/>
      <c r="K415" s="42"/>
      <c r="L415" s="43">
        <f>J415+K415</f>
        <v>0</v>
      </c>
      <c r="M415" s="63"/>
      <c r="N415" s="45">
        <f>L415+M415</f>
        <v>0</v>
      </c>
    </row>
    <row r="416" spans="1:20" ht="60.75" hidden="1" thickBot="1">
      <c r="A416" s="186" t="s">
        <v>424</v>
      </c>
      <c r="B416" s="39" t="s">
        <v>422</v>
      </c>
      <c r="C416" s="39" t="s">
        <v>25</v>
      </c>
      <c r="D416" s="39" t="s">
        <v>23</v>
      </c>
      <c r="E416" s="39" t="s">
        <v>304</v>
      </c>
      <c r="F416" s="554"/>
      <c r="G416" s="291">
        <f t="shared" ref="G416:N416" si="134">G417</f>
        <v>0</v>
      </c>
      <c r="H416" s="62">
        <f t="shared" si="134"/>
        <v>209.6</v>
      </c>
      <c r="I416" s="61">
        <f t="shared" si="134"/>
        <v>0</v>
      </c>
      <c r="J416" s="728">
        <f t="shared" si="134"/>
        <v>0</v>
      </c>
      <c r="K416" s="42">
        <f t="shared" si="134"/>
        <v>0</v>
      </c>
      <c r="L416" s="43">
        <f t="shared" si="134"/>
        <v>0</v>
      </c>
      <c r="M416" s="63">
        <f t="shared" si="134"/>
        <v>0</v>
      </c>
      <c r="N416" s="64">
        <f t="shared" si="134"/>
        <v>0</v>
      </c>
    </row>
    <row r="417" spans="1:19" ht="30.75" hidden="1" thickBot="1">
      <c r="A417" s="211" t="s">
        <v>136</v>
      </c>
      <c r="B417" s="95" t="s">
        <v>422</v>
      </c>
      <c r="C417" s="95" t="s">
        <v>25</v>
      </c>
      <c r="D417" s="95" t="s">
        <v>23</v>
      </c>
      <c r="E417" s="95" t="s">
        <v>304</v>
      </c>
      <c r="F417" s="557" t="s">
        <v>134</v>
      </c>
      <c r="G417" s="528"/>
      <c r="H417" s="163">
        <v>209.6</v>
      </c>
      <c r="I417" s="162"/>
      <c r="J417" s="735"/>
      <c r="K417" s="736"/>
      <c r="L417" s="737">
        <f>J417+K417</f>
        <v>0</v>
      </c>
      <c r="M417" s="121"/>
      <c r="N417" s="164">
        <f>L417+M417</f>
        <v>0</v>
      </c>
    </row>
    <row r="418" spans="1:19" ht="30" thickBot="1">
      <c r="A418" s="265" t="s">
        <v>425</v>
      </c>
      <c r="B418" s="266" t="s">
        <v>426</v>
      </c>
      <c r="C418" s="266"/>
      <c r="D418" s="266"/>
      <c r="E418" s="266"/>
      <c r="F418" s="574"/>
      <c r="G418" s="546" t="e">
        <f>G419+G476+G501+G555+G587+G606+G618+G468</f>
        <v>#REF!</v>
      </c>
      <c r="H418" s="267" t="e">
        <f>H419+H476+H501+H555+H587+H606+H618+H468</f>
        <v>#REF!</v>
      </c>
      <c r="I418" s="268" t="e">
        <f>I419+I476+I501+I555+I587+I606+I618+I468</f>
        <v>#REF!</v>
      </c>
      <c r="J418" s="766">
        <f>J419+J476+J501+J555+J587+J606+J618+J468+J647</f>
        <v>104432.16902</v>
      </c>
      <c r="K418" s="837">
        <f>K419+K476+K501+K555+K587+K606+K618+K468+K647</f>
        <v>94672.93101</v>
      </c>
      <c r="L418" s="838">
        <f>L419+L476+L501+L555+L587+L606+L618+L468+L647</f>
        <v>199105.10002999997</v>
      </c>
      <c r="M418" s="269" t="e">
        <f>M419+M476+M501+M555+M587+M606+M618+M468</f>
        <v>#REF!</v>
      </c>
      <c r="N418" s="136" t="e">
        <f>N419+N476+N501+N555+N587+N606+N618+N468</f>
        <v>#REF!</v>
      </c>
      <c r="O418" s="270">
        <f>L418-L434-L454-L459-L577</f>
        <v>194078.56693999999</v>
      </c>
      <c r="P418" s="270"/>
      <c r="R418" s="15"/>
    </row>
    <row r="419" spans="1:19" s="272" customFormat="1" ht="14.25">
      <c r="A419" s="193" t="s">
        <v>19</v>
      </c>
      <c r="B419" s="139" t="s">
        <v>426</v>
      </c>
      <c r="C419" s="139" t="s">
        <v>22</v>
      </c>
      <c r="D419" s="139"/>
      <c r="E419" s="139"/>
      <c r="F419" s="567"/>
      <c r="G419" s="527" t="e">
        <f>G420+G424+G430+G441+G446+G462</f>
        <v>#REF!</v>
      </c>
      <c r="H419" s="33">
        <f t="shared" ref="H419:N419" si="135">H420+H424+H430+H446+H462+H445</f>
        <v>12549.96</v>
      </c>
      <c r="I419" s="140">
        <f t="shared" si="135"/>
        <v>0</v>
      </c>
      <c r="J419" s="739">
        <f>J420+J424+J430+J446+J462+J445+J452</f>
        <v>20038.968929999999</v>
      </c>
      <c r="K419" s="739">
        <f>K420+K424+K430+K446+K462+K445+K452</f>
        <v>701.35300000000007</v>
      </c>
      <c r="L419" s="745">
        <f>L420+L424+L430+L446+L462+L445+L452</f>
        <v>20740.321929999995</v>
      </c>
      <c r="M419" s="34">
        <f t="shared" si="135"/>
        <v>-176.62</v>
      </c>
      <c r="N419" s="141">
        <f t="shared" si="135"/>
        <v>18365.829759999997</v>
      </c>
      <c r="O419" s="271">
        <f>SUM(J418:K418)</f>
        <v>199105.10003</v>
      </c>
    </row>
    <row r="420" spans="1:19" s="179" customFormat="1" ht="57">
      <c r="A420" s="174" t="s">
        <v>427</v>
      </c>
      <c r="B420" s="38" t="s">
        <v>426</v>
      </c>
      <c r="C420" s="38" t="s">
        <v>22</v>
      </c>
      <c r="D420" s="38" t="s">
        <v>23</v>
      </c>
      <c r="E420" s="38"/>
      <c r="F420" s="556"/>
      <c r="G420" s="518">
        <f t="shared" ref="G420:N422" si="136">G421</f>
        <v>0</v>
      </c>
      <c r="H420" s="90">
        <f t="shared" si="136"/>
        <v>861</v>
      </c>
      <c r="I420" s="67">
        <f t="shared" si="136"/>
        <v>0</v>
      </c>
      <c r="J420" s="734">
        <f t="shared" si="136"/>
        <v>1080.095</v>
      </c>
      <c r="K420" s="91">
        <f t="shared" si="136"/>
        <v>0</v>
      </c>
      <c r="L420" s="92">
        <f t="shared" si="136"/>
        <v>1080.095</v>
      </c>
      <c r="M420" s="147">
        <f t="shared" si="136"/>
        <v>0</v>
      </c>
      <c r="N420" s="148">
        <f t="shared" si="136"/>
        <v>1080.095</v>
      </c>
    </row>
    <row r="421" spans="1:19" ht="30">
      <c r="A421" s="176" t="s">
        <v>412</v>
      </c>
      <c r="B421" s="39" t="s">
        <v>426</v>
      </c>
      <c r="C421" s="39" t="s">
        <v>22</v>
      </c>
      <c r="D421" s="39" t="s">
        <v>23</v>
      </c>
      <c r="E421" s="39" t="s">
        <v>192</v>
      </c>
      <c r="F421" s="554"/>
      <c r="G421" s="291">
        <f t="shared" si="136"/>
        <v>0</v>
      </c>
      <c r="H421" s="62">
        <f t="shared" si="136"/>
        <v>861</v>
      </c>
      <c r="I421" s="61">
        <f t="shared" si="136"/>
        <v>0</v>
      </c>
      <c r="J421" s="728">
        <f t="shared" si="136"/>
        <v>1080.095</v>
      </c>
      <c r="K421" s="42">
        <f t="shared" si="136"/>
        <v>0</v>
      </c>
      <c r="L421" s="43">
        <f t="shared" si="136"/>
        <v>1080.095</v>
      </c>
      <c r="M421" s="63">
        <f t="shared" si="136"/>
        <v>0</v>
      </c>
      <c r="N421" s="64">
        <f t="shared" si="136"/>
        <v>1080.095</v>
      </c>
    </row>
    <row r="422" spans="1:19">
      <c r="A422" s="176" t="s">
        <v>428</v>
      </c>
      <c r="B422" s="39" t="s">
        <v>426</v>
      </c>
      <c r="C422" s="39" t="s">
        <v>22</v>
      </c>
      <c r="D422" s="39" t="s">
        <v>23</v>
      </c>
      <c r="E422" s="39" t="s">
        <v>429</v>
      </c>
      <c r="F422" s="554"/>
      <c r="G422" s="291">
        <f t="shared" si="136"/>
        <v>0</v>
      </c>
      <c r="H422" s="62">
        <f t="shared" si="136"/>
        <v>861</v>
      </c>
      <c r="I422" s="61">
        <f t="shared" si="136"/>
        <v>0</v>
      </c>
      <c r="J422" s="728">
        <f t="shared" si="136"/>
        <v>1080.095</v>
      </c>
      <c r="K422" s="42">
        <f t="shared" si="136"/>
        <v>0</v>
      </c>
      <c r="L422" s="43">
        <f t="shared" si="136"/>
        <v>1080.095</v>
      </c>
      <c r="M422" s="63">
        <f t="shared" si="136"/>
        <v>0</v>
      </c>
      <c r="N422" s="64">
        <f t="shared" si="136"/>
        <v>1080.095</v>
      </c>
    </row>
    <row r="423" spans="1:19" ht="30">
      <c r="A423" s="186" t="s">
        <v>136</v>
      </c>
      <c r="B423" s="39" t="s">
        <v>426</v>
      </c>
      <c r="C423" s="39" t="s">
        <v>22</v>
      </c>
      <c r="D423" s="39" t="s">
        <v>23</v>
      </c>
      <c r="E423" s="39" t="s">
        <v>429</v>
      </c>
      <c r="F423" s="554" t="s">
        <v>134</v>
      </c>
      <c r="G423" s="291"/>
      <c r="H423" s="41">
        <v>861</v>
      </c>
      <c r="I423" s="61"/>
      <c r="J423" s="728">
        <v>1080.095</v>
      </c>
      <c r="K423" s="42"/>
      <c r="L423" s="43">
        <f>J423+K423</f>
        <v>1080.095</v>
      </c>
      <c r="M423" s="63"/>
      <c r="N423" s="45">
        <f>L423+M423</f>
        <v>1080.095</v>
      </c>
      <c r="O423" s="273">
        <v>1080.095</v>
      </c>
      <c r="P423" s="274">
        <f>L423-O423</f>
        <v>0</v>
      </c>
    </row>
    <row r="424" spans="1:19" s="179" customFormat="1" ht="85.5">
      <c r="A424" s="174" t="s">
        <v>430</v>
      </c>
      <c r="B424" s="38" t="s">
        <v>426</v>
      </c>
      <c r="C424" s="38" t="s">
        <v>22</v>
      </c>
      <c r="D424" s="38" t="s">
        <v>25</v>
      </c>
      <c r="E424" s="38"/>
      <c r="F424" s="556"/>
      <c r="G424" s="518">
        <f t="shared" ref="G424:N424" si="137">G425</f>
        <v>30</v>
      </c>
      <c r="H424" s="90">
        <f t="shared" si="137"/>
        <v>1353</v>
      </c>
      <c r="I424" s="67">
        <f t="shared" si="137"/>
        <v>0</v>
      </c>
      <c r="J424" s="734">
        <f t="shared" si="137"/>
        <v>1706.816</v>
      </c>
      <c r="K424" s="91">
        <f t="shared" si="137"/>
        <v>2.133</v>
      </c>
      <c r="L424" s="92">
        <f t="shared" si="137"/>
        <v>1708.9490000000001</v>
      </c>
      <c r="M424" s="147">
        <f t="shared" si="137"/>
        <v>0</v>
      </c>
      <c r="N424" s="148">
        <f t="shared" si="137"/>
        <v>1708.9490000000001</v>
      </c>
    </row>
    <row r="425" spans="1:19" ht="30">
      <c r="A425" s="176" t="s">
        <v>412</v>
      </c>
      <c r="B425" s="39" t="s">
        <v>426</v>
      </c>
      <c r="C425" s="39" t="s">
        <v>22</v>
      </c>
      <c r="D425" s="39" t="s">
        <v>25</v>
      </c>
      <c r="E425" s="39" t="s">
        <v>192</v>
      </c>
      <c r="F425" s="554"/>
      <c r="G425" s="291">
        <f t="shared" ref="G425:M425" si="138">G426+G428</f>
        <v>30</v>
      </c>
      <c r="H425" s="41">
        <f t="shared" si="138"/>
        <v>1353</v>
      </c>
      <c r="I425" s="61">
        <f t="shared" si="138"/>
        <v>0</v>
      </c>
      <c r="J425" s="728">
        <f t="shared" si="138"/>
        <v>1706.816</v>
      </c>
      <c r="K425" s="42">
        <f t="shared" si="138"/>
        <v>2.133</v>
      </c>
      <c r="L425" s="43">
        <f t="shared" si="138"/>
        <v>1708.9490000000001</v>
      </c>
      <c r="M425" s="63">
        <f t="shared" si="138"/>
        <v>0</v>
      </c>
      <c r="N425" s="64">
        <f>N426+N428</f>
        <v>1708.9490000000001</v>
      </c>
    </row>
    <row r="426" spans="1:19">
      <c r="A426" s="176" t="s">
        <v>193</v>
      </c>
      <c r="B426" s="39" t="s">
        <v>426</v>
      </c>
      <c r="C426" s="39" t="s">
        <v>22</v>
      </c>
      <c r="D426" s="39" t="s">
        <v>25</v>
      </c>
      <c r="E426" s="39" t="s">
        <v>194</v>
      </c>
      <c r="F426" s="554"/>
      <c r="G426" s="291">
        <f t="shared" ref="G426:N426" si="139">G427</f>
        <v>30</v>
      </c>
      <c r="H426" s="62">
        <f t="shared" si="139"/>
        <v>615</v>
      </c>
      <c r="I426" s="61">
        <f t="shared" si="139"/>
        <v>0</v>
      </c>
      <c r="J426" s="728">
        <f t="shared" si="139"/>
        <v>950.41899999999998</v>
      </c>
      <c r="K426" s="42">
        <f t="shared" si="139"/>
        <v>2.133</v>
      </c>
      <c r="L426" s="43">
        <f t="shared" si="139"/>
        <v>952.55200000000002</v>
      </c>
      <c r="M426" s="63">
        <f t="shared" si="139"/>
        <v>0</v>
      </c>
      <c r="N426" s="64">
        <f t="shared" si="139"/>
        <v>952.55200000000002</v>
      </c>
    </row>
    <row r="427" spans="1:19" ht="30">
      <c r="A427" s="176" t="s">
        <v>136</v>
      </c>
      <c r="B427" s="39" t="s">
        <v>426</v>
      </c>
      <c r="C427" s="39" t="s">
        <v>22</v>
      </c>
      <c r="D427" s="39" t="s">
        <v>25</v>
      </c>
      <c r="E427" s="39" t="s">
        <v>194</v>
      </c>
      <c r="F427" s="554" t="s">
        <v>134</v>
      </c>
      <c r="G427" s="291">
        <v>30</v>
      </c>
      <c r="H427" s="41">
        <v>615</v>
      </c>
      <c r="I427" s="61"/>
      <c r="J427" s="728">
        <v>950.41899999999998</v>
      </c>
      <c r="K427" s="42">
        <f>3.8-1.667</f>
        <v>2.133</v>
      </c>
      <c r="L427" s="43">
        <f>J427+K427</f>
        <v>952.55200000000002</v>
      </c>
      <c r="M427" s="63"/>
      <c r="N427" s="45">
        <f>L427+M427</f>
        <v>952.55200000000002</v>
      </c>
      <c r="O427" s="65">
        <v>885.05200000000002</v>
      </c>
      <c r="P427" s="66">
        <f>L427-O427</f>
        <v>67.5</v>
      </c>
      <c r="R427" s="11">
        <v>76.421999999999997</v>
      </c>
      <c r="S427" s="15">
        <f>L427-R427</f>
        <v>876.13</v>
      </c>
    </row>
    <row r="428" spans="1:19" ht="45">
      <c r="A428" s="275" t="s">
        <v>431</v>
      </c>
      <c r="B428" s="39" t="s">
        <v>426</v>
      </c>
      <c r="C428" s="39" t="s">
        <v>22</v>
      </c>
      <c r="D428" s="39" t="s">
        <v>25</v>
      </c>
      <c r="E428" s="39" t="s">
        <v>432</v>
      </c>
      <c r="F428" s="554"/>
      <c r="G428" s="291">
        <f t="shared" ref="G428:N428" si="140">G429</f>
        <v>0</v>
      </c>
      <c r="H428" s="41">
        <f t="shared" si="140"/>
        <v>738</v>
      </c>
      <c r="I428" s="61">
        <f t="shared" si="140"/>
        <v>0</v>
      </c>
      <c r="J428" s="728">
        <f t="shared" si="140"/>
        <v>756.39700000000005</v>
      </c>
      <c r="K428" s="42">
        <f t="shared" si="140"/>
        <v>0</v>
      </c>
      <c r="L428" s="43">
        <f t="shared" si="140"/>
        <v>756.39700000000005</v>
      </c>
      <c r="M428" s="63">
        <f t="shared" si="140"/>
        <v>0</v>
      </c>
      <c r="N428" s="45">
        <f t="shared" si="140"/>
        <v>756.39700000000005</v>
      </c>
    </row>
    <row r="429" spans="1:19" ht="30">
      <c r="A429" s="176" t="s">
        <v>136</v>
      </c>
      <c r="B429" s="39" t="s">
        <v>426</v>
      </c>
      <c r="C429" s="39" t="s">
        <v>22</v>
      </c>
      <c r="D429" s="39" t="s">
        <v>25</v>
      </c>
      <c r="E429" s="39" t="s">
        <v>432</v>
      </c>
      <c r="F429" s="554" t="s">
        <v>134</v>
      </c>
      <c r="G429" s="291"/>
      <c r="H429" s="41">
        <v>738</v>
      </c>
      <c r="I429" s="61"/>
      <c r="J429" s="728">
        <v>756.39700000000005</v>
      </c>
      <c r="K429" s="42"/>
      <c r="L429" s="43">
        <f>J429+K429</f>
        <v>756.39700000000005</v>
      </c>
      <c r="M429" s="63"/>
      <c r="N429" s="45">
        <f>L429+M429</f>
        <v>756.39700000000005</v>
      </c>
      <c r="O429" s="85">
        <v>756.39687600000002</v>
      </c>
      <c r="P429" s="66">
        <f>L429-O429</f>
        <v>1.2400000002799061E-4</v>
      </c>
    </row>
    <row r="430" spans="1:19" s="179" customFormat="1" ht="85.5">
      <c r="A430" s="174" t="s">
        <v>273</v>
      </c>
      <c r="B430" s="38" t="s">
        <v>426</v>
      </c>
      <c r="C430" s="38" t="s">
        <v>22</v>
      </c>
      <c r="D430" s="38" t="s">
        <v>27</v>
      </c>
      <c r="E430" s="38"/>
      <c r="F430" s="556"/>
      <c r="G430" s="518" t="e">
        <f>G435+G431+G433</f>
        <v>#REF!</v>
      </c>
      <c r="H430" s="82">
        <f t="shared" ref="H430:N430" si="141">H435+H431+H433+H439+H441</f>
        <v>10050.56</v>
      </c>
      <c r="I430" s="81">
        <f t="shared" si="141"/>
        <v>0</v>
      </c>
      <c r="J430" s="734">
        <f>J435+J431+J433+J439+J441</f>
        <v>15067.280999999999</v>
      </c>
      <c r="K430" s="91">
        <f t="shared" si="141"/>
        <v>633.178</v>
      </c>
      <c r="L430" s="92">
        <f t="shared" si="141"/>
        <v>15700.458999999999</v>
      </c>
      <c r="M430" s="92">
        <f t="shared" si="141"/>
        <v>-88.62</v>
      </c>
      <c r="N430" s="150">
        <f t="shared" si="141"/>
        <v>15611.838999999998</v>
      </c>
    </row>
    <row r="431" spans="1:19" s="179" customFormat="1" ht="51.75" hidden="1" customHeight="1">
      <c r="A431" s="142" t="s">
        <v>433</v>
      </c>
      <c r="B431" s="39" t="s">
        <v>426</v>
      </c>
      <c r="C431" s="39" t="s">
        <v>22</v>
      </c>
      <c r="D431" s="39" t="s">
        <v>27</v>
      </c>
      <c r="E431" s="39" t="s">
        <v>434</v>
      </c>
      <c r="F431" s="554"/>
      <c r="G431" s="291">
        <f t="shared" ref="G431:N431" si="142">G432</f>
        <v>47.3</v>
      </c>
      <c r="H431" s="62">
        <f t="shared" si="142"/>
        <v>0</v>
      </c>
      <c r="I431" s="61">
        <f t="shared" si="142"/>
        <v>0</v>
      </c>
      <c r="J431" s="728">
        <f t="shared" si="142"/>
        <v>0</v>
      </c>
      <c r="K431" s="42">
        <f t="shared" si="142"/>
        <v>0</v>
      </c>
      <c r="L431" s="43">
        <f t="shared" si="142"/>
        <v>0</v>
      </c>
      <c r="M431" s="63">
        <f t="shared" si="142"/>
        <v>0</v>
      </c>
      <c r="N431" s="64">
        <f t="shared" si="142"/>
        <v>0</v>
      </c>
    </row>
    <row r="432" spans="1:19" s="179" customFormat="1" ht="30" hidden="1" customHeight="1">
      <c r="A432" s="176" t="s">
        <v>283</v>
      </c>
      <c r="B432" s="39" t="s">
        <v>426</v>
      </c>
      <c r="C432" s="39" t="s">
        <v>22</v>
      </c>
      <c r="D432" s="39" t="s">
        <v>27</v>
      </c>
      <c r="E432" s="39" t="s">
        <v>434</v>
      </c>
      <c r="F432" s="554" t="s">
        <v>235</v>
      </c>
      <c r="G432" s="291">
        <v>47.3</v>
      </c>
      <c r="H432" s="41"/>
      <c r="I432" s="61"/>
      <c r="J432" s="728">
        <f>H432+I432</f>
        <v>0</v>
      </c>
      <c r="K432" s="42">
        <f>49.6-49.6</f>
        <v>0</v>
      </c>
      <c r="L432" s="43">
        <f>J432+K432</f>
        <v>0</v>
      </c>
      <c r="M432" s="63">
        <f>49.6-49.6</f>
        <v>0</v>
      </c>
      <c r="N432" s="45">
        <f>L432+M432</f>
        <v>0</v>
      </c>
    </row>
    <row r="433" spans="1:16" s="179" customFormat="1" ht="75">
      <c r="A433" s="142" t="s">
        <v>189</v>
      </c>
      <c r="B433" s="39" t="s">
        <v>426</v>
      </c>
      <c r="C433" s="39" t="s">
        <v>22</v>
      </c>
      <c r="D433" s="39" t="s">
        <v>27</v>
      </c>
      <c r="E433" s="39" t="s">
        <v>190</v>
      </c>
      <c r="F433" s="554"/>
      <c r="G433" s="521" t="e">
        <f t="shared" ref="G433:N433" si="143">G434</f>
        <v>#REF!</v>
      </c>
      <c r="H433" s="87">
        <f t="shared" si="143"/>
        <v>0</v>
      </c>
      <c r="I433" s="81">
        <f t="shared" si="143"/>
        <v>0</v>
      </c>
      <c r="J433" s="728">
        <f t="shared" si="143"/>
        <v>1050</v>
      </c>
      <c r="K433" s="42">
        <f t="shared" si="143"/>
        <v>0</v>
      </c>
      <c r="L433" s="43">
        <f t="shared" si="143"/>
        <v>1050</v>
      </c>
      <c r="M433" s="92">
        <f t="shared" si="143"/>
        <v>0</v>
      </c>
      <c r="N433" s="83">
        <f t="shared" si="143"/>
        <v>1050</v>
      </c>
    </row>
    <row r="434" spans="1:16" s="179" customFormat="1" ht="30">
      <c r="A434" s="46" t="s">
        <v>136</v>
      </c>
      <c r="B434" s="39" t="s">
        <v>426</v>
      </c>
      <c r="C434" s="39" t="s">
        <v>22</v>
      </c>
      <c r="D434" s="39" t="s">
        <v>27</v>
      </c>
      <c r="E434" s="39" t="s">
        <v>190</v>
      </c>
      <c r="F434" s="554" t="s">
        <v>134</v>
      </c>
      <c r="G434" s="521" t="e">
        <f>H434-#REF!</f>
        <v>#REF!</v>
      </c>
      <c r="H434" s="87"/>
      <c r="I434" s="81"/>
      <c r="J434" s="728">
        <v>1050</v>
      </c>
      <c r="K434" s="42"/>
      <c r="L434" s="43">
        <f>J434+K434</f>
        <v>1050</v>
      </c>
      <c r="M434" s="92"/>
      <c r="N434" s="83">
        <f>L434+M434</f>
        <v>1050</v>
      </c>
      <c r="O434" s="179">
        <v>1050</v>
      </c>
      <c r="P434" s="238">
        <f>K434</f>
        <v>0</v>
      </c>
    </row>
    <row r="435" spans="1:16" ht="30">
      <c r="A435" s="176" t="s">
        <v>412</v>
      </c>
      <c r="B435" s="39" t="s">
        <v>426</v>
      </c>
      <c r="C435" s="39" t="s">
        <v>22</v>
      </c>
      <c r="D435" s="39" t="s">
        <v>27</v>
      </c>
      <c r="E435" s="39" t="s">
        <v>192</v>
      </c>
      <c r="F435" s="554"/>
      <c r="G435" s="291">
        <f t="shared" ref="G435:N435" si="144">G436</f>
        <v>1312.7</v>
      </c>
      <c r="H435" s="62">
        <f t="shared" si="144"/>
        <v>10050.56</v>
      </c>
      <c r="I435" s="61">
        <f t="shared" si="144"/>
        <v>0</v>
      </c>
      <c r="J435" s="728">
        <f t="shared" si="144"/>
        <v>13962.981</v>
      </c>
      <c r="K435" s="42">
        <f t="shared" si="144"/>
        <v>633.178</v>
      </c>
      <c r="L435" s="43">
        <f t="shared" si="144"/>
        <v>14596.159</v>
      </c>
      <c r="M435" s="63">
        <f t="shared" si="144"/>
        <v>-88.62</v>
      </c>
      <c r="N435" s="64">
        <f t="shared" si="144"/>
        <v>14507.538999999999</v>
      </c>
    </row>
    <row r="436" spans="1:16">
      <c r="A436" s="176" t="s">
        <v>193</v>
      </c>
      <c r="B436" s="39" t="s">
        <v>426</v>
      </c>
      <c r="C436" s="39" t="s">
        <v>22</v>
      </c>
      <c r="D436" s="39" t="s">
        <v>27</v>
      </c>
      <c r="E436" s="39" t="s">
        <v>194</v>
      </c>
      <c r="F436" s="554"/>
      <c r="G436" s="291">
        <f t="shared" ref="G436:M436" si="145">G437+G438</f>
        <v>1312.7</v>
      </c>
      <c r="H436" s="62">
        <f t="shared" si="145"/>
        <v>10050.56</v>
      </c>
      <c r="I436" s="61">
        <f t="shared" si="145"/>
        <v>0</v>
      </c>
      <c r="J436" s="728">
        <f t="shared" si="145"/>
        <v>13962.981</v>
      </c>
      <c r="K436" s="42">
        <f t="shared" si="145"/>
        <v>633.178</v>
      </c>
      <c r="L436" s="43">
        <f t="shared" si="145"/>
        <v>14596.159</v>
      </c>
      <c r="M436" s="63">
        <f t="shared" si="145"/>
        <v>-88.62</v>
      </c>
      <c r="N436" s="64">
        <f>N437+N438</f>
        <v>14507.538999999999</v>
      </c>
    </row>
    <row r="437" spans="1:16" ht="30" hidden="1">
      <c r="A437" s="176" t="s">
        <v>283</v>
      </c>
      <c r="B437" s="39" t="s">
        <v>426</v>
      </c>
      <c r="C437" s="39" t="s">
        <v>22</v>
      </c>
      <c r="D437" s="39" t="s">
        <v>27</v>
      </c>
      <c r="E437" s="39" t="s">
        <v>194</v>
      </c>
      <c r="F437" s="554" t="s">
        <v>235</v>
      </c>
      <c r="G437" s="291">
        <v>-47.3</v>
      </c>
      <c r="H437" s="241">
        <v>49.6</v>
      </c>
      <c r="I437" s="61"/>
      <c r="J437" s="728"/>
      <c r="K437" s="42"/>
      <c r="L437" s="43">
        <f>J437+K437</f>
        <v>0</v>
      </c>
      <c r="M437" s="63"/>
      <c r="N437" s="45">
        <f>L437+M437</f>
        <v>0</v>
      </c>
    </row>
    <row r="438" spans="1:16" ht="30">
      <c r="A438" s="176" t="s">
        <v>136</v>
      </c>
      <c r="B438" s="39" t="s">
        <v>426</v>
      </c>
      <c r="C438" s="39" t="s">
        <v>22</v>
      </c>
      <c r="D438" s="39" t="s">
        <v>27</v>
      </c>
      <c r="E438" s="39" t="s">
        <v>194</v>
      </c>
      <c r="F438" s="554" t="s">
        <v>134</v>
      </c>
      <c r="G438" s="291">
        <f>10-200+200+80.47+1300-0.47-80+50</f>
        <v>1360</v>
      </c>
      <c r="H438" s="241">
        <f>49.6+117.4+10087.47-203.91-49.6</f>
        <v>10000.959999999999</v>
      </c>
      <c r="I438" s="61"/>
      <c r="J438" s="728">
        <v>13962.981</v>
      </c>
      <c r="K438" s="42">
        <f>62-27.191+670.572-72.203</f>
        <v>633.178</v>
      </c>
      <c r="L438" s="43">
        <f>J438+K438</f>
        <v>14596.159</v>
      </c>
      <c r="M438" s="43">
        <f>-176.62+88</f>
        <v>-88.62</v>
      </c>
      <c r="N438" s="45">
        <f>L438+M438</f>
        <v>14507.538999999999</v>
      </c>
      <c r="O438" s="85">
        <v>14307.865</v>
      </c>
      <c r="P438" s="66">
        <f>L438-O438</f>
        <v>288.29399999999987</v>
      </c>
    </row>
    <row r="439" spans="1:16" ht="47.25" customHeight="1">
      <c r="A439" s="176" t="s">
        <v>433</v>
      </c>
      <c r="B439" s="49" t="s">
        <v>426</v>
      </c>
      <c r="C439" s="49" t="s">
        <v>22</v>
      </c>
      <c r="D439" s="39" t="s">
        <v>27</v>
      </c>
      <c r="E439" s="39" t="s">
        <v>434</v>
      </c>
      <c r="F439" s="554"/>
      <c r="G439" s="517"/>
      <c r="H439" s="41">
        <f t="shared" ref="H439:N439" si="146">H440</f>
        <v>0</v>
      </c>
      <c r="I439" s="40">
        <f t="shared" si="146"/>
        <v>0</v>
      </c>
      <c r="J439" s="728">
        <f t="shared" si="146"/>
        <v>54.3</v>
      </c>
      <c r="K439" s="42">
        <f t="shared" si="146"/>
        <v>0</v>
      </c>
      <c r="L439" s="43">
        <f t="shared" si="146"/>
        <v>54.3</v>
      </c>
      <c r="M439" s="44">
        <f t="shared" si="146"/>
        <v>0</v>
      </c>
      <c r="N439" s="45">
        <f t="shared" si="146"/>
        <v>54.3</v>
      </c>
    </row>
    <row r="440" spans="1:16" ht="29.25" customHeight="1">
      <c r="A440" s="46" t="s">
        <v>136</v>
      </c>
      <c r="B440" s="49" t="s">
        <v>426</v>
      </c>
      <c r="C440" s="49" t="s">
        <v>22</v>
      </c>
      <c r="D440" s="39" t="s">
        <v>27</v>
      </c>
      <c r="E440" s="39" t="s">
        <v>434</v>
      </c>
      <c r="F440" s="554" t="s">
        <v>134</v>
      </c>
      <c r="G440" s="517"/>
      <c r="H440" s="41"/>
      <c r="I440" s="57"/>
      <c r="J440" s="728">
        <v>54.3</v>
      </c>
      <c r="K440" s="729"/>
      <c r="L440" s="43">
        <f>J440+K440</f>
        <v>54.3</v>
      </c>
      <c r="M440" s="59"/>
      <c r="N440" s="45">
        <f>L440+M440</f>
        <v>54.3</v>
      </c>
    </row>
    <row r="441" spans="1:16" ht="14.25" hidden="1" customHeight="1">
      <c r="A441" s="176" t="s">
        <v>435</v>
      </c>
      <c r="B441" s="49" t="s">
        <v>426</v>
      </c>
      <c r="C441" s="49" t="s">
        <v>22</v>
      </c>
      <c r="D441" s="39" t="s">
        <v>27</v>
      </c>
      <c r="E441" s="39" t="s">
        <v>280</v>
      </c>
      <c r="F441" s="554"/>
      <c r="G441" s="517"/>
      <c r="H441" s="41">
        <f t="shared" ref="H441:N441" si="147">H442</f>
        <v>0</v>
      </c>
      <c r="I441" s="40">
        <f t="shared" si="147"/>
        <v>0</v>
      </c>
      <c r="J441" s="728">
        <f t="shared" si="147"/>
        <v>0</v>
      </c>
      <c r="K441" s="42">
        <f t="shared" si="147"/>
        <v>0</v>
      </c>
      <c r="L441" s="43">
        <f t="shared" si="147"/>
        <v>0</v>
      </c>
      <c r="M441" s="44">
        <f t="shared" si="147"/>
        <v>0</v>
      </c>
      <c r="N441" s="45">
        <f t="shared" si="147"/>
        <v>0</v>
      </c>
    </row>
    <row r="442" spans="1:16" ht="14.25" hidden="1" customHeight="1">
      <c r="A442" s="177" t="s">
        <v>278</v>
      </c>
      <c r="B442" s="49" t="s">
        <v>426</v>
      </c>
      <c r="C442" s="49" t="s">
        <v>22</v>
      </c>
      <c r="D442" s="39" t="s">
        <v>27</v>
      </c>
      <c r="E442" s="39" t="s">
        <v>280</v>
      </c>
      <c r="F442" s="554" t="s">
        <v>134</v>
      </c>
      <c r="G442" s="517"/>
      <c r="H442" s="41"/>
      <c r="I442" s="57"/>
      <c r="J442" s="728">
        <f>H442+I442</f>
        <v>0</v>
      </c>
      <c r="K442" s="729"/>
      <c r="L442" s="43">
        <f>J442+K442</f>
        <v>0</v>
      </c>
      <c r="M442" s="59"/>
      <c r="N442" s="45">
        <f>L442+M442</f>
        <v>0</v>
      </c>
    </row>
    <row r="443" spans="1:16" ht="18" hidden="1" customHeight="1">
      <c r="A443" s="276" t="s">
        <v>28</v>
      </c>
      <c r="B443" s="277" t="s">
        <v>426</v>
      </c>
      <c r="C443" s="277" t="s">
        <v>22</v>
      </c>
      <c r="D443" s="277" t="s">
        <v>29</v>
      </c>
      <c r="E443" s="278"/>
      <c r="F443" s="575"/>
      <c r="G443" s="517"/>
      <c r="H443" s="41">
        <f>H444</f>
        <v>0</v>
      </c>
      <c r="I443" s="41">
        <f t="shared" ref="I443:N444" si="148">I444</f>
        <v>0</v>
      </c>
      <c r="J443" s="728">
        <f t="shared" si="148"/>
        <v>0</v>
      </c>
      <c r="K443" s="736">
        <f t="shared" si="148"/>
        <v>0</v>
      </c>
      <c r="L443" s="737">
        <f t="shared" si="148"/>
        <v>0</v>
      </c>
      <c r="M443" s="279">
        <f t="shared" si="148"/>
        <v>0</v>
      </c>
      <c r="N443" s="73">
        <f t="shared" si="148"/>
        <v>0</v>
      </c>
    </row>
    <row r="444" spans="1:16" ht="17.25" hidden="1" customHeight="1">
      <c r="A444" s="46" t="s">
        <v>436</v>
      </c>
      <c r="B444" s="280" t="s">
        <v>426</v>
      </c>
      <c r="C444" s="280" t="s">
        <v>22</v>
      </c>
      <c r="D444" s="280" t="s">
        <v>29</v>
      </c>
      <c r="E444" s="280" t="s">
        <v>437</v>
      </c>
      <c r="F444" s="576"/>
      <c r="G444" s="517"/>
      <c r="H444" s="41">
        <f>H445</f>
        <v>0</v>
      </c>
      <c r="I444" s="41">
        <f t="shared" si="148"/>
        <v>0</v>
      </c>
      <c r="J444" s="728">
        <f t="shared" si="148"/>
        <v>0</v>
      </c>
      <c r="K444" s="42">
        <f t="shared" si="148"/>
        <v>0</v>
      </c>
      <c r="L444" s="43">
        <f t="shared" si="148"/>
        <v>0</v>
      </c>
      <c r="M444" s="44">
        <f t="shared" si="148"/>
        <v>0</v>
      </c>
      <c r="N444" s="45">
        <f t="shared" si="148"/>
        <v>0</v>
      </c>
    </row>
    <row r="445" spans="1:16" ht="15" hidden="1" customHeight="1">
      <c r="A445" s="176" t="s">
        <v>133</v>
      </c>
      <c r="B445" s="39" t="s">
        <v>426</v>
      </c>
      <c r="C445" s="39" t="s">
        <v>22</v>
      </c>
      <c r="D445" s="39" t="s">
        <v>29</v>
      </c>
      <c r="E445" s="39" t="s">
        <v>437</v>
      </c>
      <c r="F445" s="554" t="s">
        <v>235</v>
      </c>
      <c r="G445" s="291"/>
      <c r="H445" s="41"/>
      <c r="I445" s="61"/>
      <c r="J445" s="728">
        <f>H445+I445</f>
        <v>0</v>
      </c>
      <c r="K445" s="749"/>
      <c r="L445" s="750">
        <f>J445+K445</f>
        <v>0</v>
      </c>
      <c r="M445" s="192"/>
      <c r="N445" s="189">
        <f>L445+M445</f>
        <v>0</v>
      </c>
    </row>
    <row r="446" spans="1:16" s="179" customFormat="1" ht="29.25" customHeight="1">
      <c r="A446" s="174" t="s">
        <v>438</v>
      </c>
      <c r="B446" s="38" t="s">
        <v>426</v>
      </c>
      <c r="C446" s="38" t="s">
        <v>22</v>
      </c>
      <c r="D446" s="38" t="s">
        <v>33</v>
      </c>
      <c r="E446" s="281"/>
      <c r="F446" s="556"/>
      <c r="G446" s="518">
        <f t="shared" ref="G446:N450" si="149">G447</f>
        <v>0</v>
      </c>
      <c r="H446" s="90">
        <f t="shared" si="149"/>
        <v>20</v>
      </c>
      <c r="I446" s="67">
        <f t="shared" si="149"/>
        <v>0</v>
      </c>
      <c r="J446" s="734">
        <f>J447</f>
        <v>134.28892999999999</v>
      </c>
      <c r="K446" s="91">
        <f t="shared" si="149"/>
        <v>30</v>
      </c>
      <c r="L446" s="92">
        <f t="shared" si="149"/>
        <v>164.28892999999999</v>
      </c>
      <c r="M446" s="147">
        <f t="shared" si="149"/>
        <v>0</v>
      </c>
      <c r="N446" s="148">
        <f t="shared" si="149"/>
        <v>52.946759999999998</v>
      </c>
    </row>
    <row r="447" spans="1:16" ht="32.25" customHeight="1">
      <c r="A447" s="176" t="s">
        <v>439</v>
      </c>
      <c r="B447" s="39" t="s">
        <v>426</v>
      </c>
      <c r="C447" s="39" t="s">
        <v>22</v>
      </c>
      <c r="D447" s="39" t="s">
        <v>33</v>
      </c>
      <c r="E447" s="208" t="s">
        <v>440</v>
      </c>
      <c r="F447" s="554"/>
      <c r="G447" s="291">
        <f>G450</f>
        <v>0</v>
      </c>
      <c r="H447" s="62">
        <f>H450</f>
        <v>20</v>
      </c>
      <c r="I447" s="61">
        <f>I450</f>
        <v>0</v>
      </c>
      <c r="J447" s="728">
        <f>J450+J448</f>
        <v>134.28892999999999</v>
      </c>
      <c r="K447" s="42">
        <f>K450+K448</f>
        <v>30</v>
      </c>
      <c r="L447" s="43">
        <f>L450+L448</f>
        <v>164.28892999999999</v>
      </c>
      <c r="M447" s="63">
        <f>M450</f>
        <v>0</v>
      </c>
      <c r="N447" s="64">
        <f>N450</f>
        <v>52.946759999999998</v>
      </c>
    </row>
    <row r="448" spans="1:16" ht="43.5" customHeight="1">
      <c r="A448" s="582" t="s">
        <v>441</v>
      </c>
      <c r="B448" s="39" t="s">
        <v>426</v>
      </c>
      <c r="C448" s="39" t="s">
        <v>22</v>
      </c>
      <c r="D448" s="39" t="s">
        <v>33</v>
      </c>
      <c r="E448" s="39" t="s">
        <v>442</v>
      </c>
      <c r="F448" s="554"/>
      <c r="G448" s="291">
        <f t="shared" si="149"/>
        <v>0</v>
      </c>
      <c r="H448" s="62">
        <f t="shared" si="149"/>
        <v>20</v>
      </c>
      <c r="I448" s="61">
        <f t="shared" si="149"/>
        <v>0</v>
      </c>
      <c r="J448" s="728">
        <f t="shared" si="149"/>
        <v>111.34217</v>
      </c>
      <c r="K448" s="42">
        <f t="shared" si="149"/>
        <v>0</v>
      </c>
      <c r="L448" s="43">
        <f t="shared" si="149"/>
        <v>111.34217</v>
      </c>
      <c r="M448" s="63"/>
      <c r="N448" s="64"/>
    </row>
    <row r="449" spans="1:19" ht="27" customHeight="1">
      <c r="A449" s="176" t="s">
        <v>136</v>
      </c>
      <c r="B449" s="39" t="s">
        <v>426</v>
      </c>
      <c r="C449" s="39" t="s">
        <v>22</v>
      </c>
      <c r="D449" s="39" t="s">
        <v>33</v>
      </c>
      <c r="E449" s="39" t="s">
        <v>442</v>
      </c>
      <c r="F449" s="554" t="s">
        <v>134</v>
      </c>
      <c r="G449" s="291"/>
      <c r="H449" s="241">
        <v>20</v>
      </c>
      <c r="I449" s="61"/>
      <c r="J449" s="728">
        <v>111.34217</v>
      </c>
      <c r="K449" s="42"/>
      <c r="L449" s="43">
        <f>J449+K449</f>
        <v>111.34217</v>
      </c>
      <c r="M449" s="63"/>
      <c r="N449" s="64"/>
    </row>
    <row r="450" spans="1:19" ht="30" customHeight="1">
      <c r="A450" s="176" t="s">
        <v>443</v>
      </c>
      <c r="B450" s="39" t="s">
        <v>426</v>
      </c>
      <c r="C450" s="39" t="s">
        <v>22</v>
      </c>
      <c r="D450" s="39" t="s">
        <v>33</v>
      </c>
      <c r="E450" s="39" t="s">
        <v>444</v>
      </c>
      <c r="F450" s="554"/>
      <c r="G450" s="291">
        <f t="shared" si="149"/>
        <v>0</v>
      </c>
      <c r="H450" s="62">
        <f t="shared" si="149"/>
        <v>20</v>
      </c>
      <c r="I450" s="61">
        <f t="shared" si="149"/>
        <v>0</v>
      </c>
      <c r="J450" s="728">
        <f t="shared" si="149"/>
        <v>22.946760000000001</v>
      </c>
      <c r="K450" s="42">
        <f t="shared" si="149"/>
        <v>30</v>
      </c>
      <c r="L450" s="43">
        <f t="shared" si="149"/>
        <v>52.946759999999998</v>
      </c>
      <c r="M450" s="63">
        <f t="shared" si="149"/>
        <v>0</v>
      </c>
      <c r="N450" s="64">
        <f t="shared" si="149"/>
        <v>52.946759999999998</v>
      </c>
    </row>
    <row r="451" spans="1:19" ht="31.5" customHeight="1">
      <c r="A451" s="176" t="s">
        <v>136</v>
      </c>
      <c r="B451" s="39" t="s">
        <v>426</v>
      </c>
      <c r="C451" s="39" t="s">
        <v>22</v>
      </c>
      <c r="D451" s="39" t="s">
        <v>33</v>
      </c>
      <c r="E451" s="39" t="s">
        <v>444</v>
      </c>
      <c r="F451" s="554" t="s">
        <v>134</v>
      </c>
      <c r="G451" s="291"/>
      <c r="H451" s="241">
        <v>20</v>
      </c>
      <c r="I451" s="61"/>
      <c r="J451" s="728">
        <v>22.946760000000001</v>
      </c>
      <c r="K451" s="42">
        <v>30</v>
      </c>
      <c r="L451" s="43">
        <f>J451+K451</f>
        <v>52.946759999999998</v>
      </c>
      <c r="M451" s="63"/>
      <c r="N451" s="45">
        <f>L451+M451</f>
        <v>52.946759999999998</v>
      </c>
    </row>
    <row r="452" spans="1:19" ht="25.5" customHeight="1">
      <c r="A452" s="282" t="s">
        <v>39</v>
      </c>
      <c r="B452" s="283" t="s">
        <v>426</v>
      </c>
      <c r="C452" s="283" t="s">
        <v>22</v>
      </c>
      <c r="D452" s="283" t="s">
        <v>38</v>
      </c>
      <c r="E452" s="283"/>
      <c r="F452" s="577"/>
      <c r="G452" s="547">
        <f>G455+G453</f>
        <v>0</v>
      </c>
      <c r="H452" s="285">
        <f>H455+H453</f>
        <v>265.39999999999998</v>
      </c>
      <c r="I452" s="284">
        <f>I455+I453</f>
        <v>0</v>
      </c>
      <c r="J452" s="734">
        <f>J455+J453+J458+J460</f>
        <v>2050.4880000000003</v>
      </c>
      <c r="K452" s="91">
        <f>K455+K453+K458+K460</f>
        <v>36.042000000000002</v>
      </c>
      <c r="L452" s="92">
        <f>L455+L453+L458+L460</f>
        <v>2086.5299999999997</v>
      </c>
      <c r="M452" s="63"/>
      <c r="N452" s="45"/>
    </row>
    <row r="453" spans="1:19" ht="30.75" customHeight="1">
      <c r="A453" s="286" t="s">
        <v>445</v>
      </c>
      <c r="B453" s="208" t="s">
        <v>426</v>
      </c>
      <c r="C453" s="208" t="s">
        <v>22</v>
      </c>
      <c r="D453" s="208" t="s">
        <v>38</v>
      </c>
      <c r="E453" s="208" t="s">
        <v>434</v>
      </c>
      <c r="F453" s="568"/>
      <c r="G453" s="412">
        <f t="shared" ref="G453:L453" si="150">G454</f>
        <v>195</v>
      </c>
      <c r="H453" s="210">
        <f t="shared" si="150"/>
        <v>0</v>
      </c>
      <c r="I453" s="209">
        <f t="shared" si="150"/>
        <v>0</v>
      </c>
      <c r="J453" s="728">
        <f t="shared" si="150"/>
        <v>413</v>
      </c>
      <c r="K453" s="42">
        <f t="shared" si="150"/>
        <v>0</v>
      </c>
      <c r="L453" s="43">
        <f t="shared" si="150"/>
        <v>413</v>
      </c>
      <c r="M453" s="63"/>
      <c r="N453" s="45"/>
    </row>
    <row r="454" spans="1:19" ht="28.5" customHeight="1">
      <c r="A454" s="287" t="s">
        <v>142</v>
      </c>
      <c r="B454" s="208" t="s">
        <v>426</v>
      </c>
      <c r="C454" s="208" t="s">
        <v>22</v>
      </c>
      <c r="D454" s="208" t="s">
        <v>38</v>
      </c>
      <c r="E454" s="208" t="s">
        <v>446</v>
      </c>
      <c r="F454" s="568" t="s">
        <v>143</v>
      </c>
      <c r="G454" s="412">
        <v>195</v>
      </c>
      <c r="H454" s="212"/>
      <c r="I454" s="209"/>
      <c r="J454" s="728">
        <v>413</v>
      </c>
      <c r="K454" s="42"/>
      <c r="L454" s="43">
        <f>J454+K454</f>
        <v>413</v>
      </c>
      <c r="M454" s="63"/>
      <c r="N454" s="45"/>
      <c r="O454" s="11">
        <v>413</v>
      </c>
      <c r="P454" s="15">
        <f>K454</f>
        <v>0</v>
      </c>
    </row>
    <row r="455" spans="1:19" ht="43.5" customHeight="1">
      <c r="A455" s="287" t="s">
        <v>447</v>
      </c>
      <c r="B455" s="208" t="s">
        <v>426</v>
      </c>
      <c r="C455" s="208" t="s">
        <v>22</v>
      </c>
      <c r="D455" s="208" t="s">
        <v>38</v>
      </c>
      <c r="E455" s="208" t="s">
        <v>448</v>
      </c>
      <c r="F455" s="568"/>
      <c r="G455" s="412">
        <f t="shared" ref="G455:L456" si="151">G456</f>
        <v>-195</v>
      </c>
      <c r="H455" s="210">
        <f t="shared" si="151"/>
        <v>265.39999999999998</v>
      </c>
      <c r="I455" s="209">
        <f t="shared" si="151"/>
        <v>0</v>
      </c>
      <c r="J455" s="728">
        <f t="shared" si="151"/>
        <v>112.73</v>
      </c>
      <c r="K455" s="42">
        <f t="shared" si="151"/>
        <v>0</v>
      </c>
      <c r="L455" s="43">
        <f t="shared" si="151"/>
        <v>112.73</v>
      </c>
      <c r="M455" s="63"/>
      <c r="N455" s="45"/>
    </row>
    <row r="456" spans="1:19" ht="27.75" customHeight="1">
      <c r="A456" s="287" t="s">
        <v>146</v>
      </c>
      <c r="B456" s="208" t="s">
        <v>426</v>
      </c>
      <c r="C456" s="208" t="s">
        <v>22</v>
      </c>
      <c r="D456" s="208" t="s">
        <v>38</v>
      </c>
      <c r="E456" s="208" t="s">
        <v>449</v>
      </c>
      <c r="F456" s="568"/>
      <c r="G456" s="412">
        <f t="shared" si="151"/>
        <v>-195</v>
      </c>
      <c r="H456" s="210">
        <f t="shared" si="151"/>
        <v>265.39999999999998</v>
      </c>
      <c r="I456" s="209">
        <f t="shared" si="151"/>
        <v>0</v>
      </c>
      <c r="J456" s="728">
        <f t="shared" si="151"/>
        <v>112.73</v>
      </c>
      <c r="K456" s="42">
        <f t="shared" si="151"/>
        <v>0</v>
      </c>
      <c r="L456" s="43">
        <f t="shared" si="151"/>
        <v>112.73</v>
      </c>
      <c r="M456" s="63"/>
      <c r="N456" s="45"/>
    </row>
    <row r="457" spans="1:19" ht="27.75" customHeight="1">
      <c r="A457" s="287" t="s">
        <v>142</v>
      </c>
      <c r="B457" s="208" t="s">
        <v>426</v>
      </c>
      <c r="C457" s="208" t="s">
        <v>22</v>
      </c>
      <c r="D457" s="208" t="s">
        <v>38</v>
      </c>
      <c r="E457" s="208" t="s">
        <v>449</v>
      </c>
      <c r="F457" s="568" t="s">
        <v>143</v>
      </c>
      <c r="G457" s="412">
        <v>-195</v>
      </c>
      <c r="H457" s="103">
        <f>204.4+61</f>
        <v>265.39999999999998</v>
      </c>
      <c r="I457" s="209"/>
      <c r="J457" s="728">
        <v>112.73</v>
      </c>
      <c r="K457" s="42"/>
      <c r="L457" s="43">
        <f>J457+K457</f>
        <v>112.73</v>
      </c>
      <c r="M457" s="63"/>
      <c r="N457" s="45"/>
      <c r="O457" s="11">
        <v>112.73</v>
      </c>
    </row>
    <row r="458" spans="1:19" ht="42" customHeight="1">
      <c r="A458" s="287" t="s">
        <v>450</v>
      </c>
      <c r="B458" s="208" t="s">
        <v>426</v>
      </c>
      <c r="C458" s="208" t="s">
        <v>22</v>
      </c>
      <c r="D458" s="208" t="s">
        <v>38</v>
      </c>
      <c r="E458" s="208" t="s">
        <v>451</v>
      </c>
      <c r="F458" s="568"/>
      <c r="G458" s="412"/>
      <c r="H458" s="212"/>
      <c r="I458" s="209"/>
      <c r="J458" s="728">
        <f>J459</f>
        <v>179.75800000000001</v>
      </c>
      <c r="K458" s="42">
        <f>K459</f>
        <v>-3.9580000000000002</v>
      </c>
      <c r="L458" s="43">
        <f>L459</f>
        <v>175.8</v>
      </c>
      <c r="M458" s="63"/>
      <c r="N458" s="45"/>
    </row>
    <row r="459" spans="1:19" s="633" customFormat="1" ht="27.75" customHeight="1">
      <c r="A459" s="287" t="s">
        <v>136</v>
      </c>
      <c r="B459" s="208" t="s">
        <v>426</v>
      </c>
      <c r="C459" s="208" t="s">
        <v>22</v>
      </c>
      <c r="D459" s="208" t="s">
        <v>38</v>
      </c>
      <c r="E459" s="208" t="s">
        <v>451</v>
      </c>
      <c r="F459" s="568" t="s">
        <v>134</v>
      </c>
      <c r="G459" s="412"/>
      <c r="H459" s="212"/>
      <c r="I459" s="209"/>
      <c r="J459" s="728">
        <v>179.75800000000001</v>
      </c>
      <c r="K459" s="42">
        <v>-3.9580000000000002</v>
      </c>
      <c r="L459" s="43">
        <f>J459+K459</f>
        <v>175.8</v>
      </c>
      <c r="M459" s="631"/>
      <c r="N459" s="632"/>
      <c r="O459" s="633">
        <v>175.8</v>
      </c>
      <c r="P459" s="635">
        <f>K459</f>
        <v>-3.9580000000000002</v>
      </c>
      <c r="Q459" s="634"/>
      <c r="R459" s="634" t="s">
        <v>1135</v>
      </c>
      <c r="S459" s="634"/>
    </row>
    <row r="460" spans="1:19" ht="42" customHeight="1">
      <c r="A460" s="176" t="s">
        <v>226</v>
      </c>
      <c r="B460" s="39" t="s">
        <v>426</v>
      </c>
      <c r="C460" s="39" t="s">
        <v>22</v>
      </c>
      <c r="D460" s="39" t="s">
        <v>38</v>
      </c>
      <c r="E460" s="39" t="s">
        <v>227</v>
      </c>
      <c r="F460" s="554"/>
      <c r="G460" s="412"/>
      <c r="H460" s="212"/>
      <c r="I460" s="209"/>
      <c r="J460" s="728">
        <f>J461</f>
        <v>1345</v>
      </c>
      <c r="K460" s="42">
        <f>K461</f>
        <v>40</v>
      </c>
      <c r="L460" s="43">
        <f>L461</f>
        <v>1385</v>
      </c>
      <c r="M460" s="63"/>
      <c r="N460" s="45"/>
      <c r="P460" s="15"/>
    </row>
    <row r="461" spans="1:19" ht="27.75" customHeight="1">
      <c r="A461" s="176" t="s">
        <v>136</v>
      </c>
      <c r="B461" s="39" t="s">
        <v>426</v>
      </c>
      <c r="C461" s="39" t="s">
        <v>22</v>
      </c>
      <c r="D461" s="39" t="s">
        <v>38</v>
      </c>
      <c r="E461" s="39" t="s">
        <v>227</v>
      </c>
      <c r="F461" s="554" t="s">
        <v>134</v>
      </c>
      <c r="G461" s="412"/>
      <c r="H461" s="212"/>
      <c r="I461" s="209"/>
      <c r="J461" s="728">
        <f>895+450</f>
        <v>1345</v>
      </c>
      <c r="K461" s="42">
        <f>40</f>
        <v>40</v>
      </c>
      <c r="L461" s="43">
        <f>J461+K461</f>
        <v>1385</v>
      </c>
      <c r="M461" s="63"/>
      <c r="N461" s="45"/>
      <c r="P461" s="15"/>
    </row>
    <row r="462" spans="1:19" s="179" customFormat="1" ht="28.5" hidden="1">
      <c r="A462" s="174" t="s">
        <v>39</v>
      </c>
      <c r="B462" s="38" t="s">
        <v>426</v>
      </c>
      <c r="C462" s="38" t="s">
        <v>22</v>
      </c>
      <c r="D462" s="38" t="s">
        <v>40</v>
      </c>
      <c r="E462" s="38"/>
      <c r="F462" s="556"/>
      <c r="G462" s="518">
        <f t="shared" ref="G462:M462" si="152">G465+G463</f>
        <v>0</v>
      </c>
      <c r="H462" s="90">
        <f t="shared" si="152"/>
        <v>265.39999999999998</v>
      </c>
      <c r="I462" s="67">
        <f t="shared" si="152"/>
        <v>0</v>
      </c>
      <c r="J462" s="734">
        <f t="shared" si="152"/>
        <v>0</v>
      </c>
      <c r="K462" s="91">
        <f t="shared" si="152"/>
        <v>0</v>
      </c>
      <c r="L462" s="92">
        <f t="shared" si="152"/>
        <v>0</v>
      </c>
      <c r="M462" s="147">
        <f t="shared" si="152"/>
        <v>-88</v>
      </c>
      <c r="N462" s="148">
        <f>N465+N463</f>
        <v>-88</v>
      </c>
    </row>
    <row r="463" spans="1:19" s="179" customFormat="1" ht="44.25" hidden="1" customHeight="1">
      <c r="A463" s="142" t="s">
        <v>445</v>
      </c>
      <c r="B463" s="39" t="s">
        <v>426</v>
      </c>
      <c r="C463" s="39" t="s">
        <v>22</v>
      </c>
      <c r="D463" s="39" t="s">
        <v>40</v>
      </c>
      <c r="E463" s="39" t="s">
        <v>434</v>
      </c>
      <c r="F463" s="554"/>
      <c r="G463" s="291">
        <f t="shared" ref="G463:N463" si="153">G464</f>
        <v>195</v>
      </c>
      <c r="H463" s="62">
        <f t="shared" si="153"/>
        <v>0</v>
      </c>
      <c r="I463" s="61">
        <f t="shared" si="153"/>
        <v>0</v>
      </c>
      <c r="J463" s="728">
        <f t="shared" si="153"/>
        <v>0</v>
      </c>
      <c r="K463" s="42">
        <f t="shared" si="153"/>
        <v>0</v>
      </c>
      <c r="L463" s="43">
        <f t="shared" si="153"/>
        <v>0</v>
      </c>
      <c r="M463" s="63">
        <f t="shared" si="153"/>
        <v>0</v>
      </c>
      <c r="N463" s="64">
        <f t="shared" si="153"/>
        <v>0</v>
      </c>
    </row>
    <row r="464" spans="1:19" s="179" customFormat="1" ht="30.75" hidden="1" customHeight="1">
      <c r="A464" s="176" t="s">
        <v>142</v>
      </c>
      <c r="B464" s="39" t="s">
        <v>426</v>
      </c>
      <c r="C464" s="39" t="s">
        <v>22</v>
      </c>
      <c r="D464" s="39" t="s">
        <v>40</v>
      </c>
      <c r="E464" s="39" t="s">
        <v>446</v>
      </c>
      <c r="F464" s="554" t="s">
        <v>143</v>
      </c>
      <c r="G464" s="291">
        <v>195</v>
      </c>
      <c r="H464" s="41"/>
      <c r="I464" s="61"/>
      <c r="J464" s="728"/>
      <c r="K464" s="42"/>
      <c r="L464" s="43">
        <f>J464+K464</f>
        <v>0</v>
      </c>
      <c r="M464" s="63"/>
      <c r="N464" s="45">
        <f>L464+M464</f>
        <v>0</v>
      </c>
      <c r="P464" s="238">
        <f>K464</f>
        <v>0</v>
      </c>
    </row>
    <row r="465" spans="1:16" ht="45" hidden="1">
      <c r="A465" s="176" t="s">
        <v>447</v>
      </c>
      <c r="B465" s="39" t="s">
        <v>426</v>
      </c>
      <c r="C465" s="39" t="s">
        <v>22</v>
      </c>
      <c r="D465" s="39" t="s">
        <v>40</v>
      </c>
      <c r="E465" s="39" t="s">
        <v>448</v>
      </c>
      <c r="F465" s="554"/>
      <c r="G465" s="291">
        <f t="shared" ref="G465:N466" si="154">G466</f>
        <v>-195</v>
      </c>
      <c r="H465" s="62">
        <f t="shared" si="154"/>
        <v>265.39999999999998</v>
      </c>
      <c r="I465" s="61">
        <f t="shared" si="154"/>
        <v>0</v>
      </c>
      <c r="J465" s="728">
        <f t="shared" si="154"/>
        <v>0</v>
      </c>
      <c r="K465" s="42">
        <f t="shared" si="154"/>
        <v>0</v>
      </c>
      <c r="L465" s="43">
        <f t="shared" si="154"/>
        <v>0</v>
      </c>
      <c r="M465" s="63">
        <f t="shared" si="154"/>
        <v>-88</v>
      </c>
      <c r="N465" s="64">
        <f t="shared" si="154"/>
        <v>-88</v>
      </c>
    </row>
    <row r="466" spans="1:16" ht="18" hidden="1" customHeight="1">
      <c r="A466" s="176" t="s">
        <v>146</v>
      </c>
      <c r="B466" s="39" t="s">
        <v>426</v>
      </c>
      <c r="C466" s="39" t="s">
        <v>22</v>
      </c>
      <c r="D466" s="39" t="s">
        <v>40</v>
      </c>
      <c r="E466" s="39" t="s">
        <v>449</v>
      </c>
      <c r="F466" s="554"/>
      <c r="G466" s="291">
        <f t="shared" si="154"/>
        <v>-195</v>
      </c>
      <c r="H466" s="62">
        <f t="shared" si="154"/>
        <v>265.39999999999998</v>
      </c>
      <c r="I466" s="61">
        <f t="shared" si="154"/>
        <v>0</v>
      </c>
      <c r="J466" s="728">
        <f t="shared" si="154"/>
        <v>0</v>
      </c>
      <c r="K466" s="42">
        <f t="shared" si="154"/>
        <v>0</v>
      </c>
      <c r="L466" s="43">
        <f t="shared" si="154"/>
        <v>0</v>
      </c>
      <c r="M466" s="63">
        <f t="shared" si="154"/>
        <v>-88</v>
      </c>
      <c r="N466" s="64">
        <f t="shared" si="154"/>
        <v>-88</v>
      </c>
      <c r="O466" s="85"/>
    </row>
    <row r="467" spans="1:16" ht="18" hidden="1" customHeight="1">
      <c r="A467" s="176" t="s">
        <v>142</v>
      </c>
      <c r="B467" s="39" t="s">
        <v>426</v>
      </c>
      <c r="C467" s="39" t="s">
        <v>22</v>
      </c>
      <c r="D467" s="39" t="s">
        <v>40</v>
      </c>
      <c r="E467" s="39" t="s">
        <v>449</v>
      </c>
      <c r="F467" s="554" t="s">
        <v>143</v>
      </c>
      <c r="G467" s="291">
        <v>-195</v>
      </c>
      <c r="H467" s="241">
        <f>204.4+61</f>
        <v>265.39999999999998</v>
      </c>
      <c r="I467" s="61"/>
      <c r="J467" s="728"/>
      <c r="K467" s="42"/>
      <c r="L467" s="43">
        <f>J467+K467</f>
        <v>0</v>
      </c>
      <c r="M467" s="63">
        <f>-88</f>
        <v>-88</v>
      </c>
      <c r="N467" s="45">
        <f>L467+M467</f>
        <v>-88</v>
      </c>
      <c r="P467" s="149"/>
    </row>
    <row r="468" spans="1:16" s="272" customFormat="1" ht="42.75">
      <c r="A468" s="288" t="s">
        <v>44</v>
      </c>
      <c r="B468" s="49" t="s">
        <v>426</v>
      </c>
      <c r="C468" s="49" t="s">
        <v>25</v>
      </c>
      <c r="D468" s="49"/>
      <c r="E468" s="49"/>
      <c r="F468" s="562"/>
      <c r="G468" s="621">
        <f t="shared" ref="G468:N468" si="155">G469+G473</f>
        <v>0</v>
      </c>
      <c r="H468" s="621">
        <f t="shared" si="155"/>
        <v>57.6</v>
      </c>
      <c r="I468" s="621">
        <f t="shared" si="155"/>
        <v>0</v>
      </c>
      <c r="J468" s="729">
        <f t="shared" si="155"/>
        <v>75</v>
      </c>
      <c r="K468" s="729">
        <f t="shared" si="155"/>
        <v>15</v>
      </c>
      <c r="L468" s="729">
        <f t="shared" si="155"/>
        <v>90</v>
      </c>
      <c r="M468" s="621">
        <f t="shared" si="155"/>
        <v>0</v>
      </c>
      <c r="N468" s="621">
        <f t="shared" si="155"/>
        <v>75</v>
      </c>
    </row>
    <row r="469" spans="1:16" s="179" customFormat="1" ht="71.25">
      <c r="A469" s="174" t="s">
        <v>452</v>
      </c>
      <c r="B469" s="38" t="s">
        <v>426</v>
      </c>
      <c r="C469" s="38" t="s">
        <v>25</v>
      </c>
      <c r="D469" s="38" t="s">
        <v>48</v>
      </c>
      <c r="E469" s="38"/>
      <c r="F469" s="556"/>
      <c r="G469" s="518">
        <f t="shared" ref="G469:N471" si="156">G470</f>
        <v>0</v>
      </c>
      <c r="H469" s="90">
        <f t="shared" si="156"/>
        <v>57.6</v>
      </c>
      <c r="I469" s="67">
        <f t="shared" si="156"/>
        <v>0</v>
      </c>
      <c r="J469" s="734">
        <f t="shared" si="156"/>
        <v>75</v>
      </c>
      <c r="K469" s="91">
        <f t="shared" si="156"/>
        <v>0</v>
      </c>
      <c r="L469" s="92">
        <f t="shared" si="156"/>
        <v>75</v>
      </c>
      <c r="M469" s="147">
        <f t="shared" si="156"/>
        <v>0</v>
      </c>
      <c r="N469" s="148">
        <f t="shared" si="156"/>
        <v>75</v>
      </c>
    </row>
    <row r="470" spans="1:16" ht="60">
      <c r="A470" s="176" t="s">
        <v>453</v>
      </c>
      <c r="B470" s="39" t="s">
        <v>426</v>
      </c>
      <c r="C470" s="39" t="s">
        <v>25</v>
      </c>
      <c r="D470" s="39" t="s">
        <v>48</v>
      </c>
      <c r="E470" s="39" t="s">
        <v>454</v>
      </c>
      <c r="F470" s="554"/>
      <c r="G470" s="291">
        <f t="shared" si="156"/>
        <v>0</v>
      </c>
      <c r="H470" s="62">
        <f t="shared" si="156"/>
        <v>57.6</v>
      </c>
      <c r="I470" s="61">
        <f t="shared" si="156"/>
        <v>0</v>
      </c>
      <c r="J470" s="728">
        <f t="shared" si="156"/>
        <v>75</v>
      </c>
      <c r="K470" s="42">
        <f t="shared" si="156"/>
        <v>0</v>
      </c>
      <c r="L470" s="43">
        <f t="shared" si="156"/>
        <v>75</v>
      </c>
      <c r="M470" s="63">
        <f t="shared" si="156"/>
        <v>0</v>
      </c>
      <c r="N470" s="64">
        <f t="shared" si="156"/>
        <v>75</v>
      </c>
    </row>
    <row r="471" spans="1:16" ht="60">
      <c r="A471" s="176" t="s">
        <v>455</v>
      </c>
      <c r="B471" s="39" t="s">
        <v>426</v>
      </c>
      <c r="C471" s="39" t="s">
        <v>25</v>
      </c>
      <c r="D471" s="39" t="s">
        <v>48</v>
      </c>
      <c r="E471" s="39" t="s">
        <v>456</v>
      </c>
      <c r="F471" s="554"/>
      <c r="G471" s="291">
        <f t="shared" si="156"/>
        <v>0</v>
      </c>
      <c r="H471" s="62">
        <f t="shared" si="156"/>
        <v>57.6</v>
      </c>
      <c r="I471" s="61">
        <f t="shared" si="156"/>
        <v>0</v>
      </c>
      <c r="J471" s="728">
        <f t="shared" si="156"/>
        <v>75</v>
      </c>
      <c r="K471" s="42">
        <f t="shared" si="156"/>
        <v>0</v>
      </c>
      <c r="L471" s="43">
        <f t="shared" si="156"/>
        <v>75</v>
      </c>
      <c r="M471" s="63">
        <f t="shared" si="156"/>
        <v>0</v>
      </c>
      <c r="N471" s="64">
        <f t="shared" si="156"/>
        <v>75</v>
      </c>
    </row>
    <row r="472" spans="1:16" ht="60">
      <c r="A472" s="186" t="s">
        <v>457</v>
      </c>
      <c r="B472" s="39" t="s">
        <v>426</v>
      </c>
      <c r="C472" s="39" t="s">
        <v>25</v>
      </c>
      <c r="D472" s="39" t="s">
        <v>48</v>
      </c>
      <c r="E472" s="39" t="s">
        <v>456</v>
      </c>
      <c r="F472" s="554" t="s">
        <v>458</v>
      </c>
      <c r="G472" s="291"/>
      <c r="H472" s="241">
        <v>57.6</v>
      </c>
      <c r="I472" s="61"/>
      <c r="J472" s="728">
        <v>75</v>
      </c>
      <c r="K472" s="42"/>
      <c r="L472" s="42">
        <f>J472+K472</f>
        <v>75</v>
      </c>
      <c r="M472" s="63"/>
      <c r="N472" s="45">
        <f>L472+M472</f>
        <v>75</v>
      </c>
      <c r="O472" s="65"/>
    </row>
    <row r="473" spans="1:16" ht="45">
      <c r="A473" s="186" t="s">
        <v>1213</v>
      </c>
      <c r="B473" s="39" t="s">
        <v>426</v>
      </c>
      <c r="C473" s="39" t="s">
        <v>25</v>
      </c>
      <c r="D473" s="39" t="s">
        <v>40</v>
      </c>
      <c r="E473" s="39"/>
      <c r="F473" s="554"/>
      <c r="G473" s="291"/>
      <c r="H473" s="291"/>
      <c r="I473" s="61"/>
      <c r="J473" s="728">
        <f t="shared" ref="J473:L474" si="157">J474</f>
        <v>0</v>
      </c>
      <c r="K473" s="42">
        <f t="shared" si="157"/>
        <v>15</v>
      </c>
      <c r="L473" s="42">
        <f t="shared" si="157"/>
        <v>15</v>
      </c>
      <c r="M473" s="63"/>
      <c r="N473" s="45"/>
      <c r="O473" s="65"/>
    </row>
    <row r="474" spans="1:16" ht="105">
      <c r="A474" s="186" t="s">
        <v>1214</v>
      </c>
      <c r="B474" s="39" t="s">
        <v>426</v>
      </c>
      <c r="C474" s="39" t="s">
        <v>25</v>
      </c>
      <c r="D474" s="39" t="s">
        <v>40</v>
      </c>
      <c r="E474" s="39" t="s">
        <v>1199</v>
      </c>
      <c r="F474" s="554"/>
      <c r="G474" s="291"/>
      <c r="H474" s="291"/>
      <c r="I474" s="61"/>
      <c r="J474" s="728">
        <f t="shared" si="157"/>
        <v>0</v>
      </c>
      <c r="K474" s="42">
        <f t="shared" si="157"/>
        <v>15</v>
      </c>
      <c r="L474" s="42">
        <f t="shared" si="157"/>
        <v>15</v>
      </c>
      <c r="M474" s="63"/>
      <c r="N474" s="45"/>
      <c r="O474" s="65"/>
    </row>
    <row r="475" spans="1:16">
      <c r="A475" s="186" t="s">
        <v>1200</v>
      </c>
      <c r="B475" s="39" t="s">
        <v>426</v>
      </c>
      <c r="C475" s="39" t="s">
        <v>25</v>
      </c>
      <c r="D475" s="39" t="s">
        <v>40</v>
      </c>
      <c r="E475" s="39" t="s">
        <v>1199</v>
      </c>
      <c r="F475" s="554" t="s">
        <v>134</v>
      </c>
      <c r="G475" s="291"/>
      <c r="H475" s="291"/>
      <c r="I475" s="61"/>
      <c r="J475" s="728"/>
      <c r="K475" s="42">
        <v>15</v>
      </c>
      <c r="L475" s="42">
        <f>J475+K475</f>
        <v>15</v>
      </c>
      <c r="M475" s="63"/>
      <c r="N475" s="45"/>
      <c r="O475" s="65"/>
    </row>
    <row r="476" spans="1:16" s="272" customFormat="1" ht="14.25">
      <c r="A476" s="289" t="s">
        <v>49</v>
      </c>
      <c r="B476" s="49" t="s">
        <v>426</v>
      </c>
      <c r="C476" s="49" t="s">
        <v>27</v>
      </c>
      <c r="D476" s="49"/>
      <c r="E476" s="49"/>
      <c r="F476" s="562"/>
      <c r="G476" s="517">
        <f>G480+G489+G483</f>
        <v>4086.5</v>
      </c>
      <c r="H476" s="51">
        <f t="shared" ref="H476:N476" si="158">H480+H489+H483+H486</f>
        <v>2102.1799999999998</v>
      </c>
      <c r="I476" s="50">
        <f t="shared" si="158"/>
        <v>0</v>
      </c>
      <c r="J476" s="52">
        <f>J480+J489+J483+J486+J477</f>
        <v>5643.7049999999999</v>
      </c>
      <c r="K476" s="729">
        <f>K480+K489+K483+K486+K477</f>
        <v>145.12101000000001</v>
      </c>
      <c r="L476" s="729">
        <f>L480+L489+L483+L486+L477</f>
        <v>5788.8260099999998</v>
      </c>
      <c r="M476" s="54">
        <f t="shared" si="158"/>
        <v>0</v>
      </c>
      <c r="N476" s="55">
        <f t="shared" si="158"/>
        <v>4049.7950000000001</v>
      </c>
    </row>
    <row r="477" spans="1:16" s="179" customFormat="1" ht="14.25">
      <c r="A477" s="202" t="s">
        <v>51</v>
      </c>
      <c r="B477" s="38" t="s">
        <v>426</v>
      </c>
      <c r="C477" s="38" t="s">
        <v>27</v>
      </c>
      <c r="D477" s="38" t="s">
        <v>22</v>
      </c>
      <c r="E477" s="38"/>
      <c r="F477" s="556"/>
      <c r="G477" s="518"/>
      <c r="H477" s="84"/>
      <c r="I477" s="175"/>
      <c r="J477" s="734">
        <f t="shared" ref="J477:L478" si="159">J478</f>
        <v>0</v>
      </c>
      <c r="K477" s="91">
        <f t="shared" si="159"/>
        <v>30.321010000000001</v>
      </c>
      <c r="L477" s="830">
        <f t="shared" si="159"/>
        <v>30.321010000000001</v>
      </c>
      <c r="M477" s="108"/>
      <c r="N477" s="203"/>
    </row>
    <row r="478" spans="1:16" ht="30">
      <c r="A478" s="204" t="s">
        <v>1207</v>
      </c>
      <c r="B478" s="39" t="s">
        <v>426</v>
      </c>
      <c r="C478" s="39" t="s">
        <v>27</v>
      </c>
      <c r="D478" s="39" t="s">
        <v>22</v>
      </c>
      <c r="E478" s="39" t="s">
        <v>1197</v>
      </c>
      <c r="F478" s="554"/>
      <c r="G478" s="291"/>
      <c r="H478" s="41"/>
      <c r="I478" s="40"/>
      <c r="J478" s="728">
        <f t="shared" si="159"/>
        <v>0</v>
      </c>
      <c r="K478" s="42">
        <f t="shared" si="159"/>
        <v>30.321010000000001</v>
      </c>
      <c r="L478" s="42">
        <f t="shared" si="159"/>
        <v>30.321010000000001</v>
      </c>
      <c r="M478" s="44"/>
      <c r="N478" s="45"/>
    </row>
    <row r="479" spans="1:16" ht="30.75" thickBot="1">
      <c r="A479" s="200" t="s">
        <v>136</v>
      </c>
      <c r="B479" s="39" t="s">
        <v>426</v>
      </c>
      <c r="C479" s="39" t="s">
        <v>27</v>
      </c>
      <c r="D479" s="39" t="s">
        <v>22</v>
      </c>
      <c r="E479" s="39" t="s">
        <v>1197</v>
      </c>
      <c r="F479" s="554" t="s">
        <v>143</v>
      </c>
      <c r="G479" s="291"/>
      <c r="H479" s="41"/>
      <c r="I479" s="40"/>
      <c r="J479" s="728"/>
      <c r="K479" s="42">
        <v>30.321010000000001</v>
      </c>
      <c r="L479" s="42">
        <f>J479+K479</f>
        <v>30.321010000000001</v>
      </c>
      <c r="M479" s="44"/>
      <c r="N479" s="45"/>
    </row>
    <row r="480" spans="1:16" s="179" customFormat="1">
      <c r="A480" s="176" t="s">
        <v>52</v>
      </c>
      <c r="B480" s="38" t="s">
        <v>426</v>
      </c>
      <c r="C480" s="38" t="s">
        <v>27</v>
      </c>
      <c r="D480" s="38" t="s">
        <v>29</v>
      </c>
      <c r="E480" s="38"/>
      <c r="F480" s="556"/>
      <c r="G480" s="518">
        <f t="shared" ref="G480:N481" si="160">G481</f>
        <v>0</v>
      </c>
      <c r="H480" s="90">
        <f t="shared" si="160"/>
        <v>167.68</v>
      </c>
      <c r="I480" s="67">
        <f t="shared" si="160"/>
        <v>0</v>
      </c>
      <c r="J480" s="734">
        <f t="shared" si="160"/>
        <v>2559</v>
      </c>
      <c r="K480" s="91">
        <f t="shared" si="160"/>
        <v>40</v>
      </c>
      <c r="L480" s="92">
        <f t="shared" si="160"/>
        <v>2599</v>
      </c>
      <c r="M480" s="147">
        <f t="shared" si="160"/>
        <v>0</v>
      </c>
      <c r="N480" s="148">
        <f t="shared" si="160"/>
        <v>2599</v>
      </c>
    </row>
    <row r="481" spans="1:16" ht="45">
      <c r="A481" s="186" t="s">
        <v>459</v>
      </c>
      <c r="B481" s="39" t="s">
        <v>426</v>
      </c>
      <c r="C481" s="39" t="s">
        <v>27</v>
      </c>
      <c r="D481" s="39" t="s">
        <v>29</v>
      </c>
      <c r="E481" s="39" t="s">
        <v>460</v>
      </c>
      <c r="F481" s="554"/>
      <c r="G481" s="291">
        <f t="shared" si="160"/>
        <v>0</v>
      </c>
      <c r="H481" s="62">
        <f t="shared" si="160"/>
        <v>167.68</v>
      </c>
      <c r="I481" s="61">
        <f t="shared" si="160"/>
        <v>0</v>
      </c>
      <c r="J481" s="728">
        <f t="shared" si="160"/>
        <v>2559</v>
      </c>
      <c r="K481" s="42">
        <f t="shared" si="160"/>
        <v>40</v>
      </c>
      <c r="L481" s="43">
        <f t="shared" si="160"/>
        <v>2599</v>
      </c>
      <c r="M481" s="63">
        <f t="shared" si="160"/>
        <v>0</v>
      </c>
      <c r="N481" s="64">
        <f t="shared" si="160"/>
        <v>2599</v>
      </c>
    </row>
    <row r="482" spans="1:16" ht="30.75" customHeight="1">
      <c r="A482" s="186" t="s">
        <v>461</v>
      </c>
      <c r="B482" s="39" t="s">
        <v>426</v>
      </c>
      <c r="C482" s="39" t="s">
        <v>27</v>
      </c>
      <c r="D482" s="39" t="s">
        <v>29</v>
      </c>
      <c r="E482" s="39" t="s">
        <v>460</v>
      </c>
      <c r="F482" s="554" t="s">
        <v>462</v>
      </c>
      <c r="G482" s="291"/>
      <c r="H482" s="41">
        <v>167.68</v>
      </c>
      <c r="I482" s="61"/>
      <c r="J482" s="728">
        <v>2559</v>
      </c>
      <c r="K482" s="42">
        <v>40</v>
      </c>
      <c r="L482" s="43">
        <f>J482+K482</f>
        <v>2599</v>
      </c>
      <c r="M482" s="63"/>
      <c r="N482" s="45">
        <f>L482+M482</f>
        <v>2599</v>
      </c>
      <c r="O482" s="65"/>
    </row>
    <row r="483" spans="1:16" hidden="1">
      <c r="A483" s="186" t="s">
        <v>463</v>
      </c>
      <c r="B483" s="39" t="s">
        <v>426</v>
      </c>
      <c r="C483" s="39" t="s">
        <v>27</v>
      </c>
      <c r="D483" s="39" t="s">
        <v>48</v>
      </c>
      <c r="E483" s="39"/>
      <c r="F483" s="554"/>
      <c r="G483" s="291">
        <f t="shared" ref="G483:N484" si="161">G484</f>
        <v>786.5</v>
      </c>
      <c r="H483" s="62">
        <f t="shared" si="161"/>
        <v>0</v>
      </c>
      <c r="I483" s="61">
        <f t="shared" si="161"/>
        <v>0</v>
      </c>
      <c r="J483" s="728">
        <f t="shared" si="161"/>
        <v>0</v>
      </c>
      <c r="K483" s="42">
        <f t="shared" si="161"/>
        <v>0</v>
      </c>
      <c r="L483" s="43">
        <f t="shared" si="161"/>
        <v>0</v>
      </c>
      <c r="M483" s="63">
        <f t="shared" si="161"/>
        <v>0</v>
      </c>
      <c r="N483" s="64">
        <f t="shared" si="161"/>
        <v>0</v>
      </c>
    </row>
    <row r="484" spans="1:16" ht="75" hidden="1">
      <c r="A484" s="287" t="s">
        <v>464</v>
      </c>
      <c r="B484" s="39" t="s">
        <v>426</v>
      </c>
      <c r="C484" s="39" t="s">
        <v>27</v>
      </c>
      <c r="D484" s="39" t="s">
        <v>48</v>
      </c>
      <c r="E484" s="39" t="s">
        <v>465</v>
      </c>
      <c r="F484" s="554"/>
      <c r="G484" s="291">
        <f t="shared" si="161"/>
        <v>786.5</v>
      </c>
      <c r="H484" s="62">
        <f t="shared" si="161"/>
        <v>0</v>
      </c>
      <c r="I484" s="61">
        <f t="shared" si="161"/>
        <v>0</v>
      </c>
      <c r="J484" s="728">
        <f t="shared" si="161"/>
        <v>0</v>
      </c>
      <c r="K484" s="42">
        <f t="shared" si="161"/>
        <v>0</v>
      </c>
      <c r="L484" s="43">
        <f t="shared" si="161"/>
        <v>0</v>
      </c>
      <c r="M484" s="63">
        <f t="shared" si="161"/>
        <v>0</v>
      </c>
      <c r="N484" s="64">
        <f t="shared" si="161"/>
        <v>0</v>
      </c>
    </row>
    <row r="485" spans="1:16" ht="30" hidden="1">
      <c r="A485" s="186" t="s">
        <v>136</v>
      </c>
      <c r="B485" s="39" t="s">
        <v>426</v>
      </c>
      <c r="C485" s="39" t="s">
        <v>27</v>
      </c>
      <c r="D485" s="39" t="s">
        <v>48</v>
      </c>
      <c r="E485" s="39" t="s">
        <v>465</v>
      </c>
      <c r="F485" s="554" t="s">
        <v>134</v>
      </c>
      <c r="G485" s="291">
        <v>786.5</v>
      </c>
      <c r="H485" s="41"/>
      <c r="I485" s="61"/>
      <c r="J485" s="728"/>
      <c r="K485" s="42"/>
      <c r="L485" s="43">
        <f>J485+K485</f>
        <v>0</v>
      </c>
      <c r="M485" s="63"/>
      <c r="N485" s="45">
        <f>L485+M485</f>
        <v>0</v>
      </c>
    </row>
    <row r="486" spans="1:16" ht="30" hidden="1" customHeight="1">
      <c r="A486" s="290" t="s">
        <v>56</v>
      </c>
      <c r="B486" s="38" t="s">
        <v>426</v>
      </c>
      <c r="C486" s="38" t="s">
        <v>27</v>
      </c>
      <c r="D486" s="38" t="s">
        <v>35</v>
      </c>
      <c r="E486" s="38"/>
      <c r="F486" s="556"/>
      <c r="G486" s="518"/>
      <c r="H486" s="84">
        <f t="shared" ref="H486:N487" si="162">H487</f>
        <v>0</v>
      </c>
      <c r="I486" s="175">
        <f t="shared" si="162"/>
        <v>0</v>
      </c>
      <c r="J486" s="734">
        <f t="shared" si="162"/>
        <v>0</v>
      </c>
      <c r="K486" s="91">
        <f t="shared" si="162"/>
        <v>0</v>
      </c>
      <c r="L486" s="92">
        <f t="shared" si="162"/>
        <v>0</v>
      </c>
      <c r="M486" s="44">
        <f t="shared" si="162"/>
        <v>0</v>
      </c>
      <c r="N486" s="45">
        <f t="shared" si="162"/>
        <v>0</v>
      </c>
    </row>
    <row r="487" spans="1:16" ht="75" hidden="1" customHeight="1">
      <c r="A487" s="186" t="s">
        <v>466</v>
      </c>
      <c r="B487" s="39" t="s">
        <v>426</v>
      </c>
      <c r="C487" s="39" t="s">
        <v>27</v>
      </c>
      <c r="D487" s="39" t="s">
        <v>35</v>
      </c>
      <c r="E487" s="39" t="s">
        <v>467</v>
      </c>
      <c r="F487" s="554"/>
      <c r="G487" s="291"/>
      <c r="H487" s="41">
        <f t="shared" si="162"/>
        <v>0</v>
      </c>
      <c r="I487" s="40">
        <f t="shared" si="162"/>
        <v>0</v>
      </c>
      <c r="J487" s="728">
        <f t="shared" si="162"/>
        <v>0</v>
      </c>
      <c r="K487" s="42">
        <f t="shared" si="162"/>
        <v>0</v>
      </c>
      <c r="L487" s="43">
        <f t="shared" si="162"/>
        <v>0</v>
      </c>
      <c r="M487" s="44">
        <f t="shared" si="162"/>
        <v>0</v>
      </c>
      <c r="N487" s="45">
        <f t="shared" si="162"/>
        <v>0</v>
      </c>
    </row>
    <row r="488" spans="1:16" ht="30" hidden="1" customHeight="1">
      <c r="A488" s="186" t="s">
        <v>136</v>
      </c>
      <c r="B488" s="39" t="s">
        <v>426</v>
      </c>
      <c r="C488" s="39" t="s">
        <v>27</v>
      </c>
      <c r="D488" s="39" t="s">
        <v>35</v>
      </c>
      <c r="E488" s="39" t="s">
        <v>467</v>
      </c>
      <c r="F488" s="554" t="s">
        <v>134</v>
      </c>
      <c r="G488" s="291"/>
      <c r="H488" s="41"/>
      <c r="I488" s="61"/>
      <c r="J488" s="728">
        <f>H488+I488</f>
        <v>0</v>
      </c>
      <c r="K488" s="42"/>
      <c r="L488" s="43">
        <f>J488+K488</f>
        <v>0</v>
      </c>
      <c r="M488" s="63"/>
      <c r="N488" s="45">
        <f>L488+M488</f>
        <v>0</v>
      </c>
    </row>
    <row r="489" spans="1:16" s="179" customFormat="1" ht="30">
      <c r="A489" s="176" t="s">
        <v>468</v>
      </c>
      <c r="B489" s="38" t="s">
        <v>426</v>
      </c>
      <c r="C489" s="38" t="s">
        <v>27</v>
      </c>
      <c r="D489" s="38" t="s">
        <v>37</v>
      </c>
      <c r="E489" s="38"/>
      <c r="F489" s="556"/>
      <c r="G489" s="92">
        <f t="shared" ref="G489:L489" si="163">G492+G496+G490+G499</f>
        <v>3300</v>
      </c>
      <c r="H489" s="92">
        <f t="shared" si="163"/>
        <v>1934.5</v>
      </c>
      <c r="I489" s="92">
        <f t="shared" si="163"/>
        <v>0</v>
      </c>
      <c r="J489" s="767">
        <f t="shared" si="163"/>
        <v>3084.7049999999999</v>
      </c>
      <c r="K489" s="91">
        <f t="shared" si="163"/>
        <v>74.8</v>
      </c>
      <c r="L489" s="92">
        <f t="shared" si="163"/>
        <v>3159.5050000000001</v>
      </c>
      <c r="M489" s="147">
        <f>M492+M496+M490</f>
        <v>0</v>
      </c>
      <c r="N489" s="148">
        <f>N492+N496+N490</f>
        <v>1450.7950000000001</v>
      </c>
    </row>
    <row r="490" spans="1:16" s="179" customFormat="1" ht="60" hidden="1" customHeight="1">
      <c r="A490" s="176" t="s">
        <v>469</v>
      </c>
      <c r="B490" s="39" t="s">
        <v>426</v>
      </c>
      <c r="C490" s="39" t="s">
        <v>27</v>
      </c>
      <c r="D490" s="39" t="s">
        <v>37</v>
      </c>
      <c r="E490" s="39" t="s">
        <v>470</v>
      </c>
      <c r="F490" s="554"/>
      <c r="G490" s="291">
        <f t="shared" ref="G490:N490" si="164">G491</f>
        <v>0</v>
      </c>
      <c r="H490" s="41">
        <f t="shared" si="164"/>
        <v>0</v>
      </c>
      <c r="I490" s="61">
        <f t="shared" si="164"/>
        <v>0</v>
      </c>
      <c r="J490" s="728">
        <f t="shared" si="164"/>
        <v>0</v>
      </c>
      <c r="K490" s="42">
        <f t="shared" si="164"/>
        <v>0</v>
      </c>
      <c r="L490" s="43">
        <f t="shared" si="164"/>
        <v>0</v>
      </c>
      <c r="M490" s="147">
        <f t="shared" si="164"/>
        <v>0</v>
      </c>
      <c r="N490" s="203">
        <f t="shared" si="164"/>
        <v>0</v>
      </c>
    </row>
    <row r="491" spans="1:16" s="179" customFormat="1" ht="17.25" hidden="1" customHeight="1">
      <c r="A491" s="176" t="s">
        <v>471</v>
      </c>
      <c r="B491" s="39" t="s">
        <v>426</v>
      </c>
      <c r="C491" s="39" t="s">
        <v>27</v>
      </c>
      <c r="D491" s="39" t="s">
        <v>37</v>
      </c>
      <c r="E491" s="39" t="s">
        <v>470</v>
      </c>
      <c r="F491" s="554" t="s">
        <v>472</v>
      </c>
      <c r="G491" s="291">
        <f>50-50</f>
        <v>0</v>
      </c>
      <c r="H491" s="41"/>
      <c r="I491" s="61">
        <f>50-50</f>
        <v>0</v>
      </c>
      <c r="J491" s="728">
        <f>H491+I491</f>
        <v>0</v>
      </c>
      <c r="K491" s="42"/>
      <c r="L491" s="43">
        <f>J491+K491</f>
        <v>0</v>
      </c>
      <c r="M491" s="147">
        <f>50-50</f>
        <v>0</v>
      </c>
      <c r="N491" s="45">
        <f>L491+M491</f>
        <v>0</v>
      </c>
    </row>
    <row r="492" spans="1:16" ht="45">
      <c r="A492" s="186" t="s">
        <v>473</v>
      </c>
      <c r="B492" s="39" t="s">
        <v>426</v>
      </c>
      <c r="C492" s="39" t="s">
        <v>27</v>
      </c>
      <c r="D492" s="39" t="s">
        <v>37</v>
      </c>
      <c r="E492" s="39" t="s">
        <v>474</v>
      </c>
      <c r="F492" s="554"/>
      <c r="G492" s="291">
        <f t="shared" ref="G492:N492" si="165">G493</f>
        <v>2750</v>
      </c>
      <c r="H492" s="62">
        <f t="shared" si="165"/>
        <v>1620.1</v>
      </c>
      <c r="I492" s="61">
        <f t="shared" si="165"/>
        <v>0</v>
      </c>
      <c r="J492" s="88">
        <f>J493+J494+J495</f>
        <v>1708.71</v>
      </c>
      <c r="K492" s="42">
        <f>K493+K494+K495</f>
        <v>0</v>
      </c>
      <c r="L492" s="43">
        <f>L493+L494+L495</f>
        <v>1708.71</v>
      </c>
      <c r="M492" s="63">
        <f t="shared" si="165"/>
        <v>0</v>
      </c>
      <c r="N492" s="64">
        <f t="shared" si="165"/>
        <v>1000</v>
      </c>
    </row>
    <row r="493" spans="1:16" ht="30">
      <c r="A493" s="186" t="s">
        <v>136</v>
      </c>
      <c r="B493" s="39" t="s">
        <v>426</v>
      </c>
      <c r="C493" s="39" t="s">
        <v>27</v>
      </c>
      <c r="D493" s="39" t="s">
        <v>37</v>
      </c>
      <c r="E493" s="39" t="s">
        <v>474</v>
      </c>
      <c r="F493" s="554" t="s">
        <v>134</v>
      </c>
      <c r="G493" s="291">
        <f>2377+151+222</f>
        <v>2750</v>
      </c>
      <c r="H493" s="241">
        <f>1358.1+262</f>
        <v>1620.1</v>
      </c>
      <c r="I493" s="61"/>
      <c r="J493" s="728">
        <v>1000</v>
      </c>
      <c r="K493" s="42"/>
      <c r="L493" s="43">
        <f>J493+K493</f>
        <v>1000</v>
      </c>
      <c r="M493" s="63"/>
      <c r="N493" s="45">
        <f>L493+M493</f>
        <v>1000</v>
      </c>
      <c r="O493" s="65">
        <v>1000</v>
      </c>
      <c r="P493" s="15">
        <f>L493-O493</f>
        <v>0</v>
      </c>
    </row>
    <row r="494" spans="1:16">
      <c r="A494" s="186" t="s">
        <v>305</v>
      </c>
      <c r="B494" s="39" t="s">
        <v>426</v>
      </c>
      <c r="C494" s="39" t="s">
        <v>27</v>
      </c>
      <c r="D494" s="39" t="s">
        <v>37</v>
      </c>
      <c r="E494" s="39" t="s">
        <v>475</v>
      </c>
      <c r="F494" s="554" t="s">
        <v>306</v>
      </c>
      <c r="G494" s="291"/>
      <c r="H494" s="291"/>
      <c r="I494" s="61"/>
      <c r="J494" s="728">
        <v>135</v>
      </c>
      <c r="K494" s="42"/>
      <c r="L494" s="43">
        <f>J494+K494</f>
        <v>135</v>
      </c>
      <c r="M494" s="63"/>
      <c r="N494" s="45"/>
      <c r="O494" s="65"/>
      <c r="P494" s="15"/>
    </row>
    <row r="495" spans="1:16" ht="30">
      <c r="A495" s="287" t="s">
        <v>142</v>
      </c>
      <c r="B495" s="39" t="s">
        <v>426</v>
      </c>
      <c r="C495" s="39" t="s">
        <v>27</v>
      </c>
      <c r="D495" s="39" t="s">
        <v>37</v>
      </c>
      <c r="E495" s="39" t="s">
        <v>475</v>
      </c>
      <c r="F495" s="554" t="s">
        <v>143</v>
      </c>
      <c r="G495" s="291"/>
      <c r="H495" s="291"/>
      <c r="I495" s="61"/>
      <c r="J495" s="728">
        <v>573.71</v>
      </c>
      <c r="K495" s="42"/>
      <c r="L495" s="43">
        <f>J495+K495</f>
        <v>573.71</v>
      </c>
      <c r="M495" s="63"/>
      <c r="N495" s="45"/>
      <c r="O495" s="65"/>
      <c r="P495" s="15"/>
    </row>
    <row r="496" spans="1:16" ht="30" customHeight="1">
      <c r="A496" s="176" t="s">
        <v>476</v>
      </c>
      <c r="B496" s="39" t="s">
        <v>426</v>
      </c>
      <c r="C496" s="39" t="s">
        <v>27</v>
      </c>
      <c r="D496" s="39" t="s">
        <v>37</v>
      </c>
      <c r="E496" s="39" t="s">
        <v>477</v>
      </c>
      <c r="F496" s="554"/>
      <c r="G496" s="291">
        <f t="shared" ref="G496:N497" si="166">G497</f>
        <v>550</v>
      </c>
      <c r="H496" s="62">
        <f t="shared" si="166"/>
        <v>314.39999999999998</v>
      </c>
      <c r="I496" s="61">
        <f t="shared" si="166"/>
        <v>0</v>
      </c>
      <c r="J496" s="728">
        <f t="shared" si="166"/>
        <v>375.995</v>
      </c>
      <c r="K496" s="42">
        <f t="shared" si="166"/>
        <v>74.8</v>
      </c>
      <c r="L496" s="43">
        <f t="shared" si="166"/>
        <v>450.79500000000002</v>
      </c>
      <c r="M496" s="63">
        <f t="shared" si="166"/>
        <v>0</v>
      </c>
      <c r="N496" s="64">
        <f t="shared" si="166"/>
        <v>450.79500000000002</v>
      </c>
    </row>
    <row r="497" spans="1:18" ht="30">
      <c r="A497" s="176" t="s">
        <v>478</v>
      </c>
      <c r="B497" s="39" t="s">
        <v>426</v>
      </c>
      <c r="C497" s="39" t="s">
        <v>27</v>
      </c>
      <c r="D497" s="39" t="s">
        <v>37</v>
      </c>
      <c r="E497" s="39" t="s">
        <v>479</v>
      </c>
      <c r="F497" s="554"/>
      <c r="G497" s="291">
        <f t="shared" si="166"/>
        <v>550</v>
      </c>
      <c r="H497" s="62">
        <f t="shared" si="166"/>
        <v>314.39999999999998</v>
      </c>
      <c r="I497" s="61">
        <f t="shared" si="166"/>
        <v>0</v>
      </c>
      <c r="J497" s="728">
        <f t="shared" si="166"/>
        <v>375.995</v>
      </c>
      <c r="K497" s="42">
        <f t="shared" si="166"/>
        <v>74.8</v>
      </c>
      <c r="L497" s="43">
        <f>L498</f>
        <v>450.79500000000002</v>
      </c>
      <c r="M497" s="63">
        <f t="shared" si="166"/>
        <v>0</v>
      </c>
      <c r="N497" s="64">
        <f t="shared" si="166"/>
        <v>450.79500000000002</v>
      </c>
    </row>
    <row r="498" spans="1:18" ht="30">
      <c r="A498" s="186" t="s">
        <v>136</v>
      </c>
      <c r="B498" s="39" t="s">
        <v>426</v>
      </c>
      <c r="C498" s="39" t="s">
        <v>27</v>
      </c>
      <c r="D498" s="39" t="s">
        <v>37</v>
      </c>
      <c r="E498" s="39" t="s">
        <v>479</v>
      </c>
      <c r="F498" s="554" t="s">
        <v>134</v>
      </c>
      <c r="G498" s="291">
        <v>550</v>
      </c>
      <c r="H498" s="241">
        <v>314.39999999999998</v>
      </c>
      <c r="I498" s="61"/>
      <c r="J498" s="728">
        <v>375.995</v>
      </c>
      <c r="K498" s="42">
        <f>74.8</f>
        <v>74.8</v>
      </c>
      <c r="L498" s="43">
        <f>J498+K498</f>
        <v>450.79500000000002</v>
      </c>
      <c r="M498" s="63"/>
      <c r="N498" s="45">
        <f>L498+M498</f>
        <v>450.79500000000002</v>
      </c>
      <c r="O498" s="65">
        <v>376</v>
      </c>
      <c r="P498" s="14">
        <f>L498-O498</f>
        <v>74.795000000000016</v>
      </c>
    </row>
    <row r="499" spans="1:18" ht="60">
      <c r="A499" s="186" t="s">
        <v>1128</v>
      </c>
      <c r="B499" s="39" t="s">
        <v>426</v>
      </c>
      <c r="C499" s="39" t="s">
        <v>27</v>
      </c>
      <c r="D499" s="39" t="s">
        <v>37</v>
      </c>
      <c r="E499" s="39" t="s">
        <v>467</v>
      </c>
      <c r="F499" s="554"/>
      <c r="G499" s="291"/>
      <c r="H499" s="291"/>
      <c r="I499" s="61"/>
      <c r="J499" s="728">
        <f>J500</f>
        <v>1000</v>
      </c>
      <c r="K499" s="42">
        <f>K500</f>
        <v>0</v>
      </c>
      <c r="L499" s="43">
        <f>L500</f>
        <v>1000</v>
      </c>
      <c r="M499" s="63"/>
      <c r="N499" s="45"/>
      <c r="O499" s="65"/>
      <c r="P499" s="14"/>
    </row>
    <row r="500" spans="1:18" ht="30">
      <c r="A500" s="186" t="s">
        <v>136</v>
      </c>
      <c r="B500" s="39" t="s">
        <v>426</v>
      </c>
      <c r="C500" s="39" t="s">
        <v>27</v>
      </c>
      <c r="D500" s="39" t="s">
        <v>37</v>
      </c>
      <c r="E500" s="39" t="s">
        <v>467</v>
      </c>
      <c r="F500" s="554" t="s">
        <v>134</v>
      </c>
      <c r="G500" s="291"/>
      <c r="H500" s="291"/>
      <c r="I500" s="61"/>
      <c r="J500" s="728">
        <v>1000</v>
      </c>
      <c r="K500" s="42"/>
      <c r="L500" s="43">
        <f>J500+K500</f>
        <v>1000</v>
      </c>
      <c r="M500" s="63"/>
      <c r="N500" s="45"/>
      <c r="O500" s="65"/>
      <c r="P500" s="14"/>
    </row>
    <row r="501" spans="1:18" s="272" customFormat="1" ht="28.5">
      <c r="A501" s="289" t="s">
        <v>311</v>
      </c>
      <c r="B501" s="49" t="s">
        <v>426</v>
      </c>
      <c r="C501" s="49" t="s">
        <v>29</v>
      </c>
      <c r="D501" s="49"/>
      <c r="E501" s="49"/>
      <c r="F501" s="562"/>
      <c r="G501" s="517">
        <f t="shared" ref="G501:N501" si="167">G502+G512+G543+G549</f>
        <v>-1048.5</v>
      </c>
      <c r="H501" s="58">
        <f t="shared" si="167"/>
        <v>1667</v>
      </c>
      <c r="I501" s="57">
        <f t="shared" si="167"/>
        <v>0</v>
      </c>
      <c r="J501" s="52">
        <f t="shared" si="167"/>
        <v>22749.03</v>
      </c>
      <c r="K501" s="729">
        <f t="shared" si="167"/>
        <v>1150.6119999999999</v>
      </c>
      <c r="L501" s="53">
        <f t="shared" si="167"/>
        <v>23899.641999999996</v>
      </c>
      <c r="M501" s="54">
        <f t="shared" si="167"/>
        <v>550</v>
      </c>
      <c r="N501" s="60">
        <f t="shared" si="167"/>
        <v>18737.841999999997</v>
      </c>
    </row>
    <row r="502" spans="1:18" s="179" customFormat="1" ht="12.75" customHeight="1">
      <c r="A502" s="292" t="s">
        <v>60</v>
      </c>
      <c r="B502" s="38" t="s">
        <v>426</v>
      </c>
      <c r="C502" s="38" t="s">
        <v>29</v>
      </c>
      <c r="D502" s="38" t="s">
        <v>22</v>
      </c>
      <c r="E502" s="38"/>
      <c r="F502" s="556"/>
      <c r="G502" s="518">
        <f t="shared" ref="G502:N503" si="168">G503</f>
        <v>-40</v>
      </c>
      <c r="H502" s="84">
        <f t="shared" ref="H502:N502" si="169">H503+H505+H508</f>
        <v>0</v>
      </c>
      <c r="I502" s="175">
        <f t="shared" si="169"/>
        <v>0</v>
      </c>
      <c r="J502" s="839">
        <f>J503+J505+J508+J510</f>
        <v>1480</v>
      </c>
      <c r="K502" s="91">
        <f>K503+K505+K508+K510</f>
        <v>-284.41000000000003</v>
      </c>
      <c r="L502" s="839">
        <f>L503+L505+L508+L510</f>
        <v>1195.5900000000001</v>
      </c>
      <c r="M502" s="108">
        <f t="shared" si="169"/>
        <v>0</v>
      </c>
      <c r="N502" s="203">
        <f t="shared" si="169"/>
        <v>1071.3900000000001</v>
      </c>
    </row>
    <row r="503" spans="1:18" ht="26.25" customHeight="1">
      <c r="A503" s="186" t="s">
        <v>480</v>
      </c>
      <c r="B503" s="39" t="s">
        <v>426</v>
      </c>
      <c r="C503" s="39" t="s">
        <v>29</v>
      </c>
      <c r="D503" s="39" t="s">
        <v>22</v>
      </c>
      <c r="E503" s="39" t="s">
        <v>481</v>
      </c>
      <c r="F503" s="554"/>
      <c r="G503" s="291">
        <f t="shared" si="168"/>
        <v>-40</v>
      </c>
      <c r="H503" s="62">
        <f t="shared" si="168"/>
        <v>0</v>
      </c>
      <c r="I503" s="61">
        <f t="shared" si="168"/>
        <v>0</v>
      </c>
      <c r="J503" s="728">
        <f t="shared" si="168"/>
        <v>1000</v>
      </c>
      <c r="K503" s="42">
        <f t="shared" si="168"/>
        <v>0</v>
      </c>
      <c r="L503" s="43">
        <f t="shared" si="168"/>
        <v>1000</v>
      </c>
      <c r="M503" s="63">
        <f t="shared" si="168"/>
        <v>0</v>
      </c>
      <c r="N503" s="64">
        <f t="shared" si="168"/>
        <v>1000</v>
      </c>
    </row>
    <row r="504" spans="1:18" ht="28.5" customHeight="1">
      <c r="A504" s="186" t="s">
        <v>136</v>
      </c>
      <c r="B504" s="39" t="s">
        <v>426</v>
      </c>
      <c r="C504" s="39" t="s">
        <v>29</v>
      </c>
      <c r="D504" s="39" t="s">
        <v>22</v>
      </c>
      <c r="E504" s="39" t="s">
        <v>481</v>
      </c>
      <c r="F504" s="554" t="s">
        <v>134</v>
      </c>
      <c r="G504" s="291">
        <v>-40</v>
      </c>
      <c r="H504" s="41"/>
      <c r="I504" s="61"/>
      <c r="J504" s="728">
        <v>1000</v>
      </c>
      <c r="K504" s="42"/>
      <c r="L504" s="43">
        <f>J504+K504</f>
        <v>1000</v>
      </c>
      <c r="M504" s="63"/>
      <c r="N504" s="45">
        <f>L504+M504</f>
        <v>1000</v>
      </c>
    </row>
    <row r="505" spans="1:18" ht="75.75" customHeight="1">
      <c r="A505" s="293" t="s">
        <v>315</v>
      </c>
      <c r="B505" s="39" t="s">
        <v>426</v>
      </c>
      <c r="C505" s="39" t="s">
        <v>29</v>
      </c>
      <c r="D505" s="39" t="s">
        <v>22</v>
      </c>
      <c r="E505" s="39" t="s">
        <v>316</v>
      </c>
      <c r="F505" s="554"/>
      <c r="G505" s="291"/>
      <c r="H505" s="41">
        <f t="shared" ref="H505:N505" si="170">H506</f>
        <v>0</v>
      </c>
      <c r="I505" s="40">
        <f t="shared" si="170"/>
        <v>0</v>
      </c>
      <c r="J505" s="728">
        <f t="shared" si="170"/>
        <v>80</v>
      </c>
      <c r="K505" s="42">
        <f t="shared" si="170"/>
        <v>-8.61</v>
      </c>
      <c r="L505" s="43">
        <f t="shared" si="170"/>
        <v>71.39</v>
      </c>
      <c r="M505" s="44">
        <f t="shared" si="170"/>
        <v>0</v>
      </c>
      <c r="N505" s="45">
        <f t="shared" si="170"/>
        <v>71.39</v>
      </c>
    </row>
    <row r="506" spans="1:18" ht="72.75" customHeight="1">
      <c r="A506" s="46" t="s">
        <v>317</v>
      </c>
      <c r="B506" s="39" t="s">
        <v>426</v>
      </c>
      <c r="C506" s="39" t="s">
        <v>29</v>
      </c>
      <c r="D506" s="39" t="s">
        <v>22</v>
      </c>
      <c r="E506" s="39" t="s">
        <v>482</v>
      </c>
      <c r="F506" s="554" t="s">
        <v>306</v>
      </c>
      <c r="G506" s="291"/>
      <c r="H506" s="41"/>
      <c r="I506" s="40"/>
      <c r="J506" s="728">
        <f>80</f>
        <v>80</v>
      </c>
      <c r="K506" s="42">
        <v>-8.61</v>
      </c>
      <c r="L506" s="43">
        <f>J506+K506</f>
        <v>71.39</v>
      </c>
      <c r="M506" s="44"/>
      <c r="N506" s="45">
        <f>L506+M506</f>
        <v>71.39</v>
      </c>
      <c r="O506" s="65"/>
    </row>
    <row r="507" spans="1:18" ht="17.25" hidden="1" customHeight="1">
      <c r="A507" s="176" t="s">
        <v>483</v>
      </c>
      <c r="B507" s="39" t="s">
        <v>426</v>
      </c>
      <c r="C507" s="39" t="s">
        <v>29</v>
      </c>
      <c r="D507" s="39" t="s">
        <v>22</v>
      </c>
      <c r="E507" s="39" t="s">
        <v>470</v>
      </c>
      <c r="F507" s="554" t="s">
        <v>134</v>
      </c>
      <c r="G507" s="291"/>
      <c r="H507" s="41"/>
      <c r="I507" s="40"/>
      <c r="J507" s="728"/>
      <c r="K507" s="42"/>
      <c r="L507" s="43"/>
      <c r="M507" s="44"/>
      <c r="N507" s="45"/>
    </row>
    <row r="508" spans="1:18" ht="72.75" customHeight="1">
      <c r="A508" s="293" t="s">
        <v>315</v>
      </c>
      <c r="B508" s="180" t="s">
        <v>426</v>
      </c>
      <c r="C508" s="39" t="s">
        <v>29</v>
      </c>
      <c r="D508" s="39" t="s">
        <v>22</v>
      </c>
      <c r="E508" s="39" t="s">
        <v>316</v>
      </c>
      <c r="F508" s="554"/>
      <c r="G508" s="291"/>
      <c r="H508" s="41">
        <f t="shared" ref="H508:N508" si="171">H509</f>
        <v>0</v>
      </c>
      <c r="I508" s="40">
        <f t="shared" si="171"/>
        <v>0</v>
      </c>
      <c r="J508" s="728">
        <f t="shared" si="171"/>
        <v>400</v>
      </c>
      <c r="K508" s="42">
        <f t="shared" si="171"/>
        <v>-400</v>
      </c>
      <c r="L508" s="43">
        <f t="shared" si="171"/>
        <v>0</v>
      </c>
      <c r="M508" s="44">
        <f t="shared" si="171"/>
        <v>0</v>
      </c>
      <c r="N508" s="45">
        <f t="shared" si="171"/>
        <v>0</v>
      </c>
      <c r="R508" s="11">
        <f>O506+O509</f>
        <v>0</v>
      </c>
    </row>
    <row r="509" spans="1:18" ht="72" customHeight="1">
      <c r="A509" s="293" t="s">
        <v>317</v>
      </c>
      <c r="B509" s="180" t="s">
        <v>426</v>
      </c>
      <c r="C509" s="39" t="s">
        <v>29</v>
      </c>
      <c r="D509" s="39" t="s">
        <v>22</v>
      </c>
      <c r="E509" s="39" t="s">
        <v>318</v>
      </c>
      <c r="F509" s="554" t="s">
        <v>306</v>
      </c>
      <c r="G509" s="291"/>
      <c r="H509" s="41"/>
      <c r="I509" s="61"/>
      <c r="J509" s="728">
        <v>400</v>
      </c>
      <c r="K509" s="42">
        <f>-370-30</f>
        <v>-400</v>
      </c>
      <c r="L509" s="43">
        <f>J509+K509</f>
        <v>0</v>
      </c>
      <c r="M509" s="63"/>
      <c r="N509" s="45">
        <f>L509+M509</f>
        <v>0</v>
      </c>
      <c r="O509" s="65"/>
    </row>
    <row r="510" spans="1:18" ht="75">
      <c r="A510" s="293" t="s">
        <v>1262</v>
      </c>
      <c r="B510" s="180" t="s">
        <v>426</v>
      </c>
      <c r="C510" s="39" t="s">
        <v>29</v>
      </c>
      <c r="D510" s="39" t="s">
        <v>22</v>
      </c>
      <c r="E510" s="39" t="s">
        <v>1248</v>
      </c>
      <c r="F510" s="554"/>
      <c r="G510" s="291"/>
      <c r="H510" s="41"/>
      <c r="I510" s="61"/>
      <c r="J510" s="88">
        <f>J511</f>
        <v>0</v>
      </c>
      <c r="K510" s="42">
        <f t="shared" ref="K510" si="172">K511</f>
        <v>124.2</v>
      </c>
      <c r="L510" s="88">
        <f>L511</f>
        <v>124.2</v>
      </c>
      <c r="M510" s="63"/>
      <c r="N510" s="93"/>
      <c r="O510" s="65"/>
    </row>
    <row r="511" spans="1:18" ht="30">
      <c r="A511" s="186" t="s">
        <v>136</v>
      </c>
      <c r="B511" s="180" t="s">
        <v>426</v>
      </c>
      <c r="C511" s="39" t="s">
        <v>29</v>
      </c>
      <c r="D511" s="39" t="s">
        <v>22</v>
      </c>
      <c r="E511" s="39" t="s">
        <v>1248</v>
      </c>
      <c r="F511" s="554" t="s">
        <v>134</v>
      </c>
      <c r="G511" s="291"/>
      <c r="H511" s="41"/>
      <c r="I511" s="61"/>
      <c r="J511" s="88"/>
      <c r="K511" s="42">
        <v>124.2</v>
      </c>
      <c r="L511" s="43">
        <f>J511+K511</f>
        <v>124.2</v>
      </c>
      <c r="M511" s="63"/>
      <c r="N511" s="93"/>
      <c r="O511" s="65"/>
    </row>
    <row r="512" spans="1:18" s="179" customFormat="1">
      <c r="A512" s="176" t="s">
        <v>61</v>
      </c>
      <c r="B512" s="38" t="s">
        <v>426</v>
      </c>
      <c r="C512" s="38" t="s">
        <v>29</v>
      </c>
      <c r="D512" s="38" t="s">
        <v>23</v>
      </c>
      <c r="E512" s="38"/>
      <c r="F512" s="556"/>
      <c r="G512" s="518">
        <f>G523+G528+G538+G533</f>
        <v>2000</v>
      </c>
      <c r="H512" s="84">
        <f>H523+H528+H538+H533+H531+H516+H526</f>
        <v>1667</v>
      </c>
      <c r="I512" s="175">
        <f>I523+I528+I538+I533+I531+I516+I526</f>
        <v>0</v>
      </c>
      <c r="J512" s="91">
        <f>J523+J538+J533+J528+J516+J526+J513+J541+J521</f>
        <v>19469.03</v>
      </c>
      <c r="K512" s="91">
        <f>K523+K538+K533+K528+K516+K526+K513+K541+K521</f>
        <v>1345.0219999999999</v>
      </c>
      <c r="L512" s="91">
        <f>L523+L538+L533+L528+L516+L526+L513+L541+L521</f>
        <v>20814.051999999996</v>
      </c>
      <c r="M512" s="92">
        <f>M523+M538+M533+M528+M516+M526+M513+M541</f>
        <v>550</v>
      </c>
      <c r="N512" s="91">
        <f>N523+N538+N533+N528+N516+N526+N513+N541</f>
        <v>17276.451999999997</v>
      </c>
    </row>
    <row r="513" spans="1:18" s="179" customFormat="1" ht="60" hidden="1">
      <c r="A513" s="176" t="s">
        <v>469</v>
      </c>
      <c r="B513" s="39" t="s">
        <v>426</v>
      </c>
      <c r="C513" s="39" t="s">
        <v>29</v>
      </c>
      <c r="D513" s="39" t="s">
        <v>23</v>
      </c>
      <c r="E513" s="39" t="s">
        <v>470</v>
      </c>
      <c r="F513" s="554"/>
      <c r="G513" s="291"/>
      <c r="H513" s="41"/>
      <c r="I513" s="40"/>
      <c r="J513" s="728">
        <f>J514+J515</f>
        <v>0</v>
      </c>
      <c r="K513" s="42">
        <f>K514+K515</f>
        <v>0</v>
      </c>
      <c r="L513" s="43">
        <f>L514+L515</f>
        <v>0</v>
      </c>
      <c r="M513" s="44">
        <f>M514+M515</f>
        <v>0</v>
      </c>
      <c r="N513" s="45">
        <f>N514+N515</f>
        <v>0</v>
      </c>
    </row>
    <row r="514" spans="1:18" s="179" customFormat="1" hidden="1">
      <c r="A514" s="176" t="s">
        <v>471</v>
      </c>
      <c r="B514" s="39" t="s">
        <v>426</v>
      </c>
      <c r="C514" s="39" t="s">
        <v>29</v>
      </c>
      <c r="D514" s="39" t="s">
        <v>23</v>
      </c>
      <c r="E514" s="39" t="s">
        <v>470</v>
      </c>
      <c r="F514" s="554" t="s">
        <v>472</v>
      </c>
      <c r="G514" s="291"/>
      <c r="H514" s="41"/>
      <c r="I514" s="40"/>
      <c r="J514" s="731"/>
      <c r="K514" s="732"/>
      <c r="L514" s="730">
        <f>J514+K514</f>
        <v>0</v>
      </c>
      <c r="M514" s="44"/>
      <c r="N514" s="45">
        <f>L514+M514</f>
        <v>0</v>
      </c>
      <c r="O514" s="294"/>
      <c r="R514" s="179">
        <f>O514+O491+O565+O611</f>
        <v>2905</v>
      </c>
    </row>
    <row r="515" spans="1:18" s="179" customFormat="1" ht="30" hidden="1">
      <c r="A515" s="176" t="s">
        <v>483</v>
      </c>
      <c r="B515" s="39" t="s">
        <v>426</v>
      </c>
      <c r="C515" s="39" t="s">
        <v>29</v>
      </c>
      <c r="D515" s="39" t="s">
        <v>23</v>
      </c>
      <c r="E515" s="39" t="s">
        <v>484</v>
      </c>
      <c r="F515" s="554" t="s">
        <v>134</v>
      </c>
      <c r="G515" s="291"/>
      <c r="H515" s="41"/>
      <c r="I515" s="40"/>
      <c r="J515" s="728"/>
      <c r="K515" s="42"/>
      <c r="L515" s="43">
        <f>J515+K515</f>
        <v>0</v>
      </c>
      <c r="M515" s="44"/>
      <c r="N515" s="45">
        <f>L515+M515</f>
        <v>0</v>
      </c>
    </row>
    <row r="516" spans="1:18" s="179" customFormat="1" ht="45" hidden="1">
      <c r="A516" s="176" t="s">
        <v>485</v>
      </c>
      <c r="B516" s="39" t="s">
        <v>426</v>
      </c>
      <c r="C516" s="39" t="s">
        <v>29</v>
      </c>
      <c r="D516" s="39" t="s">
        <v>23</v>
      </c>
      <c r="E516" s="39" t="s">
        <v>486</v>
      </c>
      <c r="F516" s="554"/>
      <c r="G516" s="291"/>
      <c r="H516" s="62">
        <f>H517</f>
        <v>0</v>
      </c>
      <c r="I516" s="61">
        <f>I517</f>
        <v>0</v>
      </c>
      <c r="J516" s="728">
        <f>J517+J520</f>
        <v>0</v>
      </c>
      <c r="K516" s="42">
        <f>K517+K520</f>
        <v>0</v>
      </c>
      <c r="L516" s="43">
        <f>L517+L520</f>
        <v>0</v>
      </c>
      <c r="M516" s="63">
        <f>M517+M520</f>
        <v>0</v>
      </c>
      <c r="N516" s="64">
        <f>N517+N520</f>
        <v>0</v>
      </c>
    </row>
    <row r="517" spans="1:18" s="179" customFormat="1" hidden="1">
      <c r="A517" s="176" t="s">
        <v>471</v>
      </c>
      <c r="B517" s="39" t="s">
        <v>426</v>
      </c>
      <c r="C517" s="39" t="s">
        <v>29</v>
      </c>
      <c r="D517" s="39" t="s">
        <v>23</v>
      </c>
      <c r="E517" s="39" t="s">
        <v>486</v>
      </c>
      <c r="F517" s="554" t="s">
        <v>472</v>
      </c>
      <c r="G517" s="291"/>
      <c r="H517" s="62"/>
      <c r="I517" s="61"/>
      <c r="J517" s="728"/>
      <c r="K517" s="42"/>
      <c r="L517" s="43">
        <f>J517+K517</f>
        <v>0</v>
      </c>
      <c r="M517" s="63"/>
      <c r="N517" s="64">
        <f>L517+M517</f>
        <v>0</v>
      </c>
    </row>
    <row r="518" spans="1:18" s="179" customFormat="1" ht="28.5" hidden="1" customHeight="1">
      <c r="A518" s="176" t="s">
        <v>483</v>
      </c>
      <c r="B518" s="39" t="s">
        <v>426</v>
      </c>
      <c r="C518" s="39" t="s">
        <v>29</v>
      </c>
      <c r="D518" s="39" t="s">
        <v>23</v>
      </c>
      <c r="E518" s="39" t="s">
        <v>486</v>
      </c>
      <c r="F518" s="554"/>
      <c r="G518" s="291"/>
      <c r="H518" s="62"/>
      <c r="I518" s="61"/>
      <c r="J518" s="728"/>
      <c r="K518" s="42"/>
      <c r="L518" s="43">
        <f>J518+K518</f>
        <v>0</v>
      </c>
      <c r="M518" s="63"/>
      <c r="N518" s="64">
        <f>L518+M518</f>
        <v>0</v>
      </c>
    </row>
    <row r="519" spans="1:18" s="179" customFormat="1" ht="27" hidden="1" customHeight="1">
      <c r="A519" s="176" t="s">
        <v>483</v>
      </c>
      <c r="B519" s="39" t="s">
        <v>426</v>
      </c>
      <c r="C519" s="39" t="s">
        <v>29</v>
      </c>
      <c r="D519" s="39" t="s">
        <v>23</v>
      </c>
      <c r="E519" s="39" t="s">
        <v>486</v>
      </c>
      <c r="F519" s="554"/>
      <c r="G519" s="291"/>
      <c r="H519" s="62"/>
      <c r="I519" s="61"/>
      <c r="J519" s="728"/>
      <c r="K519" s="42"/>
      <c r="L519" s="43">
        <f>J519+K519</f>
        <v>0</v>
      </c>
      <c r="M519" s="63"/>
      <c r="N519" s="64">
        <f>L519+M519</f>
        <v>0</v>
      </c>
    </row>
    <row r="520" spans="1:18" s="179" customFormat="1" ht="29.25" hidden="1" customHeight="1">
      <c r="A520" s="176" t="s">
        <v>483</v>
      </c>
      <c r="B520" s="39" t="s">
        <v>426</v>
      </c>
      <c r="C520" s="39" t="s">
        <v>29</v>
      </c>
      <c r="D520" s="39" t="s">
        <v>23</v>
      </c>
      <c r="E520" s="39" t="s">
        <v>486</v>
      </c>
      <c r="F520" s="554" t="s">
        <v>134</v>
      </c>
      <c r="G520" s="291"/>
      <c r="H520" s="62"/>
      <c r="I520" s="61"/>
      <c r="J520" s="728"/>
      <c r="K520" s="42"/>
      <c r="L520" s="43">
        <f>J520+K520</f>
        <v>0</v>
      </c>
      <c r="M520" s="63"/>
      <c r="N520" s="64">
        <f>L520+M520</f>
        <v>0</v>
      </c>
    </row>
    <row r="521" spans="1:18" s="179" customFormat="1" ht="30">
      <c r="A521" s="176" t="s">
        <v>1036</v>
      </c>
      <c r="B521" s="39" t="s">
        <v>426</v>
      </c>
      <c r="C521" s="39" t="s">
        <v>29</v>
      </c>
      <c r="D521" s="39" t="s">
        <v>23</v>
      </c>
      <c r="E521" s="39" t="s">
        <v>484</v>
      </c>
      <c r="F521" s="554"/>
      <c r="G521" s="291"/>
      <c r="H521" s="62"/>
      <c r="I521" s="61"/>
      <c r="J521" s="728">
        <f>J522</f>
        <v>3587.6</v>
      </c>
      <c r="K521" s="42">
        <f>K522</f>
        <v>0</v>
      </c>
      <c r="L521" s="43">
        <f>L522</f>
        <v>3587.6</v>
      </c>
      <c r="M521" s="63"/>
      <c r="N521" s="64"/>
    </row>
    <row r="522" spans="1:18" s="179" customFormat="1">
      <c r="A522" s="186" t="s">
        <v>471</v>
      </c>
      <c r="B522" s="39" t="s">
        <v>426</v>
      </c>
      <c r="C522" s="39" t="s">
        <v>29</v>
      </c>
      <c r="D522" s="39" t="s">
        <v>23</v>
      </c>
      <c r="E522" s="39" t="s">
        <v>484</v>
      </c>
      <c r="F522" s="554" t="s">
        <v>472</v>
      </c>
      <c r="G522" s="291"/>
      <c r="H522" s="62"/>
      <c r="I522" s="61"/>
      <c r="J522" s="728">
        <v>3587.6</v>
      </c>
      <c r="K522" s="42"/>
      <c r="L522" s="43">
        <f>J522+K522</f>
        <v>3587.6</v>
      </c>
      <c r="M522" s="63"/>
      <c r="N522" s="64"/>
    </row>
    <row r="523" spans="1:18" ht="45">
      <c r="A523" s="186" t="s">
        <v>487</v>
      </c>
      <c r="B523" s="39" t="s">
        <v>426</v>
      </c>
      <c r="C523" s="39" t="s">
        <v>29</v>
      </c>
      <c r="D523" s="39" t="s">
        <v>23</v>
      </c>
      <c r="E523" s="39" t="s">
        <v>488</v>
      </c>
      <c r="F523" s="554"/>
      <c r="G523" s="291">
        <f t="shared" ref="G523:N524" si="173">G524</f>
        <v>-2838.8</v>
      </c>
      <c r="H523" s="62">
        <f t="shared" si="173"/>
        <v>1667</v>
      </c>
      <c r="I523" s="61">
        <f t="shared" si="173"/>
        <v>0</v>
      </c>
      <c r="J523" s="728">
        <f t="shared" si="173"/>
        <v>2681</v>
      </c>
      <c r="K523" s="42">
        <f t="shared" si="173"/>
        <v>1090.0219999999999</v>
      </c>
      <c r="L523" s="43">
        <f t="shared" si="173"/>
        <v>3771.0219999999999</v>
      </c>
      <c r="M523" s="63">
        <f t="shared" si="173"/>
        <v>550</v>
      </c>
      <c r="N523" s="64">
        <f t="shared" si="173"/>
        <v>4321.0219999999999</v>
      </c>
    </row>
    <row r="524" spans="1:18" ht="60">
      <c r="A524" s="186" t="s">
        <v>469</v>
      </c>
      <c r="B524" s="39" t="s">
        <v>426</v>
      </c>
      <c r="C524" s="39" t="s">
        <v>29</v>
      </c>
      <c r="D524" s="39" t="s">
        <v>23</v>
      </c>
      <c r="E524" s="39" t="s">
        <v>489</v>
      </c>
      <c r="F524" s="554"/>
      <c r="G524" s="291">
        <f t="shared" si="173"/>
        <v>-2838.8</v>
      </c>
      <c r="H524" s="62">
        <f t="shared" si="173"/>
        <v>1667</v>
      </c>
      <c r="I524" s="61">
        <f t="shared" si="173"/>
        <v>0</v>
      </c>
      <c r="J524" s="728">
        <f t="shared" si="173"/>
        <v>2681</v>
      </c>
      <c r="K524" s="42">
        <f t="shared" si="173"/>
        <v>1090.0219999999999</v>
      </c>
      <c r="L524" s="43">
        <f t="shared" si="173"/>
        <v>3771.0219999999999</v>
      </c>
      <c r="M524" s="63">
        <f t="shared" si="173"/>
        <v>550</v>
      </c>
      <c r="N524" s="64">
        <f t="shared" si="173"/>
        <v>4321.0219999999999</v>
      </c>
    </row>
    <row r="525" spans="1:18">
      <c r="A525" s="186" t="s">
        <v>471</v>
      </c>
      <c r="B525" s="39" t="s">
        <v>426</v>
      </c>
      <c r="C525" s="39" t="s">
        <v>29</v>
      </c>
      <c r="D525" s="39" t="s">
        <v>23</v>
      </c>
      <c r="E525" s="39" t="s">
        <v>470</v>
      </c>
      <c r="F525" s="554" t="s">
        <v>472</v>
      </c>
      <c r="G525" s="291">
        <f>-2338.8-500</f>
        <v>-2838.8</v>
      </c>
      <c r="H525" s="241">
        <v>1667</v>
      </c>
      <c r="I525" s="61"/>
      <c r="J525" s="728">
        <v>2681</v>
      </c>
      <c r="K525" s="42">
        <f>368.022+921-199</f>
        <v>1090.0219999999999</v>
      </c>
      <c r="L525" s="43">
        <f>J525+K525</f>
        <v>3771.0219999999999</v>
      </c>
      <c r="M525" s="63">
        <v>550</v>
      </c>
      <c r="N525" s="45">
        <f>L525+M525</f>
        <v>4321.0219999999999</v>
      </c>
      <c r="O525" s="65">
        <v>1076</v>
      </c>
      <c r="R525" s="15">
        <f>O525+L591</f>
        <v>1076</v>
      </c>
    </row>
    <row r="526" spans="1:18" ht="30">
      <c r="A526" s="295" t="s">
        <v>490</v>
      </c>
      <c r="B526" s="39" t="s">
        <v>426</v>
      </c>
      <c r="C526" s="39" t="s">
        <v>29</v>
      </c>
      <c r="D526" s="39" t="s">
        <v>23</v>
      </c>
      <c r="E526" s="39" t="s">
        <v>491</v>
      </c>
      <c r="F526" s="554"/>
      <c r="G526" s="291"/>
      <c r="H526" s="41">
        <f t="shared" ref="H526:N526" si="174">H527</f>
        <v>0</v>
      </c>
      <c r="I526" s="40">
        <f t="shared" si="174"/>
        <v>0</v>
      </c>
      <c r="J526" s="728">
        <f t="shared" si="174"/>
        <v>1559.83</v>
      </c>
      <c r="K526" s="42">
        <f t="shared" si="174"/>
        <v>0</v>
      </c>
      <c r="L526" s="43">
        <f t="shared" si="174"/>
        <v>1559.83</v>
      </c>
      <c r="M526" s="44">
        <f t="shared" si="174"/>
        <v>0</v>
      </c>
      <c r="N526" s="45">
        <f t="shared" si="174"/>
        <v>1559.83</v>
      </c>
    </row>
    <row r="527" spans="1:18" ht="26.25" customHeight="1">
      <c r="A527" s="186" t="s">
        <v>136</v>
      </c>
      <c r="B527" s="39" t="s">
        <v>426</v>
      </c>
      <c r="C527" s="39" t="s">
        <v>29</v>
      </c>
      <c r="D527" s="39" t="s">
        <v>23</v>
      </c>
      <c r="E527" s="39" t="s">
        <v>491</v>
      </c>
      <c r="F527" s="554" t="s">
        <v>134</v>
      </c>
      <c r="G527" s="291"/>
      <c r="H527" s="41"/>
      <c r="I527" s="61"/>
      <c r="J527" s="728">
        <v>1559.83</v>
      </c>
      <c r="K527" s="42"/>
      <c r="L527" s="43">
        <f>J527+K527</f>
        <v>1559.83</v>
      </c>
      <c r="M527" s="63"/>
      <c r="N527" s="45">
        <f>L527+M527</f>
        <v>1559.83</v>
      </c>
      <c r="O527" s="65">
        <v>576</v>
      </c>
      <c r="P527" s="15">
        <f>L527-O527</f>
        <v>983.82999999999993</v>
      </c>
    </row>
    <row r="528" spans="1:18">
      <c r="A528" s="186" t="s">
        <v>492</v>
      </c>
      <c r="B528" s="39" t="s">
        <v>426</v>
      </c>
      <c r="C528" s="39" t="s">
        <v>29</v>
      </c>
      <c r="D528" s="39" t="s">
        <v>23</v>
      </c>
      <c r="E528" s="39" t="s">
        <v>493</v>
      </c>
      <c r="F528" s="554"/>
      <c r="G528" s="291">
        <f>G529+G531</f>
        <v>0</v>
      </c>
      <c r="H528" s="62"/>
      <c r="I528" s="61">
        <f t="shared" ref="I528:N528" si="175">I529+I531</f>
        <v>0</v>
      </c>
      <c r="J528" s="728">
        <f t="shared" si="175"/>
        <v>10640.6</v>
      </c>
      <c r="K528" s="42">
        <f t="shared" si="175"/>
        <v>155</v>
      </c>
      <c r="L528" s="43">
        <f t="shared" si="175"/>
        <v>10795.6</v>
      </c>
      <c r="M528" s="63">
        <f t="shared" si="175"/>
        <v>0</v>
      </c>
      <c r="N528" s="64">
        <f t="shared" si="175"/>
        <v>10795.6</v>
      </c>
    </row>
    <row r="529" spans="1:14" ht="19.5" customHeight="1">
      <c r="A529" s="296" t="s">
        <v>494</v>
      </c>
      <c r="B529" s="39" t="s">
        <v>426</v>
      </c>
      <c r="C529" s="39" t="s">
        <v>29</v>
      </c>
      <c r="D529" s="39" t="s">
        <v>23</v>
      </c>
      <c r="E529" s="39" t="s">
        <v>495</v>
      </c>
      <c r="F529" s="554"/>
      <c r="G529" s="291">
        <f t="shared" ref="G529:N529" si="176">G530</f>
        <v>-1750</v>
      </c>
      <c r="H529" s="62">
        <f t="shared" si="176"/>
        <v>0</v>
      </c>
      <c r="I529" s="61">
        <f t="shared" si="176"/>
        <v>0</v>
      </c>
      <c r="J529" s="728">
        <f t="shared" si="176"/>
        <v>10640.6</v>
      </c>
      <c r="K529" s="42">
        <f t="shared" si="176"/>
        <v>155</v>
      </c>
      <c r="L529" s="43">
        <f t="shared" si="176"/>
        <v>10795.6</v>
      </c>
      <c r="M529" s="63">
        <f t="shared" si="176"/>
        <v>0</v>
      </c>
      <c r="N529" s="64">
        <f t="shared" si="176"/>
        <v>10795.6</v>
      </c>
    </row>
    <row r="530" spans="1:14" ht="13.5" customHeight="1">
      <c r="A530" s="186" t="s">
        <v>471</v>
      </c>
      <c r="B530" s="39" t="s">
        <v>426</v>
      </c>
      <c r="C530" s="39" t="s">
        <v>29</v>
      </c>
      <c r="D530" s="39" t="s">
        <v>23</v>
      </c>
      <c r="E530" s="39" t="s">
        <v>496</v>
      </c>
      <c r="F530" s="554" t="s">
        <v>472</v>
      </c>
      <c r="G530" s="291">
        <v>-1750</v>
      </c>
      <c r="H530" s="41"/>
      <c r="I530" s="61"/>
      <c r="J530" s="728">
        <f>10640+0.6</f>
        <v>10640.6</v>
      </c>
      <c r="K530" s="42">
        <v>155</v>
      </c>
      <c r="L530" s="43">
        <f>J530+K530</f>
        <v>10795.6</v>
      </c>
      <c r="M530" s="63"/>
      <c r="N530" s="45">
        <f>L530+M530</f>
        <v>10795.6</v>
      </c>
    </row>
    <row r="531" spans="1:14" ht="27.75" hidden="1" customHeight="1">
      <c r="A531" s="296" t="s">
        <v>497</v>
      </c>
      <c r="B531" s="39" t="s">
        <v>426</v>
      </c>
      <c r="C531" s="39" t="s">
        <v>29</v>
      </c>
      <c r="D531" s="39" t="s">
        <v>23</v>
      </c>
      <c r="E531" s="39" t="s">
        <v>498</v>
      </c>
      <c r="F531" s="554"/>
      <c r="G531" s="291">
        <f t="shared" ref="G531:N531" si="177">G532</f>
        <v>1750</v>
      </c>
      <c r="H531" s="62">
        <f t="shared" si="177"/>
        <v>0</v>
      </c>
      <c r="I531" s="61">
        <f t="shared" si="177"/>
        <v>0</v>
      </c>
      <c r="J531" s="728">
        <f t="shared" si="177"/>
        <v>0</v>
      </c>
      <c r="K531" s="42">
        <f t="shared" si="177"/>
        <v>0</v>
      </c>
      <c r="L531" s="43">
        <f t="shared" si="177"/>
        <v>0</v>
      </c>
      <c r="M531" s="63">
        <f t="shared" si="177"/>
        <v>0</v>
      </c>
      <c r="N531" s="64">
        <f t="shared" si="177"/>
        <v>0</v>
      </c>
    </row>
    <row r="532" spans="1:14" ht="13.5" hidden="1" customHeight="1">
      <c r="A532" s="186" t="s">
        <v>471</v>
      </c>
      <c r="B532" s="39" t="s">
        <v>426</v>
      </c>
      <c r="C532" s="39" t="s">
        <v>29</v>
      </c>
      <c r="D532" s="39" t="s">
        <v>23</v>
      </c>
      <c r="E532" s="39" t="s">
        <v>498</v>
      </c>
      <c r="F532" s="554" t="s">
        <v>472</v>
      </c>
      <c r="G532" s="291">
        <v>1750</v>
      </c>
      <c r="H532" s="41"/>
      <c r="I532" s="61"/>
      <c r="J532" s="728"/>
      <c r="K532" s="42"/>
      <c r="L532" s="43">
        <f>J532+K532</f>
        <v>0</v>
      </c>
      <c r="M532" s="63"/>
      <c r="N532" s="45">
        <f>L532+M532</f>
        <v>0</v>
      </c>
    </row>
    <row r="533" spans="1:14" ht="53.25" hidden="1" customHeight="1">
      <c r="A533" s="186" t="s">
        <v>499</v>
      </c>
      <c r="B533" s="39" t="s">
        <v>426</v>
      </c>
      <c r="C533" s="39" t="s">
        <v>29</v>
      </c>
      <c r="D533" s="39" t="s">
        <v>23</v>
      </c>
      <c r="E533" s="39" t="s">
        <v>500</v>
      </c>
      <c r="F533" s="554"/>
      <c r="G533" s="291">
        <f t="shared" ref="G533:M533" si="178">G534+G536</f>
        <v>4338.8</v>
      </c>
      <c r="H533" s="62">
        <f t="shared" si="178"/>
        <v>0</v>
      </c>
      <c r="I533" s="61">
        <f t="shared" si="178"/>
        <v>0</v>
      </c>
      <c r="J533" s="728">
        <f t="shared" si="178"/>
        <v>0</v>
      </c>
      <c r="K533" s="42">
        <f t="shared" si="178"/>
        <v>0</v>
      </c>
      <c r="L533" s="43">
        <f t="shared" si="178"/>
        <v>0</v>
      </c>
      <c r="M533" s="63">
        <f t="shared" si="178"/>
        <v>0</v>
      </c>
      <c r="N533" s="64">
        <f>N534+N536</f>
        <v>0</v>
      </c>
    </row>
    <row r="534" spans="1:14" ht="30" hidden="1" customHeight="1">
      <c r="A534" s="142" t="s">
        <v>501</v>
      </c>
      <c r="B534" s="39" t="s">
        <v>426</v>
      </c>
      <c r="C534" s="39" t="s">
        <v>29</v>
      </c>
      <c r="D534" s="39" t="s">
        <v>23</v>
      </c>
      <c r="E534" s="39" t="s">
        <v>502</v>
      </c>
      <c r="F534" s="554"/>
      <c r="G534" s="291">
        <f t="shared" ref="G534:N534" si="179">G535</f>
        <v>2338.8000000000002</v>
      </c>
      <c r="H534" s="62">
        <f t="shared" si="179"/>
        <v>0</v>
      </c>
      <c r="I534" s="61">
        <f t="shared" si="179"/>
        <v>0</v>
      </c>
      <c r="J534" s="728">
        <f t="shared" si="179"/>
        <v>0</v>
      </c>
      <c r="K534" s="42">
        <f t="shared" si="179"/>
        <v>0</v>
      </c>
      <c r="L534" s="43">
        <f t="shared" si="179"/>
        <v>0</v>
      </c>
      <c r="M534" s="63">
        <f t="shared" si="179"/>
        <v>0</v>
      </c>
      <c r="N534" s="64">
        <f t="shared" si="179"/>
        <v>0</v>
      </c>
    </row>
    <row r="535" spans="1:14" ht="15" hidden="1" customHeight="1">
      <c r="A535" s="186" t="s">
        <v>471</v>
      </c>
      <c r="B535" s="39" t="s">
        <v>426</v>
      </c>
      <c r="C535" s="39" t="s">
        <v>29</v>
      </c>
      <c r="D535" s="39" t="s">
        <v>23</v>
      </c>
      <c r="E535" s="39" t="s">
        <v>502</v>
      </c>
      <c r="F535" s="554" t="s">
        <v>472</v>
      </c>
      <c r="G535" s="291">
        <v>2338.8000000000002</v>
      </c>
      <c r="H535" s="41"/>
      <c r="I535" s="61"/>
      <c r="J535" s="728">
        <f>H535+I535</f>
        <v>0</v>
      </c>
      <c r="K535" s="42">
        <f>1500-1500</f>
        <v>0</v>
      </c>
      <c r="L535" s="43">
        <f>J535+K535</f>
        <v>0</v>
      </c>
      <c r="M535" s="63">
        <f>1500-1500</f>
        <v>0</v>
      </c>
      <c r="N535" s="45">
        <f>L535+M535</f>
        <v>0</v>
      </c>
    </row>
    <row r="536" spans="1:14" ht="60" hidden="1" customHeight="1">
      <c r="A536" s="186" t="s">
        <v>503</v>
      </c>
      <c r="B536" s="39" t="s">
        <v>426</v>
      </c>
      <c r="C536" s="39" t="s">
        <v>29</v>
      </c>
      <c r="D536" s="39" t="s">
        <v>23</v>
      </c>
      <c r="E536" s="39" t="s">
        <v>504</v>
      </c>
      <c r="F536" s="554"/>
      <c r="G536" s="291">
        <f t="shared" ref="G536:N536" si="180">G537</f>
        <v>2000</v>
      </c>
      <c r="H536" s="62">
        <f t="shared" si="180"/>
        <v>0</v>
      </c>
      <c r="I536" s="61">
        <f t="shared" si="180"/>
        <v>0</v>
      </c>
      <c r="J536" s="728">
        <f t="shared" si="180"/>
        <v>0</v>
      </c>
      <c r="K536" s="42">
        <f t="shared" si="180"/>
        <v>0</v>
      </c>
      <c r="L536" s="43">
        <f t="shared" si="180"/>
        <v>0</v>
      </c>
      <c r="M536" s="63">
        <f t="shared" si="180"/>
        <v>0</v>
      </c>
      <c r="N536" s="64">
        <f t="shared" si="180"/>
        <v>0</v>
      </c>
    </row>
    <row r="537" spans="1:14" ht="15" hidden="1" customHeight="1">
      <c r="A537" s="186" t="s">
        <v>471</v>
      </c>
      <c r="B537" s="39" t="s">
        <v>426</v>
      </c>
      <c r="C537" s="39" t="s">
        <v>29</v>
      </c>
      <c r="D537" s="39" t="s">
        <v>23</v>
      </c>
      <c r="E537" s="39" t="s">
        <v>504</v>
      </c>
      <c r="F537" s="554" t="s">
        <v>472</v>
      </c>
      <c r="G537" s="291">
        <v>2000</v>
      </c>
      <c r="H537" s="41"/>
      <c r="I537" s="61"/>
      <c r="J537" s="728">
        <f>H537+I537</f>
        <v>0</v>
      </c>
      <c r="K537" s="42"/>
      <c r="L537" s="43">
        <f>J537+K537</f>
        <v>0</v>
      </c>
      <c r="M537" s="63"/>
      <c r="N537" s="45">
        <f>L537+M537</f>
        <v>0</v>
      </c>
    </row>
    <row r="538" spans="1:14" ht="15" customHeight="1">
      <c r="A538" s="186" t="s">
        <v>505</v>
      </c>
      <c r="B538" s="39" t="s">
        <v>426</v>
      </c>
      <c r="C538" s="39" t="s">
        <v>29</v>
      </c>
      <c r="D538" s="39" t="s">
        <v>23</v>
      </c>
      <c r="E538" s="39" t="s">
        <v>414</v>
      </c>
      <c r="F538" s="554"/>
      <c r="G538" s="291">
        <f t="shared" ref="G538:N538" si="181">G539</f>
        <v>500</v>
      </c>
      <c r="H538" s="62">
        <f t="shared" si="181"/>
        <v>0</v>
      </c>
      <c r="I538" s="61">
        <f t="shared" si="181"/>
        <v>0</v>
      </c>
      <c r="J538" s="728">
        <f t="shared" si="181"/>
        <v>500</v>
      </c>
      <c r="K538" s="42">
        <f t="shared" si="181"/>
        <v>100</v>
      </c>
      <c r="L538" s="43">
        <f t="shared" si="181"/>
        <v>600</v>
      </c>
      <c r="M538" s="63">
        <f t="shared" si="181"/>
        <v>0</v>
      </c>
      <c r="N538" s="64">
        <f t="shared" si="181"/>
        <v>600</v>
      </c>
    </row>
    <row r="539" spans="1:14" ht="45">
      <c r="A539" s="186" t="s">
        <v>506</v>
      </c>
      <c r="B539" s="39" t="s">
        <v>426</v>
      </c>
      <c r="C539" s="39" t="s">
        <v>29</v>
      </c>
      <c r="D539" s="39" t="s">
        <v>23</v>
      </c>
      <c r="E539" s="39" t="s">
        <v>507</v>
      </c>
      <c r="F539" s="554"/>
      <c r="G539" s="291">
        <f t="shared" ref="G539:N539" si="182">G540</f>
        <v>500</v>
      </c>
      <c r="H539" s="62">
        <f t="shared" si="182"/>
        <v>0</v>
      </c>
      <c r="I539" s="61">
        <f t="shared" si="182"/>
        <v>0</v>
      </c>
      <c r="J539" s="728">
        <f t="shared" si="182"/>
        <v>500</v>
      </c>
      <c r="K539" s="42">
        <f t="shared" si="182"/>
        <v>100</v>
      </c>
      <c r="L539" s="43">
        <f t="shared" si="182"/>
        <v>600</v>
      </c>
      <c r="M539" s="63">
        <f t="shared" si="182"/>
        <v>0</v>
      </c>
      <c r="N539" s="64">
        <f t="shared" si="182"/>
        <v>600</v>
      </c>
    </row>
    <row r="540" spans="1:14" ht="30" customHeight="1">
      <c r="A540" s="186" t="s">
        <v>136</v>
      </c>
      <c r="B540" s="39" t="s">
        <v>426</v>
      </c>
      <c r="C540" s="39" t="s">
        <v>29</v>
      </c>
      <c r="D540" s="39" t="s">
        <v>23</v>
      </c>
      <c r="E540" s="39" t="s">
        <v>507</v>
      </c>
      <c r="F540" s="554" t="s">
        <v>134</v>
      </c>
      <c r="G540" s="291">
        <v>500</v>
      </c>
      <c r="H540" s="41"/>
      <c r="I540" s="61"/>
      <c r="J540" s="728">
        <f>500</f>
        <v>500</v>
      </c>
      <c r="K540" s="42">
        <f>100</f>
        <v>100</v>
      </c>
      <c r="L540" s="43">
        <f>J540+K540</f>
        <v>600</v>
      </c>
      <c r="M540" s="63"/>
      <c r="N540" s="45">
        <f>L540+M540</f>
        <v>600</v>
      </c>
    </row>
    <row r="541" spans="1:14" ht="45">
      <c r="A541" s="186" t="s">
        <v>1038</v>
      </c>
      <c r="B541" s="39" t="s">
        <v>426</v>
      </c>
      <c r="C541" s="39" t="s">
        <v>29</v>
      </c>
      <c r="D541" s="39" t="s">
        <v>23</v>
      </c>
      <c r="E541" s="39" t="s">
        <v>1034</v>
      </c>
      <c r="F541" s="554"/>
      <c r="G541" s="291"/>
      <c r="H541" s="41"/>
      <c r="I541" s="61"/>
      <c r="J541" s="728">
        <f>J542</f>
        <v>500</v>
      </c>
      <c r="K541" s="42">
        <f>K542</f>
        <v>0</v>
      </c>
      <c r="L541" s="43">
        <f>L542</f>
        <v>500</v>
      </c>
      <c r="M541" s="63"/>
      <c r="N541" s="45"/>
    </row>
    <row r="542" spans="1:14" ht="30">
      <c r="A542" s="186" t="s">
        <v>136</v>
      </c>
      <c r="B542" s="39" t="s">
        <v>426</v>
      </c>
      <c r="C542" s="39" t="s">
        <v>29</v>
      </c>
      <c r="D542" s="39" t="s">
        <v>23</v>
      </c>
      <c r="E542" s="39" t="s">
        <v>1034</v>
      </c>
      <c r="F542" s="554" t="s">
        <v>134</v>
      </c>
      <c r="G542" s="291"/>
      <c r="H542" s="41"/>
      <c r="I542" s="61"/>
      <c r="J542" s="728">
        <v>500</v>
      </c>
      <c r="K542" s="42"/>
      <c r="L542" s="43">
        <f>J542+K542</f>
        <v>500</v>
      </c>
      <c r="M542" s="63"/>
      <c r="N542" s="45"/>
    </row>
    <row r="543" spans="1:14" s="179" customFormat="1" ht="17.25" customHeight="1">
      <c r="A543" s="194" t="s">
        <v>508</v>
      </c>
      <c r="B543" s="38" t="s">
        <v>426</v>
      </c>
      <c r="C543" s="38" t="s">
        <v>29</v>
      </c>
      <c r="D543" s="38" t="s">
        <v>25</v>
      </c>
      <c r="E543" s="38"/>
      <c r="F543" s="556"/>
      <c r="G543" s="518">
        <f t="shared" ref="G543:N543" si="183">G544</f>
        <v>-786.5</v>
      </c>
      <c r="H543" s="90">
        <f t="shared" si="183"/>
        <v>0</v>
      </c>
      <c r="I543" s="67">
        <f t="shared" si="183"/>
        <v>0</v>
      </c>
      <c r="J543" s="734">
        <f t="shared" si="183"/>
        <v>1800</v>
      </c>
      <c r="K543" s="91">
        <f t="shared" si="183"/>
        <v>90</v>
      </c>
      <c r="L543" s="92">
        <f t="shared" si="183"/>
        <v>1890</v>
      </c>
      <c r="M543" s="147">
        <f t="shared" si="183"/>
        <v>0</v>
      </c>
      <c r="N543" s="148">
        <f t="shared" si="183"/>
        <v>390</v>
      </c>
    </row>
    <row r="544" spans="1:14" ht="15.75" customHeight="1">
      <c r="A544" s="287" t="s">
        <v>62</v>
      </c>
      <c r="B544" s="39" t="s">
        <v>426</v>
      </c>
      <c r="C544" s="39" t="s">
        <v>29</v>
      </c>
      <c r="D544" s="39" t="s">
        <v>25</v>
      </c>
      <c r="E544" s="39" t="s">
        <v>509</v>
      </c>
      <c r="F544" s="554"/>
      <c r="G544" s="291">
        <f>G547</f>
        <v>-786.5</v>
      </c>
      <c r="H544" s="62">
        <f>H547</f>
        <v>0</v>
      </c>
      <c r="I544" s="61">
        <f>I547</f>
        <v>0</v>
      </c>
      <c r="J544" s="42">
        <f>J547+J545</f>
        <v>1800</v>
      </c>
      <c r="K544" s="42">
        <f>K547+K545</f>
        <v>90</v>
      </c>
      <c r="L544" s="42">
        <f>L547+L545</f>
        <v>1890</v>
      </c>
      <c r="M544" s="63">
        <f>M547</f>
        <v>0</v>
      </c>
      <c r="N544" s="64">
        <f>N547</f>
        <v>390</v>
      </c>
    </row>
    <row r="545" spans="1:15" ht="27" customHeight="1">
      <c r="A545" s="287" t="s">
        <v>464</v>
      </c>
      <c r="B545" s="39" t="s">
        <v>426</v>
      </c>
      <c r="C545" s="39" t="s">
        <v>29</v>
      </c>
      <c r="D545" s="39" t="s">
        <v>25</v>
      </c>
      <c r="E545" s="39" t="s">
        <v>1035</v>
      </c>
      <c r="F545" s="554"/>
      <c r="G545" s="291"/>
      <c r="H545" s="62"/>
      <c r="I545" s="61"/>
      <c r="J545" s="728">
        <f>J546</f>
        <v>1500</v>
      </c>
      <c r="K545" s="728">
        <f>K546</f>
        <v>0</v>
      </c>
      <c r="L545" s="760">
        <f>L546</f>
        <v>1500</v>
      </c>
      <c r="M545" s="63"/>
      <c r="N545" s="64"/>
    </row>
    <row r="546" spans="1:15" ht="27.75" customHeight="1">
      <c r="A546" s="186" t="s">
        <v>136</v>
      </c>
      <c r="B546" s="39" t="s">
        <v>426</v>
      </c>
      <c r="C546" s="39" t="s">
        <v>29</v>
      </c>
      <c r="D546" s="39" t="s">
        <v>25</v>
      </c>
      <c r="E546" s="39" t="s">
        <v>1035</v>
      </c>
      <c r="F546" s="554" t="s">
        <v>134</v>
      </c>
      <c r="G546" s="291"/>
      <c r="H546" s="62"/>
      <c r="I546" s="61"/>
      <c r="J546" s="728">
        <v>1500</v>
      </c>
      <c r="K546" s="42"/>
      <c r="L546" s="43">
        <f>J546+K546</f>
        <v>1500</v>
      </c>
      <c r="M546" s="63"/>
      <c r="N546" s="64"/>
    </row>
    <row r="547" spans="1:15" ht="30" customHeight="1">
      <c r="A547" s="287" t="s">
        <v>510</v>
      </c>
      <c r="B547" s="39" t="s">
        <v>426</v>
      </c>
      <c r="C547" s="39" t="s">
        <v>29</v>
      </c>
      <c r="D547" s="39" t="s">
        <v>25</v>
      </c>
      <c r="E547" s="39" t="s">
        <v>511</v>
      </c>
      <c r="F547" s="554"/>
      <c r="G547" s="291">
        <f t="shared" ref="G547:N547" si="184">G548</f>
        <v>-786.5</v>
      </c>
      <c r="H547" s="62">
        <f t="shared" si="184"/>
        <v>0</v>
      </c>
      <c r="I547" s="61">
        <f t="shared" si="184"/>
        <v>0</v>
      </c>
      <c r="J547" s="728">
        <f t="shared" si="184"/>
        <v>300</v>
      </c>
      <c r="K547" s="42">
        <f t="shared" si="184"/>
        <v>90</v>
      </c>
      <c r="L547" s="43">
        <f t="shared" si="184"/>
        <v>390</v>
      </c>
      <c r="M547" s="63">
        <f t="shared" si="184"/>
        <v>0</v>
      </c>
      <c r="N547" s="64">
        <f t="shared" si="184"/>
        <v>390</v>
      </c>
    </row>
    <row r="548" spans="1:15" ht="30" customHeight="1">
      <c r="A548" s="186" t="s">
        <v>136</v>
      </c>
      <c r="B548" s="39" t="s">
        <v>426</v>
      </c>
      <c r="C548" s="39" t="s">
        <v>29</v>
      </c>
      <c r="D548" s="39" t="s">
        <v>25</v>
      </c>
      <c r="E548" s="39" t="s">
        <v>511</v>
      </c>
      <c r="F548" s="554" t="s">
        <v>134</v>
      </c>
      <c r="G548" s="291">
        <v>-786.5</v>
      </c>
      <c r="H548" s="41"/>
      <c r="I548" s="61"/>
      <c r="J548" s="728">
        <v>300</v>
      </c>
      <c r="K548" s="42">
        <f>-60+200-50</f>
        <v>90</v>
      </c>
      <c r="L548" s="43">
        <f>J548+K548</f>
        <v>390</v>
      </c>
      <c r="M548" s="63"/>
      <c r="N548" s="45">
        <f>L548+M548</f>
        <v>390</v>
      </c>
    </row>
    <row r="549" spans="1:15" s="179" customFormat="1" ht="15.75" hidden="1" customHeight="1">
      <c r="A549" s="194" t="s">
        <v>63</v>
      </c>
      <c r="B549" s="38" t="s">
        <v>426</v>
      </c>
      <c r="C549" s="38" t="s">
        <v>29</v>
      </c>
      <c r="D549" s="38" t="s">
        <v>29</v>
      </c>
      <c r="E549" s="38"/>
      <c r="F549" s="556"/>
      <c r="G549" s="518">
        <f t="shared" ref="G549:N549" si="185">G550</f>
        <v>-2222</v>
      </c>
      <c r="H549" s="90">
        <f t="shared" si="185"/>
        <v>0</v>
      </c>
      <c r="I549" s="67">
        <f t="shared" si="185"/>
        <v>0</v>
      </c>
      <c r="J549" s="734">
        <f>J550+J553</f>
        <v>0</v>
      </c>
      <c r="K549" s="91">
        <f>K550+K553</f>
        <v>0</v>
      </c>
      <c r="L549" s="92">
        <f>L550+L553</f>
        <v>0</v>
      </c>
      <c r="M549" s="147">
        <f t="shared" si="185"/>
        <v>0</v>
      </c>
      <c r="N549" s="148">
        <f t="shared" si="185"/>
        <v>0</v>
      </c>
    </row>
    <row r="550" spans="1:15" ht="15" hidden="1" customHeight="1">
      <c r="A550" s="186" t="s">
        <v>469</v>
      </c>
      <c r="B550" s="39" t="s">
        <v>426</v>
      </c>
      <c r="C550" s="39" t="s">
        <v>29</v>
      </c>
      <c r="D550" s="39" t="s">
        <v>29</v>
      </c>
      <c r="E550" s="39" t="s">
        <v>489</v>
      </c>
      <c r="F550" s="554"/>
      <c r="G550" s="291">
        <f t="shared" ref="G550:M550" si="186">G551+G552</f>
        <v>-2222</v>
      </c>
      <c r="H550" s="62">
        <f t="shared" si="186"/>
        <v>0</v>
      </c>
      <c r="I550" s="61">
        <f t="shared" si="186"/>
        <v>0</v>
      </c>
      <c r="J550" s="728">
        <f t="shared" si="186"/>
        <v>0</v>
      </c>
      <c r="K550" s="42">
        <f t="shared" si="186"/>
        <v>0</v>
      </c>
      <c r="L550" s="43">
        <f t="shared" si="186"/>
        <v>0</v>
      </c>
      <c r="M550" s="63">
        <f t="shared" si="186"/>
        <v>0</v>
      </c>
      <c r="N550" s="64">
        <f>N551+N552</f>
        <v>0</v>
      </c>
    </row>
    <row r="551" spans="1:15" ht="18" hidden="1" customHeight="1">
      <c r="A551" s="186" t="s">
        <v>471</v>
      </c>
      <c r="B551" s="39" t="s">
        <v>426</v>
      </c>
      <c r="C551" s="39" t="s">
        <v>29</v>
      </c>
      <c r="D551" s="39" t="s">
        <v>29</v>
      </c>
      <c r="E551" s="39" t="s">
        <v>486</v>
      </c>
      <c r="F551" s="554" t="s">
        <v>472</v>
      </c>
      <c r="G551" s="291">
        <v>-2000</v>
      </c>
      <c r="H551" s="41"/>
      <c r="I551" s="61"/>
      <c r="J551" s="728">
        <f>H551+I551</f>
        <v>0</v>
      </c>
      <c r="K551" s="42"/>
      <c r="L551" s="43">
        <f>J551+K551</f>
        <v>0</v>
      </c>
      <c r="M551" s="63"/>
      <c r="N551" s="45">
        <f>L551+M551</f>
        <v>0</v>
      </c>
    </row>
    <row r="552" spans="1:15" ht="15.75" hidden="1" customHeight="1">
      <c r="A552" s="186" t="s">
        <v>512</v>
      </c>
      <c r="B552" s="39" t="s">
        <v>426</v>
      </c>
      <c r="C552" s="39" t="s">
        <v>29</v>
      </c>
      <c r="D552" s="39" t="s">
        <v>29</v>
      </c>
      <c r="E552" s="39" t="s">
        <v>470</v>
      </c>
      <c r="F552" s="554" t="s">
        <v>472</v>
      </c>
      <c r="G552" s="291">
        <v>-222</v>
      </c>
      <c r="H552" s="41"/>
      <c r="I552" s="61"/>
      <c r="J552" s="728">
        <f>H552+I552</f>
        <v>0</v>
      </c>
      <c r="K552" s="42"/>
      <c r="L552" s="43">
        <f>J552+K552</f>
        <v>0</v>
      </c>
      <c r="M552" s="63"/>
      <c r="N552" s="45">
        <f>L552+M552</f>
        <v>0</v>
      </c>
      <c r="O552" s="65"/>
    </row>
    <row r="553" spans="1:15" ht="15" hidden="1" customHeight="1">
      <c r="A553" s="186" t="s">
        <v>513</v>
      </c>
      <c r="B553" s="39" t="s">
        <v>426</v>
      </c>
      <c r="C553" s="39" t="s">
        <v>29</v>
      </c>
      <c r="D553" s="39" t="s">
        <v>29</v>
      </c>
      <c r="E553" s="39" t="s">
        <v>500</v>
      </c>
      <c r="F553" s="554"/>
      <c r="G553" s="291"/>
      <c r="H553" s="41"/>
      <c r="I553" s="291"/>
      <c r="J553" s="728">
        <f>J554</f>
        <v>0</v>
      </c>
      <c r="K553" s="42">
        <f>K554</f>
        <v>0</v>
      </c>
      <c r="L553" s="43">
        <f>L554</f>
        <v>0</v>
      </c>
      <c r="M553" s="63"/>
      <c r="N553" s="45"/>
    </row>
    <row r="554" spans="1:15" ht="12.75" hidden="1" customHeight="1">
      <c r="A554" s="186" t="s">
        <v>471</v>
      </c>
      <c r="B554" s="39" t="s">
        <v>426</v>
      </c>
      <c r="C554" s="39" t="s">
        <v>29</v>
      </c>
      <c r="D554" s="39" t="s">
        <v>29</v>
      </c>
      <c r="E554" s="39" t="s">
        <v>504</v>
      </c>
      <c r="F554" s="554" t="s">
        <v>472</v>
      </c>
      <c r="G554" s="291"/>
      <c r="H554" s="41"/>
      <c r="I554" s="291"/>
      <c r="J554" s="728">
        <f>H554+I554</f>
        <v>0</v>
      </c>
      <c r="K554" s="42"/>
      <c r="L554" s="43">
        <f>J554+K554</f>
        <v>0</v>
      </c>
      <c r="M554" s="63"/>
      <c r="N554" s="45"/>
    </row>
    <row r="555" spans="1:15" s="272" customFormat="1" ht="14.25">
      <c r="A555" s="297" t="s">
        <v>64</v>
      </c>
      <c r="B555" s="49" t="s">
        <v>426</v>
      </c>
      <c r="C555" s="49" t="s">
        <v>33</v>
      </c>
      <c r="D555" s="49"/>
      <c r="E555" s="49"/>
      <c r="F555" s="562"/>
      <c r="G555" s="517" t="e">
        <f>G578+G584+#REF!</f>
        <v>#REF!</v>
      </c>
      <c r="H555" s="144">
        <f>H578+H584+H556</f>
        <v>682.72</v>
      </c>
      <c r="I555" s="144">
        <f>I578+I584+I556</f>
        <v>0</v>
      </c>
      <c r="J555" s="52">
        <f>J556+J560+J578+J584</f>
        <v>54340.245090000004</v>
      </c>
      <c r="K555" s="729">
        <f>K556+K560+K578+K584</f>
        <v>30265.583000000002</v>
      </c>
      <c r="L555" s="53">
        <f>L556+L560+L578+L584</f>
        <v>84605.828089999995</v>
      </c>
      <c r="M555" s="53">
        <f>M556+M560+M578+M584</f>
        <v>0</v>
      </c>
      <c r="N555" s="146">
        <f>N556+N560+N578+N584</f>
        <v>8466.8280900000009</v>
      </c>
    </row>
    <row r="556" spans="1:15" ht="18" customHeight="1">
      <c r="A556" s="298" t="s">
        <v>66</v>
      </c>
      <c r="B556" s="299" t="s">
        <v>426</v>
      </c>
      <c r="C556" s="38" t="s">
        <v>33</v>
      </c>
      <c r="D556" s="38" t="s">
        <v>22</v>
      </c>
      <c r="E556" s="38"/>
      <c r="F556" s="556"/>
      <c r="G556" s="535"/>
      <c r="H556" s="218">
        <f>H557</f>
        <v>667</v>
      </c>
      <c r="I556" s="219">
        <f t="shared" ref="I556:N558" si="187">I557</f>
        <v>0</v>
      </c>
      <c r="J556" s="734">
        <f t="shared" si="187"/>
        <v>828</v>
      </c>
      <c r="K556" s="91">
        <f>K557</f>
        <v>92.933000000000007</v>
      </c>
      <c r="L556" s="92">
        <f t="shared" si="187"/>
        <v>920.93299999999999</v>
      </c>
      <c r="M556" s="300">
        <f t="shared" si="187"/>
        <v>0</v>
      </c>
      <c r="N556" s="301">
        <f t="shared" si="187"/>
        <v>920.93299999999999</v>
      </c>
    </row>
    <row r="557" spans="1:15" ht="39.75" customHeight="1">
      <c r="A557" s="293" t="s">
        <v>487</v>
      </c>
      <c r="B557" s="180" t="s">
        <v>426</v>
      </c>
      <c r="C557" s="39" t="s">
        <v>33</v>
      </c>
      <c r="D557" s="39" t="s">
        <v>22</v>
      </c>
      <c r="E557" s="39" t="s">
        <v>488</v>
      </c>
      <c r="F557" s="554"/>
      <c r="G557" s="536"/>
      <c r="H557" s="302">
        <f>H558</f>
        <v>667</v>
      </c>
      <c r="I557" s="303">
        <f t="shared" ref="I557:N557" si="188">I558</f>
        <v>0</v>
      </c>
      <c r="J557" s="728">
        <f t="shared" si="188"/>
        <v>828</v>
      </c>
      <c r="K557" s="42">
        <f t="shared" si="188"/>
        <v>92.933000000000007</v>
      </c>
      <c r="L557" s="43">
        <f t="shared" si="188"/>
        <v>920.93299999999999</v>
      </c>
      <c r="M557" s="217">
        <f t="shared" si="188"/>
        <v>0</v>
      </c>
      <c r="N557" s="89">
        <f t="shared" si="188"/>
        <v>920.93299999999999</v>
      </c>
    </row>
    <row r="558" spans="1:15" ht="41.25" customHeight="1">
      <c r="A558" s="293" t="s">
        <v>514</v>
      </c>
      <c r="B558" s="180" t="s">
        <v>426</v>
      </c>
      <c r="C558" s="39" t="s">
        <v>33</v>
      </c>
      <c r="D558" s="39" t="s">
        <v>22</v>
      </c>
      <c r="E558" s="39" t="s">
        <v>470</v>
      </c>
      <c r="F558" s="554"/>
      <c r="G558" s="536"/>
      <c r="H558" s="302">
        <f>H559</f>
        <v>667</v>
      </c>
      <c r="I558" s="303">
        <f t="shared" si="187"/>
        <v>0</v>
      </c>
      <c r="J558" s="728">
        <f t="shared" si="187"/>
        <v>828</v>
      </c>
      <c r="K558" s="42">
        <f t="shared" si="187"/>
        <v>92.933000000000007</v>
      </c>
      <c r="L558" s="43">
        <f t="shared" si="187"/>
        <v>920.93299999999999</v>
      </c>
      <c r="M558" s="217">
        <f t="shared" si="187"/>
        <v>0</v>
      </c>
      <c r="N558" s="89">
        <f t="shared" si="187"/>
        <v>920.93299999999999</v>
      </c>
    </row>
    <row r="559" spans="1:15" ht="18" customHeight="1">
      <c r="A559" s="293" t="s">
        <v>471</v>
      </c>
      <c r="B559" s="180" t="s">
        <v>426</v>
      </c>
      <c r="C559" s="39" t="s">
        <v>33</v>
      </c>
      <c r="D559" s="39" t="s">
        <v>22</v>
      </c>
      <c r="E559" s="39" t="s">
        <v>470</v>
      </c>
      <c r="F559" s="554" t="s">
        <v>472</v>
      </c>
      <c r="G559" s="536"/>
      <c r="H559" s="302">
        <v>667</v>
      </c>
      <c r="I559" s="303"/>
      <c r="J559" s="728">
        <f>565+263</f>
        <v>828</v>
      </c>
      <c r="K559" s="42">
        <v>92.933000000000007</v>
      </c>
      <c r="L559" s="43">
        <f>J559+K559</f>
        <v>920.93299999999999</v>
      </c>
      <c r="M559" s="151"/>
      <c r="N559" s="45">
        <f>L559+M559</f>
        <v>920.93299999999999</v>
      </c>
      <c r="O559" s="11">
        <v>565</v>
      </c>
    </row>
    <row r="560" spans="1:15">
      <c r="A560" s="37" t="s">
        <v>67</v>
      </c>
      <c r="B560" s="38" t="s">
        <v>426</v>
      </c>
      <c r="C560" s="38" t="s">
        <v>33</v>
      </c>
      <c r="D560" s="38" t="s">
        <v>23</v>
      </c>
      <c r="E560" s="39"/>
      <c r="F560" s="554"/>
      <c r="G560" s="304"/>
      <c r="H560" s="304"/>
      <c r="I560" s="303"/>
      <c r="J560" s="734">
        <f>J561+J568+J575+J566</f>
        <v>53201.845090000003</v>
      </c>
      <c r="K560" s="830">
        <f>K561+K568+K575+K566</f>
        <v>30157.15</v>
      </c>
      <c r="L560" s="92">
        <f>L561+L568+L575+L566</f>
        <v>83358.995089999997</v>
      </c>
      <c r="M560" s="44">
        <f>M564+M568+M576</f>
        <v>0</v>
      </c>
      <c r="N560" s="45">
        <f>N564+N568+N576</f>
        <v>7219.9950900000003</v>
      </c>
    </row>
    <row r="561" spans="1:15" ht="60">
      <c r="A561" s="186" t="s">
        <v>469</v>
      </c>
      <c r="B561" s="39" t="s">
        <v>426</v>
      </c>
      <c r="C561" s="39" t="s">
        <v>33</v>
      </c>
      <c r="D561" s="39" t="s">
        <v>23</v>
      </c>
      <c r="E561" s="39" t="s">
        <v>488</v>
      </c>
      <c r="F561" s="554"/>
      <c r="G561" s="304"/>
      <c r="H561" s="304"/>
      <c r="I561" s="303"/>
      <c r="J561" s="728">
        <f>J562+J564</f>
        <v>23732.261999999999</v>
      </c>
      <c r="K561" s="42">
        <f>K562+K564</f>
        <v>29800</v>
      </c>
      <c r="L561" s="43">
        <f>L562+L564</f>
        <v>53532.262000000002</v>
      </c>
      <c r="M561" s="44"/>
      <c r="N561" s="45"/>
    </row>
    <row r="562" spans="1:15" ht="60">
      <c r="A562" s="186" t="s">
        <v>469</v>
      </c>
      <c r="B562" s="39" t="s">
        <v>426</v>
      </c>
      <c r="C562" s="39" t="s">
        <v>33</v>
      </c>
      <c r="D562" s="39" t="s">
        <v>23</v>
      </c>
      <c r="E562" s="39" t="s">
        <v>1127</v>
      </c>
      <c r="F562" s="554"/>
      <c r="G562" s="304"/>
      <c r="H562" s="304"/>
      <c r="I562" s="303"/>
      <c r="J562" s="728">
        <f>J563</f>
        <v>20000</v>
      </c>
      <c r="K562" s="42">
        <f>K563</f>
        <v>30000</v>
      </c>
      <c r="L562" s="43">
        <f>L563</f>
        <v>50000</v>
      </c>
      <c r="M562" s="44"/>
      <c r="N562" s="45"/>
    </row>
    <row r="563" spans="1:15">
      <c r="A563" s="186" t="s">
        <v>471</v>
      </c>
      <c r="B563" s="39" t="s">
        <v>426</v>
      </c>
      <c r="C563" s="39" t="s">
        <v>33</v>
      </c>
      <c r="D563" s="39" t="s">
        <v>23</v>
      </c>
      <c r="E563" s="39" t="s">
        <v>1127</v>
      </c>
      <c r="F563" s="554" t="s">
        <v>472</v>
      </c>
      <c r="G563" s="304"/>
      <c r="H563" s="304"/>
      <c r="I563" s="303"/>
      <c r="J563" s="728">
        <v>20000</v>
      </c>
      <c r="K563" s="42">
        <f>30000</f>
        <v>30000</v>
      </c>
      <c r="L563" s="43">
        <f>J563+K563</f>
        <v>50000</v>
      </c>
      <c r="M563" s="44"/>
      <c r="N563" s="45"/>
    </row>
    <row r="564" spans="1:15" ht="60">
      <c r="A564" s="186" t="s">
        <v>469</v>
      </c>
      <c r="B564" s="39" t="s">
        <v>426</v>
      </c>
      <c r="C564" s="39" t="s">
        <v>33</v>
      </c>
      <c r="D564" s="39" t="s">
        <v>23</v>
      </c>
      <c r="E564" s="39" t="s">
        <v>470</v>
      </c>
      <c r="F564" s="554"/>
      <c r="G564" s="304"/>
      <c r="H564" s="304"/>
      <c r="I564" s="303"/>
      <c r="J564" s="42">
        <f>J565</f>
        <v>3732.2620000000002</v>
      </c>
      <c r="K564" s="42">
        <f>K565</f>
        <v>-200</v>
      </c>
      <c r="L564" s="42">
        <f>L565</f>
        <v>3532.2620000000002</v>
      </c>
      <c r="M564" s="44">
        <f>M565+M566</f>
        <v>0</v>
      </c>
      <c r="N564" s="45">
        <f>N565+N566</f>
        <v>3832.2620000000002</v>
      </c>
    </row>
    <row r="565" spans="1:15" ht="16.5" customHeight="1">
      <c r="A565" s="186" t="s">
        <v>471</v>
      </c>
      <c r="B565" s="39" t="s">
        <v>426</v>
      </c>
      <c r="C565" s="39" t="s">
        <v>33</v>
      </c>
      <c r="D565" s="39" t="s">
        <v>23</v>
      </c>
      <c r="E565" s="39" t="s">
        <v>470</v>
      </c>
      <c r="F565" s="554" t="s">
        <v>472</v>
      </c>
      <c r="G565" s="304"/>
      <c r="H565" s="304"/>
      <c r="I565" s="303"/>
      <c r="J565" s="728">
        <v>3732.2620000000002</v>
      </c>
      <c r="K565" s="42">
        <v>-200</v>
      </c>
      <c r="L565" s="43">
        <f>J565+K565</f>
        <v>3532.2620000000002</v>
      </c>
      <c r="M565" s="151"/>
      <c r="N565" s="45">
        <f>L565+M565</f>
        <v>3532.2620000000002</v>
      </c>
      <c r="O565" s="11">
        <v>2905</v>
      </c>
    </row>
    <row r="566" spans="1:15" ht="30" customHeight="1">
      <c r="A566" s="46" t="s">
        <v>146</v>
      </c>
      <c r="B566" s="39" t="s">
        <v>426</v>
      </c>
      <c r="C566" s="39" t="s">
        <v>33</v>
      </c>
      <c r="D566" s="39" t="s">
        <v>23</v>
      </c>
      <c r="E566" s="39" t="s">
        <v>204</v>
      </c>
      <c r="F566" s="554"/>
      <c r="G566" s="304"/>
      <c r="H566" s="304"/>
      <c r="I566" s="303"/>
      <c r="J566" s="42">
        <f>J567</f>
        <v>0</v>
      </c>
      <c r="K566" s="42">
        <f>K567</f>
        <v>300</v>
      </c>
      <c r="L566" s="42">
        <f>L567</f>
        <v>300</v>
      </c>
      <c r="M566" s="151"/>
      <c r="N566" s="45">
        <f>L566+M566</f>
        <v>300</v>
      </c>
    </row>
    <row r="567" spans="1:15" ht="30" customHeight="1">
      <c r="A567" s="46" t="s">
        <v>198</v>
      </c>
      <c r="B567" s="39" t="s">
        <v>426</v>
      </c>
      <c r="C567" s="39" t="s">
        <v>33</v>
      </c>
      <c r="D567" s="39" t="s">
        <v>23</v>
      </c>
      <c r="E567" s="39" t="s">
        <v>204</v>
      </c>
      <c r="F567" s="554" t="s">
        <v>143</v>
      </c>
      <c r="G567" s="304"/>
      <c r="H567" s="304"/>
      <c r="I567" s="303"/>
      <c r="J567" s="88"/>
      <c r="K567" s="42">
        <v>300</v>
      </c>
      <c r="L567" s="43">
        <f>J567+K567</f>
        <v>300</v>
      </c>
      <c r="M567" s="151"/>
      <c r="N567" s="45"/>
    </row>
    <row r="568" spans="1:15" ht="15" customHeight="1">
      <c r="A568" s="186" t="s">
        <v>492</v>
      </c>
      <c r="B568" s="39" t="s">
        <v>426</v>
      </c>
      <c r="C568" s="39" t="s">
        <v>33</v>
      </c>
      <c r="D568" s="39" t="s">
        <v>23</v>
      </c>
      <c r="E568" s="39" t="s">
        <v>493</v>
      </c>
      <c r="F568" s="554"/>
      <c r="G568" s="43">
        <f t="shared" ref="G568:L568" si="189">G569+G573+G571</f>
        <v>158.01599999999999</v>
      </c>
      <c r="H568" s="42">
        <f t="shared" si="189"/>
        <v>2334</v>
      </c>
      <c r="I568" s="42">
        <f t="shared" si="189"/>
        <v>0</v>
      </c>
      <c r="J568" s="42">
        <f t="shared" si="189"/>
        <v>26139</v>
      </c>
      <c r="K568" s="42">
        <f t="shared" si="189"/>
        <v>0</v>
      </c>
      <c r="L568" s="42">
        <f t="shared" si="189"/>
        <v>26139</v>
      </c>
      <c r="M568" s="43">
        <f>M569</f>
        <v>0</v>
      </c>
      <c r="N568" s="83">
        <f>N569</f>
        <v>0</v>
      </c>
    </row>
    <row r="569" spans="1:15" ht="45">
      <c r="A569" s="176" t="s">
        <v>515</v>
      </c>
      <c r="B569" s="39" t="s">
        <v>426</v>
      </c>
      <c r="C569" s="39" t="s">
        <v>33</v>
      </c>
      <c r="D569" s="39" t="s">
        <v>23</v>
      </c>
      <c r="E569" s="39" t="s">
        <v>496</v>
      </c>
      <c r="F569" s="554"/>
      <c r="G569" s="522">
        <f t="shared" ref="G569:L569" si="190">G570</f>
        <v>52.671999999999997</v>
      </c>
      <c r="H569" s="87">
        <f t="shared" si="190"/>
        <v>778</v>
      </c>
      <c r="I569" s="86">
        <f t="shared" si="190"/>
        <v>0</v>
      </c>
      <c r="J569" s="728">
        <f t="shared" si="190"/>
        <v>0</v>
      </c>
      <c r="K569" s="42">
        <f t="shared" si="190"/>
        <v>0</v>
      </c>
      <c r="L569" s="43">
        <f t="shared" si="190"/>
        <v>0</v>
      </c>
      <c r="M569" s="43">
        <f>M570</f>
        <v>0</v>
      </c>
      <c r="N569" s="83">
        <f>N570</f>
        <v>0</v>
      </c>
    </row>
    <row r="570" spans="1:15">
      <c r="A570" s="176" t="s">
        <v>471</v>
      </c>
      <c r="B570" s="39" t="s">
        <v>426</v>
      </c>
      <c r="C570" s="39" t="s">
        <v>33</v>
      </c>
      <c r="D570" s="39" t="s">
        <v>23</v>
      </c>
      <c r="E570" s="39" t="s">
        <v>496</v>
      </c>
      <c r="F570" s="554" t="s">
        <v>472</v>
      </c>
      <c r="G570" s="522">
        <f>52.672</f>
        <v>52.671999999999997</v>
      </c>
      <c r="H570" s="41">
        <v>778</v>
      </c>
      <c r="I570" s="86"/>
      <c r="J570" s="728">
        <f>4000-4000</f>
        <v>0</v>
      </c>
      <c r="K570" s="42"/>
      <c r="L570" s="43">
        <f>J570+K570</f>
        <v>0</v>
      </c>
      <c r="M570" s="43"/>
      <c r="N570" s="45">
        <f>L570+M570</f>
        <v>0</v>
      </c>
    </row>
    <row r="571" spans="1:15" ht="45">
      <c r="A571" s="176" t="s">
        <v>515</v>
      </c>
      <c r="B571" s="39" t="s">
        <v>426</v>
      </c>
      <c r="C571" s="39" t="s">
        <v>33</v>
      </c>
      <c r="D571" s="39" t="s">
        <v>23</v>
      </c>
      <c r="E571" s="39" t="s">
        <v>495</v>
      </c>
      <c r="F571" s="554"/>
      <c r="G571" s="522">
        <f t="shared" ref="G571:L571" si="191">G572</f>
        <v>52.671999999999997</v>
      </c>
      <c r="H571" s="87">
        <f t="shared" si="191"/>
        <v>778</v>
      </c>
      <c r="I571" s="86">
        <f t="shared" si="191"/>
        <v>0</v>
      </c>
      <c r="J571" s="728">
        <f t="shared" si="191"/>
        <v>4000</v>
      </c>
      <c r="K571" s="42">
        <f t="shared" si="191"/>
        <v>0</v>
      </c>
      <c r="L571" s="43">
        <f t="shared" si="191"/>
        <v>4000</v>
      </c>
      <c r="M571" s="43"/>
      <c r="N571" s="45"/>
    </row>
    <row r="572" spans="1:15">
      <c r="A572" s="176" t="s">
        <v>471</v>
      </c>
      <c r="B572" s="39" t="s">
        <v>426</v>
      </c>
      <c r="C572" s="39" t="s">
        <v>33</v>
      </c>
      <c r="D572" s="39" t="s">
        <v>23</v>
      </c>
      <c r="E572" s="39" t="s">
        <v>495</v>
      </c>
      <c r="F572" s="554" t="s">
        <v>472</v>
      </c>
      <c r="G572" s="522">
        <f>52.672</f>
        <v>52.671999999999997</v>
      </c>
      <c r="H572" s="41">
        <v>778</v>
      </c>
      <c r="I572" s="86"/>
      <c r="J572" s="728">
        <f>4000</f>
        <v>4000</v>
      </c>
      <c r="K572" s="42"/>
      <c r="L572" s="43">
        <f>J572+K572</f>
        <v>4000</v>
      </c>
      <c r="M572" s="43"/>
      <c r="N572" s="45"/>
    </row>
    <row r="573" spans="1:15" ht="45">
      <c r="A573" s="176" t="s">
        <v>516</v>
      </c>
      <c r="B573" s="39" t="s">
        <v>426</v>
      </c>
      <c r="C573" s="39" t="s">
        <v>33</v>
      </c>
      <c r="D573" s="39" t="s">
        <v>23</v>
      </c>
      <c r="E573" s="39" t="s">
        <v>517</v>
      </c>
      <c r="F573" s="554"/>
      <c r="G573" s="522">
        <f t="shared" ref="G573:L573" si="192">G574</f>
        <v>52.671999999999997</v>
      </c>
      <c r="H573" s="87">
        <f t="shared" si="192"/>
        <v>778</v>
      </c>
      <c r="I573" s="86">
        <f t="shared" si="192"/>
        <v>0</v>
      </c>
      <c r="J573" s="728">
        <f t="shared" si="192"/>
        <v>22139</v>
      </c>
      <c r="K573" s="42">
        <f t="shared" si="192"/>
        <v>0</v>
      </c>
      <c r="L573" s="43">
        <f t="shared" si="192"/>
        <v>22139</v>
      </c>
      <c r="M573" s="43"/>
      <c r="N573" s="45"/>
    </row>
    <row r="574" spans="1:15">
      <c r="A574" s="176" t="s">
        <v>471</v>
      </c>
      <c r="B574" s="39" t="s">
        <v>426</v>
      </c>
      <c r="C574" s="39" t="s">
        <v>33</v>
      </c>
      <c r="D574" s="39" t="s">
        <v>23</v>
      </c>
      <c r="E574" s="39" t="s">
        <v>517</v>
      </c>
      <c r="F574" s="554" t="s">
        <v>472</v>
      </c>
      <c r="G574" s="522">
        <f>52.672</f>
        <v>52.671999999999997</v>
      </c>
      <c r="H574" s="41">
        <v>778</v>
      </c>
      <c r="I574" s="86"/>
      <c r="J574" s="728">
        <v>22139</v>
      </c>
      <c r="K574" s="42"/>
      <c r="L574" s="43">
        <f>J574+K574</f>
        <v>22139</v>
      </c>
      <c r="M574" s="43"/>
      <c r="N574" s="45"/>
    </row>
    <row r="575" spans="1:15" ht="75">
      <c r="A575" s="46" t="s">
        <v>518</v>
      </c>
      <c r="B575" s="39" t="s">
        <v>426</v>
      </c>
      <c r="C575" s="39" t="s">
        <v>33</v>
      </c>
      <c r="D575" s="39" t="s">
        <v>23</v>
      </c>
      <c r="E575" s="39" t="s">
        <v>215</v>
      </c>
      <c r="F575" s="554"/>
      <c r="G575" s="522"/>
      <c r="H575" s="41"/>
      <c r="I575" s="86"/>
      <c r="J575" s="728">
        <f>J576</f>
        <v>3330.5830900000001</v>
      </c>
      <c r="K575" s="42">
        <f>K576</f>
        <v>57.149999999999991</v>
      </c>
      <c r="L575" s="43">
        <f>L576</f>
        <v>3387.7330900000002</v>
      </c>
      <c r="M575" s="43"/>
      <c r="N575" s="45"/>
    </row>
    <row r="576" spans="1:15" ht="28.5" customHeight="1">
      <c r="A576" s="46" t="s">
        <v>146</v>
      </c>
      <c r="B576" s="39" t="s">
        <v>426</v>
      </c>
      <c r="C576" s="39" t="s">
        <v>33</v>
      </c>
      <c r="D576" s="39" t="s">
        <v>23</v>
      </c>
      <c r="E576" s="39" t="s">
        <v>216</v>
      </c>
      <c r="F576" s="554"/>
      <c r="G576" s="291">
        <f t="shared" ref="G576:N576" si="193">G577</f>
        <v>200</v>
      </c>
      <c r="H576" s="62">
        <f t="shared" si="193"/>
        <v>0</v>
      </c>
      <c r="I576" s="61">
        <f t="shared" si="193"/>
        <v>0</v>
      </c>
      <c r="J576" s="728">
        <f t="shared" si="193"/>
        <v>3330.5830900000001</v>
      </c>
      <c r="K576" s="42">
        <f t="shared" si="193"/>
        <v>57.149999999999991</v>
      </c>
      <c r="L576" s="43">
        <f t="shared" si="193"/>
        <v>3387.7330900000002</v>
      </c>
      <c r="M576" s="63">
        <f t="shared" si="193"/>
        <v>0</v>
      </c>
      <c r="N576" s="64">
        <f t="shared" si="193"/>
        <v>3387.7330900000002</v>
      </c>
    </row>
    <row r="577" spans="1:16" ht="18" customHeight="1">
      <c r="A577" s="46" t="s">
        <v>305</v>
      </c>
      <c r="B577" s="39" t="s">
        <v>426</v>
      </c>
      <c r="C577" s="39" t="s">
        <v>33</v>
      </c>
      <c r="D577" s="39" t="s">
        <v>23</v>
      </c>
      <c r="E577" s="39" t="s">
        <v>216</v>
      </c>
      <c r="F577" s="554" t="s">
        <v>306</v>
      </c>
      <c r="G577" s="291">
        <v>200</v>
      </c>
      <c r="H577" s="41"/>
      <c r="I577" s="61"/>
      <c r="J577" s="728">
        <v>3330.5830900000001</v>
      </c>
      <c r="K577" s="42">
        <f>101.85-44.7</f>
        <v>57.149999999999991</v>
      </c>
      <c r="L577" s="43">
        <f>J577+K577</f>
        <v>3387.7330900000002</v>
      </c>
      <c r="M577" s="63"/>
      <c r="N577" s="45">
        <f>L577+M577</f>
        <v>3387.7330900000002</v>
      </c>
      <c r="O577" s="47">
        <v>3100.93</v>
      </c>
    </row>
    <row r="578" spans="1:16" s="179" customFormat="1" ht="28.5">
      <c r="A578" s="282" t="s">
        <v>319</v>
      </c>
      <c r="B578" s="38" t="s">
        <v>426</v>
      </c>
      <c r="C578" s="38" t="s">
        <v>33</v>
      </c>
      <c r="D578" s="38" t="s">
        <v>29</v>
      </c>
      <c r="E578" s="38"/>
      <c r="F578" s="556"/>
      <c r="G578" s="538">
        <f t="shared" ref="G578:M578" si="194">G579+G582</f>
        <v>50</v>
      </c>
      <c r="H578" s="84">
        <f t="shared" si="194"/>
        <v>0</v>
      </c>
      <c r="I578" s="175">
        <f t="shared" si="194"/>
        <v>0</v>
      </c>
      <c r="J578" s="734">
        <f>J579+J582</f>
        <v>310.39999999999998</v>
      </c>
      <c r="K578" s="91">
        <f t="shared" si="194"/>
        <v>0</v>
      </c>
      <c r="L578" s="92">
        <f>L579+L582</f>
        <v>310.39999999999998</v>
      </c>
      <c r="M578" s="108">
        <f t="shared" si="194"/>
        <v>0</v>
      </c>
      <c r="N578" s="203">
        <f>N579+N582</f>
        <v>310.39999999999998</v>
      </c>
    </row>
    <row r="579" spans="1:16" ht="30">
      <c r="A579" s="287" t="s">
        <v>129</v>
      </c>
      <c r="B579" s="39" t="s">
        <v>426</v>
      </c>
      <c r="C579" s="39" t="s">
        <v>33</v>
      </c>
      <c r="D579" s="39" t="s">
        <v>29</v>
      </c>
      <c r="E579" s="39" t="s">
        <v>130</v>
      </c>
      <c r="F579" s="554"/>
      <c r="G579" s="291">
        <f t="shared" ref="G579:N580" si="195">G580</f>
        <v>-42.5</v>
      </c>
      <c r="H579" s="62">
        <f t="shared" si="195"/>
        <v>0</v>
      </c>
      <c r="I579" s="61">
        <f t="shared" si="195"/>
        <v>0</v>
      </c>
      <c r="J579" s="728">
        <f t="shared" si="195"/>
        <v>310.39999999999998</v>
      </c>
      <c r="K579" s="42">
        <f t="shared" si="195"/>
        <v>0</v>
      </c>
      <c r="L579" s="43">
        <f t="shared" si="195"/>
        <v>310.39999999999998</v>
      </c>
      <c r="M579" s="63">
        <f t="shared" si="195"/>
        <v>0</v>
      </c>
      <c r="N579" s="64">
        <f t="shared" si="195"/>
        <v>310.39999999999998</v>
      </c>
    </row>
    <row r="580" spans="1:16" ht="30">
      <c r="A580" s="287" t="s">
        <v>131</v>
      </c>
      <c r="B580" s="39" t="s">
        <v>426</v>
      </c>
      <c r="C580" s="39" t="s">
        <v>33</v>
      </c>
      <c r="D580" s="39" t="s">
        <v>29</v>
      </c>
      <c r="E580" s="39" t="s">
        <v>132</v>
      </c>
      <c r="F580" s="554"/>
      <c r="G580" s="291">
        <f t="shared" si="195"/>
        <v>-42.5</v>
      </c>
      <c r="H580" s="62">
        <f t="shared" si="195"/>
        <v>0</v>
      </c>
      <c r="I580" s="61">
        <f t="shared" si="195"/>
        <v>0</v>
      </c>
      <c r="J580" s="728">
        <f t="shared" si="195"/>
        <v>310.39999999999998</v>
      </c>
      <c r="K580" s="42">
        <f t="shared" si="195"/>
        <v>0</v>
      </c>
      <c r="L580" s="43">
        <f t="shared" si="195"/>
        <v>310.39999999999998</v>
      </c>
      <c r="M580" s="63">
        <f t="shared" si="195"/>
        <v>0</v>
      </c>
      <c r="N580" s="64">
        <f t="shared" si="195"/>
        <v>310.39999999999998</v>
      </c>
    </row>
    <row r="581" spans="1:16" ht="30">
      <c r="A581" s="287" t="s">
        <v>519</v>
      </c>
      <c r="B581" s="39" t="s">
        <v>426</v>
      </c>
      <c r="C581" s="39" t="s">
        <v>33</v>
      </c>
      <c r="D581" s="39" t="s">
        <v>29</v>
      </c>
      <c r="E581" s="39" t="s">
        <v>132</v>
      </c>
      <c r="F581" s="554" t="s">
        <v>134</v>
      </c>
      <c r="G581" s="291">
        <v>-42.5</v>
      </c>
      <c r="H581" s="41"/>
      <c r="I581" s="61"/>
      <c r="J581" s="728">
        <f>426-115.6</f>
        <v>310.39999999999998</v>
      </c>
      <c r="K581" s="42"/>
      <c r="L581" s="43">
        <f>J581+K581</f>
        <v>310.39999999999998</v>
      </c>
      <c r="M581" s="63"/>
      <c r="N581" s="45">
        <f>L581+M581</f>
        <v>310.39999999999998</v>
      </c>
      <c r="O581" s="65">
        <v>317.2</v>
      </c>
      <c r="P581" s="66">
        <f>L581-O581</f>
        <v>-6.8000000000000114</v>
      </c>
    </row>
    <row r="582" spans="1:16" ht="30" hidden="1">
      <c r="A582" s="46" t="s">
        <v>131</v>
      </c>
      <c r="B582" s="39" t="s">
        <v>426</v>
      </c>
      <c r="C582" s="39" t="s">
        <v>33</v>
      </c>
      <c r="D582" s="39" t="s">
        <v>29</v>
      </c>
      <c r="E582" s="39" t="s">
        <v>135</v>
      </c>
      <c r="F582" s="554"/>
      <c r="G582" s="515">
        <f t="shared" ref="G582:N582" si="196">G583</f>
        <v>92.5</v>
      </c>
      <c r="H582" s="41">
        <f t="shared" si="196"/>
        <v>0</v>
      </c>
      <c r="I582" s="40">
        <f t="shared" si="196"/>
        <v>0</v>
      </c>
      <c r="J582" s="728">
        <f t="shared" si="196"/>
        <v>0</v>
      </c>
      <c r="K582" s="42">
        <f t="shared" si="196"/>
        <v>0</v>
      </c>
      <c r="L582" s="43">
        <f t="shared" si="196"/>
        <v>0</v>
      </c>
      <c r="M582" s="44">
        <f t="shared" si="196"/>
        <v>0</v>
      </c>
      <c r="N582" s="45">
        <f t="shared" si="196"/>
        <v>0</v>
      </c>
    </row>
    <row r="583" spans="1:16" ht="30" hidden="1">
      <c r="A583" s="46" t="s">
        <v>136</v>
      </c>
      <c r="B583" s="39" t="s">
        <v>426</v>
      </c>
      <c r="C583" s="39" t="s">
        <v>33</v>
      </c>
      <c r="D583" s="39" t="s">
        <v>29</v>
      </c>
      <c r="E583" s="39" t="s">
        <v>135</v>
      </c>
      <c r="F583" s="554" t="s">
        <v>134</v>
      </c>
      <c r="G583" s="515">
        <f>42.5+50</f>
        <v>92.5</v>
      </c>
      <c r="H583" s="41"/>
      <c r="I583" s="40"/>
      <c r="J583" s="728"/>
      <c r="K583" s="42"/>
      <c r="L583" s="43">
        <f>J583+K583</f>
        <v>0</v>
      </c>
      <c r="M583" s="44"/>
      <c r="N583" s="45">
        <f>L583+M583</f>
        <v>0</v>
      </c>
    </row>
    <row r="584" spans="1:16" s="179" customFormat="1" ht="30">
      <c r="A584" s="186" t="s">
        <v>69</v>
      </c>
      <c r="B584" s="38" t="s">
        <v>426</v>
      </c>
      <c r="C584" s="38" t="s">
        <v>33</v>
      </c>
      <c r="D584" s="38" t="s">
        <v>33</v>
      </c>
      <c r="E584" s="38"/>
      <c r="F584" s="556"/>
      <c r="G584" s="518">
        <f t="shared" ref="G584:N585" si="197">G585</f>
        <v>0</v>
      </c>
      <c r="H584" s="90">
        <f t="shared" si="197"/>
        <v>15.72</v>
      </c>
      <c r="I584" s="67">
        <f t="shared" si="197"/>
        <v>0</v>
      </c>
      <c r="J584" s="734">
        <f t="shared" si="197"/>
        <v>0</v>
      </c>
      <c r="K584" s="91">
        <f t="shared" si="197"/>
        <v>15.5</v>
      </c>
      <c r="L584" s="92">
        <f t="shared" si="197"/>
        <v>15.5</v>
      </c>
      <c r="M584" s="147">
        <f t="shared" si="197"/>
        <v>0</v>
      </c>
      <c r="N584" s="148">
        <f t="shared" si="197"/>
        <v>15.5</v>
      </c>
    </row>
    <row r="585" spans="1:16" ht="45">
      <c r="A585" s="186" t="s">
        <v>1215</v>
      </c>
      <c r="B585" s="39" t="s">
        <v>426</v>
      </c>
      <c r="C585" s="39" t="s">
        <v>33</v>
      </c>
      <c r="D585" s="39" t="s">
        <v>33</v>
      </c>
      <c r="E585" s="39" t="s">
        <v>1198</v>
      </c>
      <c r="F585" s="554"/>
      <c r="G585" s="291">
        <f t="shared" si="197"/>
        <v>0</v>
      </c>
      <c r="H585" s="62">
        <f t="shared" si="197"/>
        <v>15.72</v>
      </c>
      <c r="I585" s="61">
        <f t="shared" si="197"/>
        <v>0</v>
      </c>
      <c r="J585" s="728">
        <f t="shared" si="197"/>
        <v>0</v>
      </c>
      <c r="K585" s="42">
        <f t="shared" si="197"/>
        <v>15.5</v>
      </c>
      <c r="L585" s="43">
        <f t="shared" si="197"/>
        <v>15.5</v>
      </c>
      <c r="M585" s="63">
        <f t="shared" si="197"/>
        <v>0</v>
      </c>
      <c r="N585" s="64">
        <f t="shared" si="197"/>
        <v>15.5</v>
      </c>
    </row>
    <row r="586" spans="1:16" ht="30">
      <c r="A586" s="186" t="s">
        <v>136</v>
      </c>
      <c r="B586" s="39" t="s">
        <v>426</v>
      </c>
      <c r="C586" s="39" t="s">
        <v>33</v>
      </c>
      <c r="D586" s="39" t="s">
        <v>33</v>
      </c>
      <c r="E586" s="39" t="s">
        <v>1198</v>
      </c>
      <c r="F586" s="554" t="s">
        <v>134</v>
      </c>
      <c r="G586" s="291"/>
      <c r="H586" s="241">
        <v>15.72</v>
      </c>
      <c r="I586" s="61"/>
      <c r="J586" s="728"/>
      <c r="K586" s="42">
        <v>15.5</v>
      </c>
      <c r="L586" s="43">
        <f>J586+K586</f>
        <v>15.5</v>
      </c>
      <c r="M586" s="63"/>
      <c r="N586" s="45">
        <f>L586+M586</f>
        <v>15.5</v>
      </c>
    </row>
    <row r="587" spans="1:16" s="272" customFormat="1" ht="28.5">
      <c r="A587" s="289" t="s">
        <v>522</v>
      </c>
      <c r="B587" s="49" t="s">
        <v>426</v>
      </c>
      <c r="C587" s="49" t="s">
        <v>54</v>
      </c>
      <c r="D587" s="49"/>
      <c r="E587" s="49"/>
      <c r="F587" s="562"/>
      <c r="G587" s="517">
        <f>G594+G602</f>
        <v>50</v>
      </c>
      <c r="H587" s="58">
        <f>H594+H602</f>
        <v>710</v>
      </c>
      <c r="I587" s="57">
        <f>I594+I602</f>
        <v>0</v>
      </c>
      <c r="J587" s="52">
        <f>J594+J602+J588+J598</f>
        <v>129.74</v>
      </c>
      <c r="K587" s="729">
        <f>K594+K602+K588+K598</f>
        <v>0</v>
      </c>
      <c r="L587" s="53">
        <f>L594+L602+L588+L598</f>
        <v>129.74</v>
      </c>
      <c r="M587" s="59">
        <f>M594+M602+M588</f>
        <v>-102</v>
      </c>
      <c r="N587" s="60">
        <f>N594+N602+N588</f>
        <v>-102</v>
      </c>
    </row>
    <row r="588" spans="1:16" s="272" customFormat="1" hidden="1">
      <c r="A588" s="176" t="s">
        <v>73</v>
      </c>
      <c r="B588" s="38" t="s">
        <v>426</v>
      </c>
      <c r="C588" s="38" t="s">
        <v>54</v>
      </c>
      <c r="D588" s="38" t="s">
        <v>22</v>
      </c>
      <c r="E588" s="49"/>
      <c r="F588" s="562"/>
      <c r="G588" s="517"/>
      <c r="H588" s="58"/>
      <c r="I588" s="57"/>
      <c r="J588" s="734">
        <f>J589+J592</f>
        <v>0</v>
      </c>
      <c r="K588" s="91">
        <f>K589+K592</f>
        <v>0</v>
      </c>
      <c r="L588" s="92">
        <f>L589+L592</f>
        <v>0</v>
      </c>
      <c r="M588" s="147">
        <f>M589</f>
        <v>0</v>
      </c>
      <c r="N588" s="148">
        <f>N589</f>
        <v>0</v>
      </c>
    </row>
    <row r="589" spans="1:16" s="272" customFormat="1" ht="60" hidden="1">
      <c r="A589" s="176" t="s">
        <v>469</v>
      </c>
      <c r="B589" s="39" t="s">
        <v>426</v>
      </c>
      <c r="C589" s="39" t="s">
        <v>54</v>
      </c>
      <c r="D589" s="39" t="s">
        <v>22</v>
      </c>
      <c r="E589" s="39" t="s">
        <v>489</v>
      </c>
      <c r="F589" s="554"/>
      <c r="G589" s="548"/>
      <c r="H589" s="306"/>
      <c r="I589" s="305"/>
      <c r="J589" s="728">
        <f>J590+J591</f>
        <v>0</v>
      </c>
      <c r="K589" s="42">
        <f>K590+K591</f>
        <v>0</v>
      </c>
      <c r="L589" s="43">
        <f>L590+L591</f>
        <v>0</v>
      </c>
      <c r="M589" s="63">
        <f>M590+M591</f>
        <v>0</v>
      </c>
      <c r="N589" s="64">
        <f>N590+N591</f>
        <v>0</v>
      </c>
    </row>
    <row r="590" spans="1:16" s="272" customFormat="1" hidden="1">
      <c r="A590" s="176" t="s">
        <v>471</v>
      </c>
      <c r="B590" s="39" t="s">
        <v>426</v>
      </c>
      <c r="C590" s="39" t="s">
        <v>54</v>
      </c>
      <c r="D590" s="39" t="s">
        <v>22</v>
      </c>
      <c r="E590" s="39" t="s">
        <v>484</v>
      </c>
      <c r="F590" s="554" t="s">
        <v>472</v>
      </c>
      <c r="G590" s="548"/>
      <c r="H590" s="306"/>
      <c r="I590" s="305"/>
      <c r="J590" s="768"/>
      <c r="K590" s="769"/>
      <c r="L590" s="43">
        <f>J590+K590</f>
        <v>0</v>
      </c>
      <c r="M590" s="307"/>
      <c r="N590" s="308">
        <f>L590+M590</f>
        <v>0</v>
      </c>
    </row>
    <row r="591" spans="1:16" s="272" customFormat="1" ht="30" hidden="1">
      <c r="A591" s="176" t="s">
        <v>483</v>
      </c>
      <c r="B591" s="39" t="s">
        <v>426</v>
      </c>
      <c r="C591" s="39" t="s">
        <v>54</v>
      </c>
      <c r="D591" s="39" t="s">
        <v>22</v>
      </c>
      <c r="E591" s="39" t="s">
        <v>470</v>
      </c>
      <c r="F591" s="554" t="s">
        <v>472</v>
      </c>
      <c r="G591" s="548"/>
      <c r="H591" s="306"/>
      <c r="I591" s="305"/>
      <c r="J591" s="768"/>
      <c r="K591" s="42">
        <f>1550-759.14-690.86-100</f>
        <v>0</v>
      </c>
      <c r="L591" s="43">
        <f>J591+K591</f>
        <v>0</v>
      </c>
      <c r="M591" s="307"/>
      <c r="N591" s="308">
        <f>L591+M591</f>
        <v>0</v>
      </c>
      <c r="O591" s="206"/>
    </row>
    <row r="592" spans="1:16" s="272" customFormat="1" ht="30" hidden="1">
      <c r="A592" s="296" t="s">
        <v>523</v>
      </c>
      <c r="B592" s="39" t="s">
        <v>426</v>
      </c>
      <c r="C592" s="39" t="s">
        <v>54</v>
      </c>
      <c r="D592" s="39" t="s">
        <v>22</v>
      </c>
      <c r="E592" s="39" t="s">
        <v>524</v>
      </c>
      <c r="F592" s="554"/>
      <c r="G592" s="548"/>
      <c r="H592" s="306"/>
      <c r="I592" s="305"/>
      <c r="J592" s="728">
        <f>J593</f>
        <v>0</v>
      </c>
      <c r="K592" s="42">
        <f>K593</f>
        <v>0</v>
      </c>
      <c r="L592" s="43">
        <f>L593</f>
        <v>0</v>
      </c>
      <c r="M592" s="307"/>
      <c r="N592" s="308"/>
    </row>
    <row r="593" spans="1:15" s="272" customFormat="1" hidden="1">
      <c r="A593" s="186" t="s">
        <v>471</v>
      </c>
      <c r="B593" s="39" t="s">
        <v>426</v>
      </c>
      <c r="C593" s="39" t="s">
        <v>54</v>
      </c>
      <c r="D593" s="39" t="s">
        <v>22</v>
      </c>
      <c r="E593" s="39" t="s">
        <v>496</v>
      </c>
      <c r="F593" s="554" t="s">
        <v>472</v>
      </c>
      <c r="G593" s="548"/>
      <c r="H593" s="306"/>
      <c r="I593" s="305"/>
      <c r="J593" s="728"/>
      <c r="K593" s="42"/>
      <c r="L593" s="43">
        <f>J593+K593</f>
        <v>0</v>
      </c>
      <c r="M593" s="307"/>
      <c r="N593" s="308"/>
      <c r="O593" s="272">
        <v>8000</v>
      </c>
    </row>
    <row r="594" spans="1:15" s="179" customFormat="1" ht="27.75" hidden="1" customHeight="1">
      <c r="A594" s="174" t="s">
        <v>74</v>
      </c>
      <c r="B594" s="38" t="s">
        <v>426</v>
      </c>
      <c r="C594" s="38" t="s">
        <v>54</v>
      </c>
      <c r="D594" s="38" t="s">
        <v>27</v>
      </c>
      <c r="E594" s="38"/>
      <c r="F594" s="556"/>
      <c r="G594" s="518">
        <f t="shared" ref="G594:N596" si="198">G595</f>
        <v>0</v>
      </c>
      <c r="H594" s="90">
        <f t="shared" si="198"/>
        <v>666</v>
      </c>
      <c r="I594" s="67">
        <f t="shared" si="198"/>
        <v>0</v>
      </c>
      <c r="J594" s="734">
        <f>J595</f>
        <v>0</v>
      </c>
      <c r="K594" s="91">
        <f t="shared" si="198"/>
        <v>0</v>
      </c>
      <c r="L594" s="92">
        <f t="shared" si="198"/>
        <v>0</v>
      </c>
      <c r="M594" s="63">
        <f t="shared" si="198"/>
        <v>20</v>
      </c>
      <c r="N594" s="64">
        <f t="shared" si="198"/>
        <v>20</v>
      </c>
    </row>
    <row r="595" spans="1:15" ht="60" hidden="1">
      <c r="A595" s="176" t="s">
        <v>525</v>
      </c>
      <c r="B595" s="39" t="s">
        <v>426</v>
      </c>
      <c r="C595" s="39" t="s">
        <v>54</v>
      </c>
      <c r="D595" s="39" t="s">
        <v>27</v>
      </c>
      <c r="E595" s="39" t="s">
        <v>526</v>
      </c>
      <c r="F595" s="554"/>
      <c r="G595" s="291">
        <f t="shared" si="198"/>
        <v>0</v>
      </c>
      <c r="H595" s="62">
        <f t="shared" si="198"/>
        <v>666</v>
      </c>
      <c r="I595" s="61">
        <f t="shared" si="198"/>
        <v>0</v>
      </c>
      <c r="J595" s="728">
        <f>J596</f>
        <v>0</v>
      </c>
      <c r="K595" s="42">
        <f t="shared" si="198"/>
        <v>0</v>
      </c>
      <c r="L595" s="43">
        <f t="shared" si="198"/>
        <v>0</v>
      </c>
      <c r="M595" s="63">
        <f t="shared" si="198"/>
        <v>20</v>
      </c>
      <c r="N595" s="64">
        <f t="shared" si="198"/>
        <v>20</v>
      </c>
    </row>
    <row r="596" spans="1:15" ht="45" hidden="1">
      <c r="A596" s="186" t="s">
        <v>527</v>
      </c>
      <c r="B596" s="39" t="s">
        <v>426</v>
      </c>
      <c r="C596" s="39" t="s">
        <v>54</v>
      </c>
      <c r="D596" s="39" t="s">
        <v>27</v>
      </c>
      <c r="E596" s="39" t="s">
        <v>528</v>
      </c>
      <c r="F596" s="554"/>
      <c r="G596" s="291">
        <f t="shared" si="198"/>
        <v>0</v>
      </c>
      <c r="H596" s="62">
        <f t="shared" si="198"/>
        <v>666</v>
      </c>
      <c r="I596" s="61">
        <f t="shared" si="198"/>
        <v>0</v>
      </c>
      <c r="J596" s="728">
        <f>J597</f>
        <v>0</v>
      </c>
      <c r="K596" s="42">
        <f t="shared" si="198"/>
        <v>0</v>
      </c>
      <c r="L596" s="43">
        <f t="shared" si="198"/>
        <v>0</v>
      </c>
      <c r="M596" s="63">
        <f t="shared" si="198"/>
        <v>20</v>
      </c>
      <c r="N596" s="64">
        <f t="shared" si="198"/>
        <v>20</v>
      </c>
    </row>
    <row r="597" spans="1:15" hidden="1">
      <c r="A597" s="186" t="s">
        <v>305</v>
      </c>
      <c r="B597" s="39" t="s">
        <v>426</v>
      </c>
      <c r="C597" s="39" t="s">
        <v>54</v>
      </c>
      <c r="D597" s="39" t="s">
        <v>27</v>
      </c>
      <c r="E597" s="39" t="s">
        <v>528</v>
      </c>
      <c r="F597" s="554" t="s">
        <v>306</v>
      </c>
      <c r="G597" s="291"/>
      <c r="H597" s="241">
        <v>666</v>
      </c>
      <c r="I597" s="61"/>
      <c r="J597" s="728"/>
      <c r="K597" s="42"/>
      <c r="L597" s="43">
        <f>J597+K597</f>
        <v>0</v>
      </c>
      <c r="M597" s="63">
        <v>20</v>
      </c>
      <c r="N597" s="45">
        <f>L597+M597</f>
        <v>20</v>
      </c>
      <c r="O597" s="65"/>
    </row>
    <row r="598" spans="1:15" ht="29.25">
      <c r="A598" s="174" t="s">
        <v>529</v>
      </c>
      <c r="B598" s="38" t="s">
        <v>426</v>
      </c>
      <c r="C598" s="38" t="s">
        <v>54</v>
      </c>
      <c r="D598" s="38" t="s">
        <v>27</v>
      </c>
      <c r="E598" s="38"/>
      <c r="F598" s="556"/>
      <c r="G598" s="518">
        <f t="shared" ref="G598:L600" si="199">G599</f>
        <v>50</v>
      </c>
      <c r="H598" s="90">
        <f t="shared" si="199"/>
        <v>44</v>
      </c>
      <c r="I598" s="67">
        <f t="shared" si="199"/>
        <v>0</v>
      </c>
      <c r="J598" s="734">
        <f>J599</f>
        <v>129.74</v>
      </c>
      <c r="K598" s="91">
        <f t="shared" si="199"/>
        <v>0</v>
      </c>
      <c r="L598" s="92">
        <f t="shared" si="199"/>
        <v>129.74</v>
      </c>
      <c r="M598" s="63"/>
      <c r="N598" s="45"/>
      <c r="O598" s="65"/>
    </row>
    <row r="599" spans="1:15" ht="45">
      <c r="A599" s="176" t="s">
        <v>530</v>
      </c>
      <c r="B599" s="39" t="s">
        <v>426</v>
      </c>
      <c r="C599" s="39" t="s">
        <v>54</v>
      </c>
      <c r="D599" s="39" t="s">
        <v>27</v>
      </c>
      <c r="E599" s="39" t="s">
        <v>176</v>
      </c>
      <c r="F599" s="554"/>
      <c r="G599" s="291">
        <f t="shared" si="199"/>
        <v>50</v>
      </c>
      <c r="H599" s="62">
        <f t="shared" si="199"/>
        <v>44</v>
      </c>
      <c r="I599" s="61">
        <f t="shared" si="199"/>
        <v>0</v>
      </c>
      <c r="J599" s="728">
        <f t="shared" si="199"/>
        <v>129.74</v>
      </c>
      <c r="K599" s="42">
        <f t="shared" si="199"/>
        <v>0</v>
      </c>
      <c r="L599" s="43">
        <f t="shared" si="199"/>
        <v>129.74</v>
      </c>
      <c r="M599" s="63"/>
      <c r="N599" s="45"/>
      <c r="O599" s="65"/>
    </row>
    <row r="600" spans="1:15" ht="30">
      <c r="A600" s="176" t="s">
        <v>146</v>
      </c>
      <c r="B600" s="39" t="s">
        <v>426</v>
      </c>
      <c r="C600" s="39" t="s">
        <v>54</v>
      </c>
      <c r="D600" s="39" t="s">
        <v>27</v>
      </c>
      <c r="E600" s="39" t="s">
        <v>177</v>
      </c>
      <c r="F600" s="554"/>
      <c r="G600" s="291">
        <f t="shared" si="199"/>
        <v>50</v>
      </c>
      <c r="H600" s="62">
        <f t="shared" si="199"/>
        <v>44</v>
      </c>
      <c r="I600" s="61">
        <f t="shared" si="199"/>
        <v>0</v>
      </c>
      <c r="J600" s="728">
        <f t="shared" si="199"/>
        <v>129.74</v>
      </c>
      <c r="K600" s="42">
        <f t="shared" si="199"/>
        <v>0</v>
      </c>
      <c r="L600" s="43">
        <f t="shared" si="199"/>
        <v>129.74</v>
      </c>
      <c r="M600" s="63"/>
      <c r="N600" s="45"/>
      <c r="O600" s="65"/>
    </row>
    <row r="601" spans="1:15" ht="30">
      <c r="A601" s="176" t="s">
        <v>142</v>
      </c>
      <c r="B601" s="39" t="s">
        <v>426</v>
      </c>
      <c r="C601" s="39" t="s">
        <v>54</v>
      </c>
      <c r="D601" s="39" t="s">
        <v>27</v>
      </c>
      <c r="E601" s="39" t="s">
        <v>177</v>
      </c>
      <c r="F601" s="554" t="s">
        <v>143</v>
      </c>
      <c r="G601" s="291">
        <v>50</v>
      </c>
      <c r="H601" s="241">
        <v>44</v>
      </c>
      <c r="I601" s="61"/>
      <c r="J601" s="728">
        <v>129.74</v>
      </c>
      <c r="K601" s="42"/>
      <c r="L601" s="43">
        <f>J601+K601</f>
        <v>129.74</v>
      </c>
      <c r="M601" s="63"/>
      <c r="N601" s="45"/>
      <c r="O601" s="65"/>
    </row>
    <row r="602" spans="1:15" s="179" customFormat="1" ht="42.75" hidden="1">
      <c r="A602" s="174" t="s">
        <v>531</v>
      </c>
      <c r="B602" s="38" t="s">
        <v>426</v>
      </c>
      <c r="C602" s="38" t="s">
        <v>54</v>
      </c>
      <c r="D602" s="38" t="s">
        <v>31</v>
      </c>
      <c r="E602" s="38"/>
      <c r="F602" s="556"/>
      <c r="G602" s="518">
        <f t="shared" ref="G602:N604" si="200">G603</f>
        <v>50</v>
      </c>
      <c r="H602" s="90">
        <f t="shared" si="200"/>
        <v>44</v>
      </c>
      <c r="I602" s="67">
        <f t="shared" si="200"/>
        <v>0</v>
      </c>
      <c r="J602" s="734">
        <f t="shared" si="200"/>
        <v>0</v>
      </c>
      <c r="K602" s="91">
        <f t="shared" si="200"/>
        <v>0</v>
      </c>
      <c r="L602" s="92">
        <f t="shared" si="200"/>
        <v>0</v>
      </c>
      <c r="M602" s="147">
        <f t="shared" si="200"/>
        <v>-122</v>
      </c>
      <c r="N602" s="148">
        <f t="shared" si="200"/>
        <v>-122</v>
      </c>
    </row>
    <row r="603" spans="1:15" ht="45" hidden="1">
      <c r="A603" s="176" t="s">
        <v>530</v>
      </c>
      <c r="B603" s="39" t="s">
        <v>426</v>
      </c>
      <c r="C603" s="39" t="s">
        <v>54</v>
      </c>
      <c r="D603" s="39" t="s">
        <v>31</v>
      </c>
      <c r="E603" s="39" t="s">
        <v>176</v>
      </c>
      <c r="F603" s="554"/>
      <c r="G603" s="291">
        <f t="shared" si="200"/>
        <v>50</v>
      </c>
      <c r="H603" s="62">
        <f t="shared" si="200"/>
        <v>44</v>
      </c>
      <c r="I603" s="61">
        <f t="shared" si="200"/>
        <v>0</v>
      </c>
      <c r="J603" s="728">
        <f t="shared" si="200"/>
        <v>0</v>
      </c>
      <c r="K603" s="42">
        <f t="shared" si="200"/>
        <v>0</v>
      </c>
      <c r="L603" s="43">
        <f t="shared" si="200"/>
        <v>0</v>
      </c>
      <c r="M603" s="63">
        <f t="shared" si="200"/>
        <v>-122</v>
      </c>
      <c r="N603" s="64">
        <f t="shared" si="200"/>
        <v>-122</v>
      </c>
    </row>
    <row r="604" spans="1:15" ht="30" hidden="1">
      <c r="A604" s="176" t="s">
        <v>146</v>
      </c>
      <c r="B604" s="39" t="s">
        <v>426</v>
      </c>
      <c r="C604" s="39" t="s">
        <v>54</v>
      </c>
      <c r="D604" s="39" t="s">
        <v>31</v>
      </c>
      <c r="E604" s="39" t="s">
        <v>177</v>
      </c>
      <c r="F604" s="554"/>
      <c r="G604" s="291">
        <f t="shared" si="200"/>
        <v>50</v>
      </c>
      <c r="H604" s="62">
        <f t="shared" si="200"/>
        <v>44</v>
      </c>
      <c r="I604" s="61">
        <f t="shared" si="200"/>
        <v>0</v>
      </c>
      <c r="J604" s="728">
        <f t="shared" si="200"/>
        <v>0</v>
      </c>
      <c r="K604" s="42">
        <f t="shared" si="200"/>
        <v>0</v>
      </c>
      <c r="L604" s="43">
        <f t="shared" si="200"/>
        <v>0</v>
      </c>
      <c r="M604" s="63">
        <f t="shared" si="200"/>
        <v>-122</v>
      </c>
      <c r="N604" s="64">
        <f t="shared" si="200"/>
        <v>-122</v>
      </c>
    </row>
    <row r="605" spans="1:15" ht="30" hidden="1">
      <c r="A605" s="176" t="s">
        <v>142</v>
      </c>
      <c r="B605" s="39" t="s">
        <v>426</v>
      </c>
      <c r="C605" s="39" t="s">
        <v>54</v>
      </c>
      <c r="D605" s="39" t="s">
        <v>31</v>
      </c>
      <c r="E605" s="39" t="s">
        <v>177</v>
      </c>
      <c r="F605" s="554" t="s">
        <v>143</v>
      </c>
      <c r="G605" s="291">
        <v>50</v>
      </c>
      <c r="H605" s="241">
        <v>44</v>
      </c>
      <c r="I605" s="61"/>
      <c r="J605" s="728"/>
      <c r="K605" s="42"/>
      <c r="L605" s="43">
        <f>J605+K605</f>
        <v>0</v>
      </c>
      <c r="M605" s="63">
        <v>-122</v>
      </c>
      <c r="N605" s="45">
        <f>L605+M605</f>
        <v>-122</v>
      </c>
      <c r="O605" s="65"/>
    </row>
    <row r="606" spans="1:15" s="272" customFormat="1" ht="14.25">
      <c r="A606" s="289" t="s">
        <v>532</v>
      </c>
      <c r="B606" s="49" t="s">
        <v>426</v>
      </c>
      <c r="C606" s="49" t="s">
        <v>48</v>
      </c>
      <c r="D606" s="49"/>
      <c r="E606" s="49"/>
      <c r="F606" s="562"/>
      <c r="G606" s="517" t="e">
        <f t="shared" ref="G606:N606" si="201">G607+G614</f>
        <v>#REF!</v>
      </c>
      <c r="H606" s="58" t="e">
        <f t="shared" si="201"/>
        <v>#REF!</v>
      </c>
      <c r="I606" s="57" t="e">
        <f t="shared" si="201"/>
        <v>#REF!</v>
      </c>
      <c r="J606" s="52">
        <f t="shared" si="201"/>
        <v>0</v>
      </c>
      <c r="K606" s="835">
        <f t="shared" si="201"/>
        <v>58410</v>
      </c>
      <c r="L606" s="729">
        <f t="shared" si="201"/>
        <v>58410</v>
      </c>
      <c r="M606" s="59" t="e">
        <f t="shared" si="201"/>
        <v>#REF!</v>
      </c>
      <c r="N606" s="60" t="e">
        <f t="shared" si="201"/>
        <v>#REF!</v>
      </c>
    </row>
    <row r="607" spans="1:15" s="179" customFormat="1" ht="14.25" customHeight="1">
      <c r="A607" s="194" t="s">
        <v>80</v>
      </c>
      <c r="B607" s="38" t="s">
        <v>426</v>
      </c>
      <c r="C607" s="38" t="s">
        <v>48</v>
      </c>
      <c r="D607" s="38" t="s">
        <v>22</v>
      </c>
      <c r="E607" s="38"/>
      <c r="F607" s="556"/>
      <c r="G607" s="518" t="e">
        <f>G610</f>
        <v>#REF!</v>
      </c>
      <c r="H607" s="90" t="e">
        <f>H610</f>
        <v>#REF!</v>
      </c>
      <c r="I607" s="67" t="e">
        <f>I610</f>
        <v>#REF!</v>
      </c>
      <c r="J607" s="734">
        <f>J610+J612</f>
        <v>0</v>
      </c>
      <c r="K607" s="734">
        <f>K610+K612+K608</f>
        <v>58410</v>
      </c>
      <c r="L607" s="830">
        <f>L610+L612+L608</f>
        <v>58410</v>
      </c>
      <c r="M607" s="147" t="e">
        <f>M610</f>
        <v>#REF!</v>
      </c>
      <c r="N607" s="148" t="e">
        <f>N610</f>
        <v>#REF!</v>
      </c>
    </row>
    <row r="608" spans="1:15" ht="66.75" customHeight="1">
      <c r="A608" s="186" t="s">
        <v>469</v>
      </c>
      <c r="B608" s="39" t="s">
        <v>426</v>
      </c>
      <c r="C608" s="39" t="s">
        <v>48</v>
      </c>
      <c r="D608" s="39" t="s">
        <v>22</v>
      </c>
      <c r="E608" s="39" t="s">
        <v>470</v>
      </c>
      <c r="F608" s="554"/>
      <c r="G608" s="291"/>
      <c r="H608" s="62"/>
      <c r="I608" s="61"/>
      <c r="J608" s="42">
        <f>J609</f>
        <v>0</v>
      </c>
      <c r="K608" s="42">
        <f>K609</f>
        <v>10</v>
      </c>
      <c r="L608" s="42">
        <f>L609</f>
        <v>10</v>
      </c>
      <c r="M608" s="63"/>
      <c r="N608" s="64"/>
    </row>
    <row r="609" spans="1:14" ht="14.25" customHeight="1">
      <c r="A609" s="186" t="s">
        <v>471</v>
      </c>
      <c r="B609" s="39" t="s">
        <v>426</v>
      </c>
      <c r="C609" s="39" t="s">
        <v>48</v>
      </c>
      <c r="D609" s="39" t="s">
        <v>22</v>
      </c>
      <c r="E609" s="39" t="s">
        <v>470</v>
      </c>
      <c r="F609" s="554" t="s">
        <v>472</v>
      </c>
      <c r="G609" s="291"/>
      <c r="H609" s="62"/>
      <c r="I609" s="61"/>
      <c r="J609" s="728"/>
      <c r="K609" s="42">
        <v>10</v>
      </c>
      <c r="L609" s="42">
        <f>J609+K609</f>
        <v>10</v>
      </c>
      <c r="M609" s="63"/>
      <c r="N609" s="64"/>
    </row>
    <row r="610" spans="1:14" ht="45" customHeight="1">
      <c r="A610" s="176" t="s">
        <v>487</v>
      </c>
      <c r="B610" s="39" t="s">
        <v>426</v>
      </c>
      <c r="C610" s="39" t="s">
        <v>48</v>
      </c>
      <c r="D610" s="39" t="s">
        <v>22</v>
      </c>
      <c r="E610" s="39" t="s">
        <v>1194</v>
      </c>
      <c r="F610" s="554"/>
      <c r="G610" s="291" t="e">
        <f>#REF!</f>
        <v>#REF!</v>
      </c>
      <c r="H610" s="62" t="e">
        <f>#REF!</f>
        <v>#REF!</v>
      </c>
      <c r="I610" s="61" t="e">
        <f>#REF!</f>
        <v>#REF!</v>
      </c>
      <c r="J610" s="728">
        <f>J611</f>
        <v>0</v>
      </c>
      <c r="K610" s="42">
        <f>K611</f>
        <v>57900</v>
      </c>
      <c r="L610" s="42">
        <f>L611</f>
        <v>57900</v>
      </c>
      <c r="M610" s="63" t="e">
        <f>#REF!</f>
        <v>#REF!</v>
      </c>
      <c r="N610" s="64" t="e">
        <f>#REF!</f>
        <v>#REF!</v>
      </c>
    </row>
    <row r="611" spans="1:14" ht="15" customHeight="1">
      <c r="A611" s="176" t="s">
        <v>471</v>
      </c>
      <c r="B611" s="39" t="s">
        <v>426</v>
      </c>
      <c r="C611" s="39" t="s">
        <v>48</v>
      </c>
      <c r="D611" s="39" t="s">
        <v>22</v>
      </c>
      <c r="E611" s="39" t="s">
        <v>1194</v>
      </c>
      <c r="F611" s="554" t="s">
        <v>472</v>
      </c>
      <c r="G611" s="291">
        <f>7525+549</f>
        <v>8074</v>
      </c>
      <c r="H611" s="41"/>
      <c r="I611" s="61"/>
      <c r="J611" s="728">
        <f>H611+I611</f>
        <v>0</v>
      </c>
      <c r="K611" s="42">
        <v>57900</v>
      </c>
      <c r="L611" s="43">
        <f>J611+K611</f>
        <v>57900</v>
      </c>
      <c r="M611" s="63"/>
      <c r="N611" s="45">
        <f>L611+M611</f>
        <v>57900</v>
      </c>
    </row>
    <row r="612" spans="1:14" ht="51.75" customHeight="1">
      <c r="A612" s="176" t="s">
        <v>1209</v>
      </c>
      <c r="B612" s="39" t="s">
        <v>426</v>
      </c>
      <c r="C612" s="39" t="s">
        <v>48</v>
      </c>
      <c r="D612" s="39" t="s">
        <v>22</v>
      </c>
      <c r="E612" s="39" t="s">
        <v>1195</v>
      </c>
      <c r="F612" s="554"/>
      <c r="G612" s="291"/>
      <c r="H612" s="41"/>
      <c r="I612" s="61"/>
      <c r="J612" s="42">
        <f>J613</f>
        <v>0</v>
      </c>
      <c r="K612" s="42">
        <f>K613</f>
        <v>500</v>
      </c>
      <c r="L612" s="42">
        <f>L613</f>
        <v>500</v>
      </c>
      <c r="M612" s="63"/>
      <c r="N612" s="45"/>
    </row>
    <row r="613" spans="1:14" ht="15" customHeight="1">
      <c r="A613" s="176" t="s">
        <v>471</v>
      </c>
      <c r="B613" s="39" t="s">
        <v>426</v>
      </c>
      <c r="C613" s="39" t="s">
        <v>48</v>
      </c>
      <c r="D613" s="39" t="s">
        <v>22</v>
      </c>
      <c r="E613" s="39" t="s">
        <v>1195</v>
      </c>
      <c r="F613" s="554" t="s">
        <v>472</v>
      </c>
      <c r="G613" s="291"/>
      <c r="H613" s="41"/>
      <c r="I613" s="61"/>
      <c r="J613" s="728"/>
      <c r="K613" s="42">
        <v>500</v>
      </c>
      <c r="L613" s="43">
        <f>J613+K613</f>
        <v>500</v>
      </c>
      <c r="M613" s="63"/>
      <c r="N613" s="45"/>
    </row>
    <row r="614" spans="1:14" s="179" customFormat="1" ht="14.25" hidden="1">
      <c r="A614" s="174" t="s">
        <v>83</v>
      </c>
      <c r="B614" s="38" t="s">
        <v>426</v>
      </c>
      <c r="C614" s="38" t="s">
        <v>48</v>
      </c>
      <c r="D614" s="38" t="s">
        <v>54</v>
      </c>
      <c r="E614" s="38"/>
      <c r="F614" s="556"/>
      <c r="G614" s="518">
        <f t="shared" ref="G614:N616" si="202">G615</f>
        <v>0</v>
      </c>
      <c r="H614" s="90">
        <f t="shared" si="202"/>
        <v>628.79999999999995</v>
      </c>
      <c r="I614" s="67">
        <f t="shared" si="202"/>
        <v>0</v>
      </c>
      <c r="J614" s="734">
        <f t="shared" si="202"/>
        <v>0</v>
      </c>
      <c r="K614" s="91">
        <f t="shared" si="202"/>
        <v>0</v>
      </c>
      <c r="L614" s="92">
        <f t="shared" si="202"/>
        <v>0</v>
      </c>
      <c r="M614" s="147">
        <f t="shared" si="202"/>
        <v>0</v>
      </c>
      <c r="N614" s="148">
        <f t="shared" si="202"/>
        <v>0</v>
      </c>
    </row>
    <row r="615" spans="1:14" ht="30" hidden="1">
      <c r="A615" s="176" t="s">
        <v>533</v>
      </c>
      <c r="B615" s="39" t="s">
        <v>426</v>
      </c>
      <c r="C615" s="39" t="s">
        <v>48</v>
      </c>
      <c r="D615" s="39" t="s">
        <v>54</v>
      </c>
      <c r="E615" s="39" t="s">
        <v>534</v>
      </c>
      <c r="F615" s="554"/>
      <c r="G615" s="291">
        <f t="shared" si="202"/>
        <v>0</v>
      </c>
      <c r="H615" s="62">
        <f t="shared" si="202"/>
        <v>628.79999999999995</v>
      </c>
      <c r="I615" s="61">
        <f t="shared" si="202"/>
        <v>0</v>
      </c>
      <c r="J615" s="728">
        <f t="shared" si="202"/>
        <v>0</v>
      </c>
      <c r="K615" s="42">
        <f t="shared" si="202"/>
        <v>0</v>
      </c>
      <c r="L615" s="43">
        <f t="shared" si="202"/>
        <v>0</v>
      </c>
      <c r="M615" s="63">
        <f t="shared" si="202"/>
        <v>0</v>
      </c>
      <c r="N615" s="64">
        <f t="shared" si="202"/>
        <v>0</v>
      </c>
    </row>
    <row r="616" spans="1:14" ht="45" hidden="1">
      <c r="A616" s="176" t="s">
        <v>535</v>
      </c>
      <c r="B616" s="39" t="s">
        <v>426</v>
      </c>
      <c r="C616" s="39" t="s">
        <v>48</v>
      </c>
      <c r="D616" s="39" t="s">
        <v>54</v>
      </c>
      <c r="E616" s="39" t="s">
        <v>536</v>
      </c>
      <c r="F616" s="554"/>
      <c r="G616" s="291">
        <f t="shared" si="202"/>
        <v>0</v>
      </c>
      <c r="H616" s="62">
        <f t="shared" si="202"/>
        <v>628.79999999999995</v>
      </c>
      <c r="I616" s="61">
        <f t="shared" si="202"/>
        <v>0</v>
      </c>
      <c r="J616" s="728">
        <f t="shared" si="202"/>
        <v>0</v>
      </c>
      <c r="K616" s="42">
        <f t="shared" si="202"/>
        <v>0</v>
      </c>
      <c r="L616" s="43">
        <f t="shared" si="202"/>
        <v>0</v>
      </c>
      <c r="M616" s="63">
        <f t="shared" si="202"/>
        <v>0</v>
      </c>
      <c r="N616" s="64">
        <f t="shared" si="202"/>
        <v>0</v>
      </c>
    </row>
    <row r="617" spans="1:14" ht="30" hidden="1">
      <c r="A617" s="186" t="s">
        <v>136</v>
      </c>
      <c r="B617" s="39" t="s">
        <v>426</v>
      </c>
      <c r="C617" s="39" t="s">
        <v>48</v>
      </c>
      <c r="D617" s="39" t="s">
        <v>54</v>
      </c>
      <c r="E617" s="39" t="s">
        <v>536</v>
      </c>
      <c r="F617" s="554" t="s">
        <v>134</v>
      </c>
      <c r="G617" s="291"/>
      <c r="H617" s="41">
        <v>628.79999999999995</v>
      </c>
      <c r="I617" s="61"/>
      <c r="J617" s="728"/>
      <c r="K617" s="42"/>
      <c r="L617" s="43">
        <f>J617+K617</f>
        <v>0</v>
      </c>
      <c r="M617" s="63"/>
      <c r="N617" s="45">
        <f>L617+M617</f>
        <v>0</v>
      </c>
    </row>
    <row r="618" spans="1:14" s="272" customFormat="1" ht="14.25">
      <c r="A618" s="289" t="s">
        <v>87</v>
      </c>
      <c r="B618" s="49" t="s">
        <v>426</v>
      </c>
      <c r="C618" s="49" t="s">
        <v>86</v>
      </c>
      <c r="D618" s="49"/>
      <c r="E618" s="49"/>
      <c r="F618" s="562"/>
      <c r="G618" s="517">
        <f>G622</f>
        <v>-7703.9000000000005</v>
      </c>
      <c r="H618" s="58">
        <f>H622</f>
        <v>110</v>
      </c>
      <c r="I618" s="57">
        <f>I622</f>
        <v>0</v>
      </c>
      <c r="J618" s="729">
        <f>J622+J619</f>
        <v>563.68000000000006</v>
      </c>
      <c r="K618" s="729">
        <f>K622+K619</f>
        <v>3921.9620000000004</v>
      </c>
      <c r="L618" s="729">
        <f>L622+L619</f>
        <v>4485.6419999999998</v>
      </c>
      <c r="M618" s="621">
        <f>M622+M619</f>
        <v>90</v>
      </c>
      <c r="N618" s="621">
        <f>N622+N619</f>
        <v>90</v>
      </c>
    </row>
    <row r="619" spans="1:14" s="179" customFormat="1" ht="28.5">
      <c r="A619" s="174" t="s">
        <v>90</v>
      </c>
      <c r="B619" s="38" t="s">
        <v>426</v>
      </c>
      <c r="C619" s="38" t="s">
        <v>86</v>
      </c>
      <c r="D619" s="38" t="s">
        <v>23</v>
      </c>
      <c r="E619" s="38"/>
      <c r="F619" s="556"/>
      <c r="G619" s="518"/>
      <c r="H619" s="90"/>
      <c r="I619" s="67"/>
      <c r="J619" s="734">
        <f t="shared" ref="J619:L620" si="203">J620</f>
        <v>0</v>
      </c>
      <c r="K619" s="91">
        <f t="shared" si="203"/>
        <v>100</v>
      </c>
      <c r="L619" s="830">
        <f t="shared" si="203"/>
        <v>100</v>
      </c>
      <c r="M619" s="547"/>
      <c r="N619" s="547"/>
    </row>
    <row r="620" spans="1:14" ht="60">
      <c r="A620" s="186" t="s">
        <v>469</v>
      </c>
      <c r="B620" s="39" t="s">
        <v>426</v>
      </c>
      <c r="C620" s="39" t="s">
        <v>86</v>
      </c>
      <c r="D620" s="39" t="s">
        <v>23</v>
      </c>
      <c r="E620" s="39" t="s">
        <v>470</v>
      </c>
      <c r="F620" s="554"/>
      <c r="G620" s="291"/>
      <c r="H620" s="62"/>
      <c r="I620" s="61"/>
      <c r="J620" s="728">
        <f t="shared" si="203"/>
        <v>0</v>
      </c>
      <c r="K620" s="42">
        <f t="shared" si="203"/>
        <v>100</v>
      </c>
      <c r="L620" s="42">
        <f t="shared" si="203"/>
        <v>100</v>
      </c>
      <c r="M620" s="412"/>
      <c r="N620" s="412"/>
    </row>
    <row r="621" spans="1:14">
      <c r="A621" s="186" t="s">
        <v>471</v>
      </c>
      <c r="B621" s="39" t="s">
        <v>426</v>
      </c>
      <c r="C621" s="39" t="s">
        <v>86</v>
      </c>
      <c r="D621" s="39" t="s">
        <v>23</v>
      </c>
      <c r="E621" s="39" t="s">
        <v>470</v>
      </c>
      <c r="F621" s="554" t="s">
        <v>472</v>
      </c>
      <c r="G621" s="291"/>
      <c r="H621" s="62"/>
      <c r="I621" s="61"/>
      <c r="J621" s="728"/>
      <c r="K621" s="42">
        <v>100</v>
      </c>
      <c r="L621" s="42">
        <f>J621+K621</f>
        <v>100</v>
      </c>
      <c r="M621" s="412"/>
      <c r="N621" s="412"/>
    </row>
    <row r="622" spans="1:14" s="179" customFormat="1" ht="30">
      <c r="A622" s="176" t="s">
        <v>93</v>
      </c>
      <c r="B622" s="38" t="s">
        <v>426</v>
      </c>
      <c r="C622" s="38" t="s">
        <v>86</v>
      </c>
      <c r="D622" s="38" t="s">
        <v>25</v>
      </c>
      <c r="E622" s="38"/>
      <c r="F622" s="556"/>
      <c r="G622" s="518">
        <f>G623+G640+G629+G631</f>
        <v>-7703.9000000000005</v>
      </c>
      <c r="H622" s="84">
        <f>H623+H640+H629+H631+H634</f>
        <v>110</v>
      </c>
      <c r="I622" s="175">
        <f>I623+I640+I629+I631+I634</f>
        <v>0</v>
      </c>
      <c r="J622" s="734">
        <f>J623+J640+J629+J631+J634+J636+J638</f>
        <v>563.68000000000006</v>
      </c>
      <c r="K622" s="91">
        <f>K623+K640+K629+K631+K634+K636+K638</f>
        <v>3821.9620000000004</v>
      </c>
      <c r="L622" s="830">
        <f>L623+L640+L629+L631+L634+L636+L638</f>
        <v>4385.6419999999998</v>
      </c>
      <c r="M622" s="834">
        <f>M623+M640+M629+M631+M634+M636+M638</f>
        <v>90</v>
      </c>
      <c r="N622" s="622">
        <f>N623+N640+N629+N631+N634+N636+N638</f>
        <v>90</v>
      </c>
    </row>
    <row r="623" spans="1:14" ht="15.75" hidden="1" customHeight="1">
      <c r="A623" s="296" t="s">
        <v>537</v>
      </c>
      <c r="B623" s="39" t="s">
        <v>426</v>
      </c>
      <c r="C623" s="39" t="s">
        <v>86</v>
      </c>
      <c r="D623" s="39" t="s">
        <v>25</v>
      </c>
      <c r="E623" s="39" t="s">
        <v>538</v>
      </c>
      <c r="F623" s="554"/>
      <c r="G623" s="291">
        <f>G624</f>
        <v>-8006.3</v>
      </c>
      <c r="H623" s="41">
        <f t="shared" ref="H623:N623" si="204">H624+H627</f>
        <v>0</v>
      </c>
      <c r="I623" s="40">
        <f t="shared" si="204"/>
        <v>0</v>
      </c>
      <c r="J623" s="728">
        <f t="shared" si="204"/>
        <v>0</v>
      </c>
      <c r="K623" s="42">
        <f t="shared" si="204"/>
        <v>0</v>
      </c>
      <c r="L623" s="42">
        <f t="shared" si="204"/>
        <v>0</v>
      </c>
      <c r="M623" s="44">
        <f t="shared" si="204"/>
        <v>0</v>
      </c>
      <c r="N623" s="45">
        <f t="shared" si="204"/>
        <v>0</v>
      </c>
    </row>
    <row r="624" spans="1:14" ht="45.75" hidden="1" customHeight="1">
      <c r="A624" s="186" t="s">
        <v>539</v>
      </c>
      <c r="B624" s="39" t="s">
        <v>426</v>
      </c>
      <c r="C624" s="39" t="s">
        <v>86</v>
      </c>
      <c r="D624" s="39" t="s">
        <v>25</v>
      </c>
      <c r="E624" s="39" t="s">
        <v>484</v>
      </c>
      <c r="F624" s="554"/>
      <c r="G624" s="291">
        <f t="shared" ref="G624:M624" si="205">G625+G626</f>
        <v>-8006.3</v>
      </c>
      <c r="H624" s="62">
        <f t="shared" si="205"/>
        <v>0</v>
      </c>
      <c r="I624" s="61">
        <f t="shared" si="205"/>
        <v>0</v>
      </c>
      <c r="J624" s="728">
        <f t="shared" si="205"/>
        <v>0</v>
      </c>
      <c r="K624" s="42">
        <f t="shared" si="205"/>
        <v>0</v>
      </c>
      <c r="L624" s="42">
        <f t="shared" si="205"/>
        <v>0</v>
      </c>
      <c r="M624" s="63">
        <f t="shared" si="205"/>
        <v>0</v>
      </c>
      <c r="N624" s="64">
        <f>N625+N626</f>
        <v>0</v>
      </c>
    </row>
    <row r="625" spans="1:14" ht="60.75" hidden="1" customHeight="1">
      <c r="A625" s="186" t="s">
        <v>540</v>
      </c>
      <c r="B625" s="39" t="s">
        <v>426</v>
      </c>
      <c r="C625" s="39" t="s">
        <v>86</v>
      </c>
      <c r="D625" s="39" t="s">
        <v>25</v>
      </c>
      <c r="E625" s="39" t="s">
        <v>484</v>
      </c>
      <c r="F625" s="554" t="s">
        <v>541</v>
      </c>
      <c r="G625" s="291">
        <f>218.7-7525</f>
        <v>-7306.3</v>
      </c>
      <c r="H625" s="41"/>
      <c r="I625" s="61"/>
      <c r="J625" s="728">
        <f>H625+I625</f>
        <v>0</v>
      </c>
      <c r="K625" s="42"/>
      <c r="L625" s="42">
        <f>J625+K625</f>
        <v>0</v>
      </c>
      <c r="M625" s="63"/>
      <c r="N625" s="45">
        <f>L625+M625</f>
        <v>0</v>
      </c>
    </row>
    <row r="626" spans="1:14" ht="29.25" hidden="1" customHeight="1">
      <c r="A626" s="186" t="s">
        <v>136</v>
      </c>
      <c r="B626" s="39" t="s">
        <v>426</v>
      </c>
      <c r="C626" s="39" t="s">
        <v>86</v>
      </c>
      <c r="D626" s="39" t="s">
        <v>25</v>
      </c>
      <c r="E626" s="39" t="s">
        <v>484</v>
      </c>
      <c r="F626" s="554" t="s">
        <v>134</v>
      </c>
      <c r="G626" s="291">
        <v>-700</v>
      </c>
      <c r="H626" s="41"/>
      <c r="I626" s="61"/>
      <c r="J626" s="728">
        <f>H626+I626</f>
        <v>0</v>
      </c>
      <c r="K626" s="42"/>
      <c r="L626" s="42">
        <f>J626+K626</f>
        <v>0</v>
      </c>
      <c r="M626" s="63"/>
      <c r="N626" s="45">
        <f>L626+M626</f>
        <v>0</v>
      </c>
    </row>
    <row r="627" spans="1:14" ht="35.25" hidden="1" customHeight="1">
      <c r="A627" s="186" t="s">
        <v>542</v>
      </c>
      <c r="B627" s="39" t="s">
        <v>426</v>
      </c>
      <c r="C627" s="39" t="s">
        <v>86</v>
      </c>
      <c r="D627" s="39" t="s">
        <v>25</v>
      </c>
      <c r="E627" s="39" t="s">
        <v>543</v>
      </c>
      <c r="F627" s="554"/>
      <c r="G627" s="291"/>
      <c r="H627" s="41">
        <f t="shared" ref="H627:N627" si="206">H628</f>
        <v>0</v>
      </c>
      <c r="I627" s="40">
        <f t="shared" si="206"/>
        <v>0</v>
      </c>
      <c r="J627" s="728">
        <f t="shared" si="206"/>
        <v>0</v>
      </c>
      <c r="K627" s="42">
        <f t="shared" si="206"/>
        <v>0</v>
      </c>
      <c r="L627" s="42">
        <f t="shared" si="206"/>
        <v>0</v>
      </c>
      <c r="M627" s="44">
        <f t="shared" si="206"/>
        <v>0</v>
      </c>
      <c r="N627" s="45">
        <f t="shared" si="206"/>
        <v>0</v>
      </c>
    </row>
    <row r="628" spans="1:14" ht="30" hidden="1" customHeight="1">
      <c r="A628" s="186" t="s">
        <v>136</v>
      </c>
      <c r="B628" s="39" t="s">
        <v>426</v>
      </c>
      <c r="C628" s="39" t="s">
        <v>86</v>
      </c>
      <c r="D628" s="39" t="s">
        <v>25</v>
      </c>
      <c r="E628" s="39" t="s">
        <v>543</v>
      </c>
      <c r="F628" s="554" t="s">
        <v>134</v>
      </c>
      <c r="G628" s="291"/>
      <c r="H628" s="41"/>
      <c r="I628" s="61"/>
      <c r="J628" s="728">
        <f>H628+I628</f>
        <v>0</v>
      </c>
      <c r="K628" s="42"/>
      <c r="L628" s="42">
        <f>J628+K628</f>
        <v>0</v>
      </c>
      <c r="M628" s="63"/>
      <c r="N628" s="45">
        <f>L628+M628</f>
        <v>0</v>
      </c>
    </row>
    <row r="629" spans="1:14" ht="30.75" hidden="1" customHeight="1">
      <c r="A629" s="46" t="s">
        <v>544</v>
      </c>
      <c r="B629" s="39" t="s">
        <v>426</v>
      </c>
      <c r="C629" s="39" t="s">
        <v>86</v>
      </c>
      <c r="D629" s="39" t="s">
        <v>25</v>
      </c>
      <c r="E629" s="39" t="s">
        <v>545</v>
      </c>
      <c r="F629" s="554"/>
      <c r="G629" s="291">
        <f>G630</f>
        <v>302.39999999999998</v>
      </c>
      <c r="H629" s="41">
        <f>H630</f>
        <v>0</v>
      </c>
      <c r="I629" s="61">
        <f>I630</f>
        <v>0</v>
      </c>
      <c r="J629" s="728">
        <f>H629+I629</f>
        <v>0</v>
      </c>
      <c r="K629" s="42">
        <f>K630</f>
        <v>0</v>
      </c>
      <c r="L629" s="42">
        <f>J629+K629</f>
        <v>0</v>
      </c>
      <c r="M629" s="63">
        <f>M630</f>
        <v>0</v>
      </c>
      <c r="N629" s="45">
        <f>L629+M629</f>
        <v>0</v>
      </c>
    </row>
    <row r="630" spans="1:14" ht="15.75" hidden="1" customHeight="1">
      <c r="A630" s="176" t="s">
        <v>244</v>
      </c>
      <c r="B630" s="39" t="s">
        <v>426</v>
      </c>
      <c r="C630" s="39" t="s">
        <v>86</v>
      </c>
      <c r="D630" s="39" t="s">
        <v>25</v>
      </c>
      <c r="E630" s="39" t="s">
        <v>545</v>
      </c>
      <c r="F630" s="554" t="s">
        <v>245</v>
      </c>
      <c r="G630" s="291">
        <v>302.39999999999998</v>
      </c>
      <c r="H630" s="41"/>
      <c r="I630" s="61"/>
      <c r="J630" s="728">
        <f>H630+I630</f>
        <v>0</v>
      </c>
      <c r="K630" s="42"/>
      <c r="L630" s="42">
        <f>J630+K630</f>
        <v>0</v>
      </c>
      <c r="M630" s="63"/>
      <c r="N630" s="45">
        <f>L630+M630</f>
        <v>0</v>
      </c>
    </row>
    <row r="631" spans="1:14" ht="32.25" hidden="1" customHeight="1">
      <c r="A631" s="176" t="s">
        <v>413</v>
      </c>
      <c r="B631" s="39" t="s">
        <v>426</v>
      </c>
      <c r="C631" s="39" t="s">
        <v>86</v>
      </c>
      <c r="D631" s="39" t="s">
        <v>25</v>
      </c>
      <c r="E631" s="39" t="s">
        <v>414</v>
      </c>
      <c r="F631" s="554"/>
      <c r="G631" s="291">
        <f t="shared" ref="G631:L632" si="207">G632</f>
        <v>0</v>
      </c>
      <c r="H631" s="62">
        <f t="shared" si="207"/>
        <v>110</v>
      </c>
      <c r="I631" s="61">
        <f t="shared" si="207"/>
        <v>0</v>
      </c>
      <c r="J631" s="728">
        <f t="shared" si="207"/>
        <v>0</v>
      </c>
      <c r="K631" s="42">
        <f t="shared" si="207"/>
        <v>0</v>
      </c>
      <c r="L631" s="42">
        <f t="shared" si="207"/>
        <v>0</v>
      </c>
      <c r="M631" s="63">
        <f>M632</f>
        <v>0</v>
      </c>
      <c r="N631" s="64">
        <f>N632</f>
        <v>0</v>
      </c>
    </row>
    <row r="632" spans="1:14" ht="57" hidden="1" customHeight="1">
      <c r="A632" s="176" t="s">
        <v>546</v>
      </c>
      <c r="B632" s="39" t="s">
        <v>426</v>
      </c>
      <c r="C632" s="39" t="s">
        <v>86</v>
      </c>
      <c r="D632" s="39" t="s">
        <v>25</v>
      </c>
      <c r="E632" s="39" t="s">
        <v>547</v>
      </c>
      <c r="F632" s="554"/>
      <c r="G632" s="291">
        <f t="shared" si="207"/>
        <v>0</v>
      </c>
      <c r="H632" s="62">
        <f t="shared" si="207"/>
        <v>110</v>
      </c>
      <c r="I632" s="61">
        <f t="shared" si="207"/>
        <v>0</v>
      </c>
      <c r="J632" s="728">
        <f t="shared" si="207"/>
        <v>0</v>
      </c>
      <c r="K632" s="42">
        <f t="shared" si="207"/>
        <v>0</v>
      </c>
      <c r="L632" s="42">
        <f t="shared" si="207"/>
        <v>0</v>
      </c>
      <c r="M632" s="63">
        <f>M633</f>
        <v>0</v>
      </c>
      <c r="N632" s="64">
        <f>N633</f>
        <v>0</v>
      </c>
    </row>
    <row r="633" spans="1:14" ht="30.75" hidden="1" customHeight="1" thickBot="1">
      <c r="A633" s="309" t="s">
        <v>136</v>
      </c>
      <c r="B633" s="310" t="s">
        <v>426</v>
      </c>
      <c r="C633" s="310" t="s">
        <v>86</v>
      </c>
      <c r="D633" s="310" t="s">
        <v>25</v>
      </c>
      <c r="E633" s="310" t="s">
        <v>547</v>
      </c>
      <c r="F633" s="578" t="s">
        <v>134</v>
      </c>
      <c r="G633" s="549"/>
      <c r="H633" s="312">
        <v>110</v>
      </c>
      <c r="I633" s="311"/>
      <c r="J633" s="731"/>
      <c r="K633" s="732"/>
      <c r="L633" s="732">
        <f>J633+K633</f>
        <v>0</v>
      </c>
      <c r="M633" s="63"/>
      <c r="N633" s="45">
        <f>L633+M633</f>
        <v>0</v>
      </c>
    </row>
    <row r="634" spans="1:14" ht="48" hidden="1" customHeight="1">
      <c r="A634" s="186" t="s">
        <v>548</v>
      </c>
      <c r="B634" s="39" t="s">
        <v>426</v>
      </c>
      <c r="C634" s="39" t="s">
        <v>86</v>
      </c>
      <c r="D634" s="39" t="s">
        <v>25</v>
      </c>
      <c r="E634" s="39" t="s">
        <v>549</v>
      </c>
      <c r="F634" s="554"/>
      <c r="G634" s="291"/>
      <c r="H634" s="41">
        <f t="shared" ref="H634:N634" si="208">H635</f>
        <v>0</v>
      </c>
      <c r="I634" s="40">
        <f t="shared" si="208"/>
        <v>0</v>
      </c>
      <c r="J634" s="751">
        <f t="shared" si="208"/>
        <v>0</v>
      </c>
      <c r="K634" s="749">
        <f t="shared" si="208"/>
        <v>0</v>
      </c>
      <c r="L634" s="42">
        <f t="shared" si="208"/>
        <v>0</v>
      </c>
      <c r="M634" s="44">
        <f t="shared" si="208"/>
        <v>0</v>
      </c>
      <c r="N634" s="45">
        <f t="shared" si="208"/>
        <v>0</v>
      </c>
    </row>
    <row r="635" spans="1:14" ht="30.75" hidden="1" customHeight="1">
      <c r="A635" s="186" t="s">
        <v>136</v>
      </c>
      <c r="B635" s="39" t="s">
        <v>426</v>
      </c>
      <c r="C635" s="39" t="s">
        <v>86</v>
      </c>
      <c r="D635" s="39" t="s">
        <v>25</v>
      </c>
      <c r="E635" s="39" t="s">
        <v>549</v>
      </c>
      <c r="F635" s="554" t="s">
        <v>134</v>
      </c>
      <c r="G635" s="291"/>
      <c r="H635" s="41"/>
      <c r="I635" s="61"/>
      <c r="J635" s="728">
        <f>H635+I635</f>
        <v>0</v>
      </c>
      <c r="K635" s="42"/>
      <c r="L635" s="42">
        <f>J635+K635</f>
        <v>0</v>
      </c>
      <c r="M635" s="63"/>
      <c r="N635" s="45">
        <f>L635+M635</f>
        <v>0</v>
      </c>
    </row>
    <row r="636" spans="1:14" ht="30.75" customHeight="1">
      <c r="A636" s="186" t="s">
        <v>1210</v>
      </c>
      <c r="B636" s="39" t="s">
        <v>426</v>
      </c>
      <c r="C636" s="39" t="s">
        <v>86</v>
      </c>
      <c r="D636" s="39" t="s">
        <v>25</v>
      </c>
      <c r="E636" s="39" t="s">
        <v>484</v>
      </c>
      <c r="F636" s="554"/>
      <c r="G636" s="291"/>
      <c r="H636" s="515"/>
      <c r="I636" s="61"/>
      <c r="J636" s="88">
        <f>J637</f>
        <v>0</v>
      </c>
      <c r="K636" s="42">
        <f>K637</f>
        <v>2717.5880000000002</v>
      </c>
      <c r="L636" s="42">
        <f>L637</f>
        <v>2717.5880000000002</v>
      </c>
      <c r="M636" s="63"/>
      <c r="N636" s="45"/>
    </row>
    <row r="637" spans="1:14" ht="43.5" customHeight="1">
      <c r="A637" s="186" t="s">
        <v>1212</v>
      </c>
      <c r="B637" s="39" t="s">
        <v>426</v>
      </c>
      <c r="C637" s="39" t="s">
        <v>86</v>
      </c>
      <c r="D637" s="39" t="s">
        <v>25</v>
      </c>
      <c r="E637" s="39" t="s">
        <v>484</v>
      </c>
      <c r="F637" s="554" t="s">
        <v>1196</v>
      </c>
      <c r="G637" s="291"/>
      <c r="H637" s="515"/>
      <c r="I637" s="61"/>
      <c r="J637" s="88"/>
      <c r="K637" s="42">
        <v>2717.5880000000002</v>
      </c>
      <c r="L637" s="43">
        <f>J637+K637</f>
        <v>2717.5880000000002</v>
      </c>
      <c r="M637" s="63"/>
      <c r="N637" s="45"/>
    </row>
    <row r="638" spans="1:14" ht="54" customHeight="1">
      <c r="A638" s="186" t="s">
        <v>1211</v>
      </c>
      <c r="B638" s="39" t="s">
        <v>426</v>
      </c>
      <c r="C638" s="39" t="s">
        <v>86</v>
      </c>
      <c r="D638" s="39" t="s">
        <v>25</v>
      </c>
      <c r="E638" s="39" t="s">
        <v>496</v>
      </c>
      <c r="F638" s="554"/>
      <c r="G638" s="291"/>
      <c r="H638" s="515"/>
      <c r="I638" s="61"/>
      <c r="J638" s="88">
        <f>J639</f>
        <v>0</v>
      </c>
      <c r="K638" s="42">
        <f>K639</f>
        <v>884.37400000000002</v>
      </c>
      <c r="L638" s="42">
        <f>L639</f>
        <v>884.37400000000002</v>
      </c>
      <c r="M638" s="63"/>
      <c r="N638" s="45"/>
    </row>
    <row r="639" spans="1:14" ht="60" customHeight="1">
      <c r="A639" s="186" t="s">
        <v>1212</v>
      </c>
      <c r="B639" s="39" t="s">
        <v>426</v>
      </c>
      <c r="C639" s="39" t="s">
        <v>86</v>
      </c>
      <c r="D639" s="39" t="s">
        <v>25</v>
      </c>
      <c r="E639" s="39" t="s">
        <v>496</v>
      </c>
      <c r="F639" s="554" t="s">
        <v>1196</v>
      </c>
      <c r="G639" s="291"/>
      <c r="H639" s="515"/>
      <c r="I639" s="61"/>
      <c r="J639" s="88"/>
      <c r="K639" s="42">
        <v>884.37400000000002</v>
      </c>
      <c r="L639" s="43">
        <f>J639+K639</f>
        <v>884.37400000000002</v>
      </c>
      <c r="M639" s="63"/>
      <c r="N639" s="45"/>
    </row>
    <row r="640" spans="1:14" ht="30.75" customHeight="1">
      <c r="A640" s="176" t="s">
        <v>413</v>
      </c>
      <c r="B640" s="39" t="s">
        <v>426</v>
      </c>
      <c r="C640" s="39" t="s">
        <v>86</v>
      </c>
      <c r="D640" s="39" t="s">
        <v>25</v>
      </c>
      <c r="E640" s="39" t="s">
        <v>414</v>
      </c>
      <c r="F640" s="554"/>
      <c r="G640" s="43">
        <f>G641</f>
        <v>0</v>
      </c>
      <c r="H640" s="42">
        <f>H641</f>
        <v>0</v>
      </c>
      <c r="I640" s="143">
        <f>I641</f>
        <v>0</v>
      </c>
      <c r="J640" s="42">
        <f>J641+J645</f>
        <v>563.68000000000006</v>
      </c>
      <c r="K640" s="42">
        <f>K641+K645</f>
        <v>220</v>
      </c>
      <c r="L640" s="42">
        <f>L641+L645</f>
        <v>783.68000000000006</v>
      </c>
      <c r="M640" s="63">
        <f>M643</f>
        <v>90</v>
      </c>
      <c r="N640" s="64">
        <f>N643</f>
        <v>90</v>
      </c>
    </row>
    <row r="641" spans="1:16" ht="45">
      <c r="A641" s="176" t="s">
        <v>555</v>
      </c>
      <c r="B641" s="39" t="s">
        <v>426</v>
      </c>
      <c r="C641" s="39" t="s">
        <v>86</v>
      </c>
      <c r="D641" s="39" t="s">
        <v>25</v>
      </c>
      <c r="E641" s="39" t="s">
        <v>547</v>
      </c>
      <c r="F641" s="554"/>
      <c r="G641" s="291"/>
      <c r="H641" s="62"/>
      <c r="I641" s="61"/>
      <c r="J641" s="42">
        <f>J642</f>
        <v>100</v>
      </c>
      <c r="K641" s="42">
        <f>K642</f>
        <v>220</v>
      </c>
      <c r="L641" s="43">
        <f>J641+K641</f>
        <v>320</v>
      </c>
      <c r="M641" s="63"/>
      <c r="N641" s="64"/>
    </row>
    <row r="642" spans="1:16" ht="30">
      <c r="A642" s="313" t="s">
        <v>136</v>
      </c>
      <c r="B642" s="95" t="s">
        <v>426</v>
      </c>
      <c r="C642" s="95" t="s">
        <v>86</v>
      </c>
      <c r="D642" s="95" t="s">
        <v>25</v>
      </c>
      <c r="E642" s="95" t="s">
        <v>547</v>
      </c>
      <c r="F642" s="557" t="s">
        <v>134</v>
      </c>
      <c r="G642" s="291"/>
      <c r="H642" s="62"/>
      <c r="I642" s="61"/>
      <c r="J642" s="728">
        <v>100</v>
      </c>
      <c r="K642" s="42">
        <v>220</v>
      </c>
      <c r="L642" s="43">
        <f>J642+K642</f>
        <v>320</v>
      </c>
      <c r="M642" s="63"/>
      <c r="N642" s="64"/>
    </row>
    <row r="643" spans="1:16" ht="88.5" hidden="1" customHeight="1">
      <c r="A643" s="176" t="s">
        <v>550</v>
      </c>
      <c r="B643" s="39" t="s">
        <v>426</v>
      </c>
      <c r="C643" s="39" t="s">
        <v>86</v>
      </c>
      <c r="D643" s="39" t="s">
        <v>25</v>
      </c>
      <c r="E643" s="39" t="s">
        <v>551</v>
      </c>
      <c r="F643" s="554"/>
      <c r="G643" s="291">
        <f t="shared" ref="G643:N643" si="209">G644</f>
        <v>0</v>
      </c>
      <c r="H643" s="62">
        <f t="shared" si="209"/>
        <v>110</v>
      </c>
      <c r="I643" s="61">
        <f t="shared" si="209"/>
        <v>0</v>
      </c>
      <c r="J643" s="728">
        <f t="shared" si="209"/>
        <v>0</v>
      </c>
      <c r="K643" s="42">
        <f t="shared" si="209"/>
        <v>0</v>
      </c>
      <c r="L643" s="43">
        <f t="shared" si="209"/>
        <v>0</v>
      </c>
      <c r="M643" s="63">
        <f t="shared" si="209"/>
        <v>90</v>
      </c>
      <c r="N643" s="64">
        <f t="shared" si="209"/>
        <v>90</v>
      </c>
    </row>
    <row r="644" spans="1:16" ht="17.25" hidden="1" customHeight="1" thickBot="1">
      <c r="A644" s="313" t="s">
        <v>244</v>
      </c>
      <c r="B644" s="95" t="s">
        <v>426</v>
      </c>
      <c r="C644" s="95" t="s">
        <v>86</v>
      </c>
      <c r="D644" s="95" t="s">
        <v>25</v>
      </c>
      <c r="E644" s="95" t="s">
        <v>551</v>
      </c>
      <c r="F644" s="557" t="s">
        <v>245</v>
      </c>
      <c r="G644" s="528"/>
      <c r="H644" s="163">
        <v>110</v>
      </c>
      <c r="I644" s="162"/>
      <c r="J644" s="732"/>
      <c r="K644" s="42"/>
      <c r="L644" s="42">
        <f>J644+K644</f>
        <v>0</v>
      </c>
      <c r="M644" s="314">
        <v>90</v>
      </c>
      <c r="N644" s="164">
        <f>L644+M644</f>
        <v>90</v>
      </c>
      <c r="O644" s="47"/>
    </row>
    <row r="645" spans="1:16" ht="29.25" customHeight="1" thickBot="1">
      <c r="A645" s="176" t="s">
        <v>407</v>
      </c>
      <c r="B645" s="95" t="s">
        <v>426</v>
      </c>
      <c r="C645" s="95" t="s">
        <v>86</v>
      </c>
      <c r="D645" s="95" t="s">
        <v>25</v>
      </c>
      <c r="E645" s="95" t="s">
        <v>1037</v>
      </c>
      <c r="F645" s="557"/>
      <c r="G645" s="540"/>
      <c r="H645" s="325"/>
      <c r="I645" s="240"/>
      <c r="J645" s="42">
        <f>J646</f>
        <v>463.68</v>
      </c>
      <c r="K645" s="42">
        <f>K646</f>
        <v>0</v>
      </c>
      <c r="L645" s="42">
        <f>L646</f>
        <v>463.68</v>
      </c>
      <c r="M645" s="319"/>
      <c r="N645" s="320"/>
      <c r="O645" s="47"/>
    </row>
    <row r="646" spans="1:16" ht="17.25" customHeight="1" thickBot="1">
      <c r="A646" s="176" t="s">
        <v>244</v>
      </c>
      <c r="B646" s="95" t="s">
        <v>426</v>
      </c>
      <c r="C646" s="95" t="s">
        <v>86</v>
      </c>
      <c r="D646" s="95" t="s">
        <v>25</v>
      </c>
      <c r="E646" s="95" t="s">
        <v>1037</v>
      </c>
      <c r="F646" s="557" t="s">
        <v>245</v>
      </c>
      <c r="G646" s="540"/>
      <c r="H646" s="325"/>
      <c r="I646" s="240"/>
      <c r="J646" s="789">
        <v>463.68</v>
      </c>
      <c r="K646" s="749"/>
      <c r="L646" s="750">
        <f>J646+K646</f>
        <v>463.68</v>
      </c>
      <c r="M646" s="319"/>
      <c r="N646" s="320"/>
      <c r="O646" s="47"/>
    </row>
    <row r="647" spans="1:16" ht="17.25" customHeight="1" thickBot="1">
      <c r="A647" s="315" t="s">
        <v>100</v>
      </c>
      <c r="B647" s="316" t="s">
        <v>426</v>
      </c>
      <c r="C647" s="316" t="s">
        <v>37</v>
      </c>
      <c r="D647" s="316"/>
      <c r="E647" s="316"/>
      <c r="F647" s="579"/>
      <c r="G647" s="550"/>
      <c r="H647" s="318"/>
      <c r="I647" s="317"/>
      <c r="J647" s="770">
        <f>J648</f>
        <v>891.8</v>
      </c>
      <c r="K647" s="771">
        <f>K648</f>
        <v>63.3</v>
      </c>
      <c r="L647" s="772">
        <f>L648</f>
        <v>955.09999999999991</v>
      </c>
      <c r="M647" s="319"/>
      <c r="N647" s="320"/>
      <c r="O647" s="47"/>
    </row>
    <row r="648" spans="1:16" ht="30" customHeight="1" thickBot="1">
      <c r="A648" s="174" t="s">
        <v>74</v>
      </c>
      <c r="B648" s="38" t="s">
        <v>426</v>
      </c>
      <c r="C648" s="38" t="s">
        <v>37</v>
      </c>
      <c r="D648" s="38" t="s">
        <v>23</v>
      </c>
      <c r="E648" s="38"/>
      <c r="F648" s="556"/>
      <c r="G648" s="518">
        <f t="shared" ref="G648:L650" si="210">G649</f>
        <v>0</v>
      </c>
      <c r="H648" s="90">
        <f t="shared" si="210"/>
        <v>666</v>
      </c>
      <c r="I648" s="67">
        <f t="shared" si="210"/>
        <v>0</v>
      </c>
      <c r="J648" s="733">
        <f t="shared" si="210"/>
        <v>891.8</v>
      </c>
      <c r="K648" s="78">
        <f t="shared" si="210"/>
        <v>63.3</v>
      </c>
      <c r="L648" s="79">
        <f t="shared" si="210"/>
        <v>955.09999999999991</v>
      </c>
      <c r="M648" s="319"/>
      <c r="N648" s="320"/>
      <c r="O648" s="47"/>
    </row>
    <row r="649" spans="1:16" ht="29.25" customHeight="1" thickBot="1">
      <c r="A649" s="176" t="s">
        <v>525</v>
      </c>
      <c r="B649" s="39" t="s">
        <v>426</v>
      </c>
      <c r="C649" s="39" t="s">
        <v>37</v>
      </c>
      <c r="D649" s="39" t="s">
        <v>23</v>
      </c>
      <c r="E649" s="39" t="s">
        <v>526</v>
      </c>
      <c r="F649" s="554"/>
      <c r="G649" s="291">
        <f t="shared" si="210"/>
        <v>0</v>
      </c>
      <c r="H649" s="62">
        <f t="shared" si="210"/>
        <v>666</v>
      </c>
      <c r="I649" s="61">
        <f t="shared" si="210"/>
        <v>0</v>
      </c>
      <c r="J649" s="728">
        <f t="shared" si="210"/>
        <v>891.8</v>
      </c>
      <c r="K649" s="42">
        <f t="shared" si="210"/>
        <v>63.3</v>
      </c>
      <c r="L649" s="43">
        <f t="shared" si="210"/>
        <v>955.09999999999991</v>
      </c>
      <c r="M649" s="319"/>
      <c r="N649" s="320"/>
      <c r="O649" s="47"/>
    </row>
    <row r="650" spans="1:16" ht="45" customHeight="1" thickBot="1">
      <c r="A650" s="186" t="s">
        <v>527</v>
      </c>
      <c r="B650" s="39" t="s">
        <v>426</v>
      </c>
      <c r="C650" s="39" t="s">
        <v>37</v>
      </c>
      <c r="D650" s="39" t="s">
        <v>23</v>
      </c>
      <c r="E650" s="39" t="s">
        <v>528</v>
      </c>
      <c r="F650" s="554"/>
      <c r="G650" s="291">
        <f t="shared" si="210"/>
        <v>0</v>
      </c>
      <c r="H650" s="62">
        <f t="shared" si="210"/>
        <v>666</v>
      </c>
      <c r="I650" s="61">
        <f t="shared" si="210"/>
        <v>0</v>
      </c>
      <c r="J650" s="728">
        <f t="shared" si="210"/>
        <v>891.8</v>
      </c>
      <c r="K650" s="42">
        <f t="shared" si="210"/>
        <v>63.3</v>
      </c>
      <c r="L650" s="43">
        <f t="shared" si="210"/>
        <v>955.09999999999991</v>
      </c>
      <c r="M650" s="319"/>
      <c r="N650" s="320"/>
      <c r="O650" s="47"/>
    </row>
    <row r="651" spans="1:16" ht="16.5" customHeight="1" thickBot="1">
      <c r="A651" s="176" t="s">
        <v>305</v>
      </c>
      <c r="B651" s="39" t="s">
        <v>426</v>
      </c>
      <c r="C651" s="39" t="s">
        <v>37</v>
      </c>
      <c r="D651" s="39" t="s">
        <v>23</v>
      </c>
      <c r="E651" s="39" t="s">
        <v>528</v>
      </c>
      <c r="F651" s="554" t="s">
        <v>306</v>
      </c>
      <c r="G651" s="291"/>
      <c r="H651" s="241">
        <v>666</v>
      </c>
      <c r="I651" s="61"/>
      <c r="J651" s="741">
        <v>891.8</v>
      </c>
      <c r="K651" s="742">
        <f>25.1-11.8+50</f>
        <v>63.3</v>
      </c>
      <c r="L651" s="743">
        <f>J651+K651</f>
        <v>955.09999999999991</v>
      </c>
      <c r="M651" s="319"/>
      <c r="N651" s="320"/>
      <c r="O651" s="11">
        <v>880</v>
      </c>
    </row>
    <row r="652" spans="1:16" ht="30" thickBot="1">
      <c r="A652" s="321" t="s">
        <v>552</v>
      </c>
      <c r="B652" s="133" t="s">
        <v>553</v>
      </c>
      <c r="C652" s="133"/>
      <c r="D652" s="133"/>
      <c r="E652" s="133"/>
      <c r="F652" s="560"/>
      <c r="G652" s="544">
        <f>G653+G671</f>
        <v>166.57999999999998</v>
      </c>
      <c r="H652" s="256">
        <f>H653+H671+H697</f>
        <v>6376.0199999999995</v>
      </c>
      <c r="I652" s="255">
        <f>I653+I671+I697</f>
        <v>0</v>
      </c>
      <c r="J652" s="764">
        <f>J653+J671+J697+J662+J702+J658</f>
        <v>8299.1404000000002</v>
      </c>
      <c r="K652" s="764">
        <f>K653+K671+K697+K662+K702+K658</f>
        <v>771.06745999999998</v>
      </c>
      <c r="L652" s="832">
        <f>L653+L671+L697+L662+L702+L658</f>
        <v>9070.2078600000004</v>
      </c>
      <c r="M652" s="135">
        <f>M653+M671+M697+M662</f>
        <v>52.756</v>
      </c>
      <c r="N652" s="136">
        <f>N653+N671+N697+N662</f>
        <v>5404.11</v>
      </c>
      <c r="O652" s="15">
        <f>L652-L686-L684</f>
        <v>9032.2078600000004</v>
      </c>
      <c r="P652" s="15"/>
    </row>
    <row r="653" spans="1:16" s="272" customFormat="1" ht="14.25">
      <c r="A653" s="193" t="s">
        <v>19</v>
      </c>
      <c r="B653" s="139" t="s">
        <v>553</v>
      </c>
      <c r="C653" s="139" t="s">
        <v>22</v>
      </c>
      <c r="D653" s="139"/>
      <c r="E653" s="139"/>
      <c r="F653" s="567"/>
      <c r="G653" s="530">
        <f t="shared" ref="G653:N656" si="211">G654</f>
        <v>0</v>
      </c>
      <c r="H653" s="170">
        <f t="shared" si="211"/>
        <v>774.87</v>
      </c>
      <c r="I653" s="169">
        <f t="shared" si="211"/>
        <v>0</v>
      </c>
      <c r="J653" s="739">
        <f t="shared" si="211"/>
        <v>832.74199999999996</v>
      </c>
      <c r="K653" s="727">
        <f t="shared" si="211"/>
        <v>0</v>
      </c>
      <c r="L653" s="34">
        <f t="shared" si="211"/>
        <v>832.74199999999996</v>
      </c>
      <c r="M653" s="171">
        <f t="shared" si="211"/>
        <v>-78.244</v>
      </c>
      <c r="N653" s="172">
        <f t="shared" si="211"/>
        <v>754.49799999999993</v>
      </c>
    </row>
    <row r="654" spans="1:16" s="179" customFormat="1" ht="75">
      <c r="A654" s="176" t="s">
        <v>273</v>
      </c>
      <c r="B654" s="38" t="s">
        <v>553</v>
      </c>
      <c r="C654" s="38" t="s">
        <v>22</v>
      </c>
      <c r="D654" s="38" t="s">
        <v>27</v>
      </c>
      <c r="E654" s="38"/>
      <c r="F654" s="556"/>
      <c r="G654" s="518">
        <f t="shared" si="211"/>
        <v>0</v>
      </c>
      <c r="H654" s="90">
        <f t="shared" si="211"/>
        <v>774.87</v>
      </c>
      <c r="I654" s="67">
        <f t="shared" si="211"/>
        <v>0</v>
      </c>
      <c r="J654" s="734">
        <f t="shared" si="211"/>
        <v>832.74199999999996</v>
      </c>
      <c r="K654" s="91">
        <f t="shared" si="211"/>
        <v>0</v>
      </c>
      <c r="L654" s="92">
        <f t="shared" si="211"/>
        <v>832.74199999999996</v>
      </c>
      <c r="M654" s="147">
        <f t="shared" si="211"/>
        <v>-78.244</v>
      </c>
      <c r="N654" s="148">
        <f t="shared" si="211"/>
        <v>754.49799999999993</v>
      </c>
    </row>
    <row r="655" spans="1:16" ht="30">
      <c r="A655" s="176" t="s">
        <v>412</v>
      </c>
      <c r="B655" s="39" t="s">
        <v>553</v>
      </c>
      <c r="C655" s="39" t="s">
        <v>22</v>
      </c>
      <c r="D655" s="39" t="s">
        <v>27</v>
      </c>
      <c r="E655" s="39" t="s">
        <v>192</v>
      </c>
      <c r="F655" s="554"/>
      <c r="G655" s="291">
        <f t="shared" si="211"/>
        <v>0</v>
      </c>
      <c r="H655" s="62">
        <f t="shared" si="211"/>
        <v>774.87</v>
      </c>
      <c r="I655" s="61">
        <f t="shared" si="211"/>
        <v>0</v>
      </c>
      <c r="J655" s="728">
        <f t="shared" si="211"/>
        <v>832.74199999999996</v>
      </c>
      <c r="K655" s="42">
        <f t="shared" si="211"/>
        <v>0</v>
      </c>
      <c r="L655" s="43">
        <f t="shared" si="211"/>
        <v>832.74199999999996</v>
      </c>
      <c r="M655" s="63">
        <f t="shared" si="211"/>
        <v>-78.244</v>
      </c>
      <c r="N655" s="64">
        <f t="shared" si="211"/>
        <v>754.49799999999993</v>
      </c>
    </row>
    <row r="656" spans="1:16">
      <c r="A656" s="176" t="s">
        <v>193</v>
      </c>
      <c r="B656" s="39" t="s">
        <v>553</v>
      </c>
      <c r="C656" s="39" t="s">
        <v>22</v>
      </c>
      <c r="D656" s="39" t="s">
        <v>27</v>
      </c>
      <c r="E656" s="39" t="s">
        <v>194</v>
      </c>
      <c r="F656" s="554"/>
      <c r="G656" s="291">
        <f t="shared" si="211"/>
        <v>0</v>
      </c>
      <c r="H656" s="62">
        <f t="shared" si="211"/>
        <v>774.87</v>
      </c>
      <c r="I656" s="61">
        <f t="shared" si="211"/>
        <v>0</v>
      </c>
      <c r="J656" s="728">
        <f t="shared" si="211"/>
        <v>832.74199999999996</v>
      </c>
      <c r="K656" s="42">
        <f t="shared" si="211"/>
        <v>0</v>
      </c>
      <c r="L656" s="43">
        <f t="shared" si="211"/>
        <v>832.74199999999996</v>
      </c>
      <c r="M656" s="63">
        <f t="shared" si="211"/>
        <v>-78.244</v>
      </c>
      <c r="N656" s="64">
        <f t="shared" si="211"/>
        <v>754.49799999999993</v>
      </c>
    </row>
    <row r="657" spans="1:16" ht="30">
      <c r="A657" s="186" t="s">
        <v>136</v>
      </c>
      <c r="B657" s="39" t="s">
        <v>553</v>
      </c>
      <c r="C657" s="39" t="s">
        <v>22</v>
      </c>
      <c r="D657" s="39" t="s">
        <v>27</v>
      </c>
      <c r="E657" s="39" t="s">
        <v>194</v>
      </c>
      <c r="F657" s="554" t="s">
        <v>134</v>
      </c>
      <c r="G657" s="291"/>
      <c r="H657" s="322">
        <v>774.87</v>
      </c>
      <c r="I657" s="323"/>
      <c r="J657" s="728">
        <v>832.74199999999996</v>
      </c>
      <c r="K657" s="42"/>
      <c r="L657" s="43">
        <f>J657+K657</f>
        <v>832.74199999999996</v>
      </c>
      <c r="M657" s="63">
        <f>-78.244</f>
        <v>-78.244</v>
      </c>
      <c r="N657" s="45">
        <f>L657+M657</f>
        <v>754.49799999999993</v>
      </c>
      <c r="O657" s="65">
        <v>774.97</v>
      </c>
      <c r="P657" s="15">
        <f>L657-O657</f>
        <v>57.771999999999935</v>
      </c>
    </row>
    <row r="658" spans="1:16" s="719" customFormat="1" ht="14.25">
      <c r="A658" s="713" t="s">
        <v>49</v>
      </c>
      <c r="B658" s="714" t="s">
        <v>553</v>
      </c>
      <c r="C658" s="714" t="s">
        <v>27</v>
      </c>
      <c r="D658" s="714"/>
      <c r="E658" s="714"/>
      <c r="F658" s="715"/>
      <c r="G658" s="716"/>
      <c r="H658" s="717"/>
      <c r="I658" s="717"/>
      <c r="J658" s="773">
        <f>J659</f>
        <v>0</v>
      </c>
      <c r="K658" s="831">
        <f t="shared" ref="K658:N660" si="212">K659</f>
        <v>25.989460000000001</v>
      </c>
      <c r="L658" s="831">
        <f t="shared" si="212"/>
        <v>25.989460000000001</v>
      </c>
      <c r="M658" s="833">
        <f t="shared" si="212"/>
        <v>0</v>
      </c>
      <c r="N658" s="718">
        <f t="shared" si="212"/>
        <v>0</v>
      </c>
      <c r="P658" s="720"/>
    </row>
    <row r="659" spans="1:16">
      <c r="A659" s="202" t="s">
        <v>51</v>
      </c>
      <c r="B659" s="38" t="s">
        <v>553</v>
      </c>
      <c r="C659" s="38" t="s">
        <v>27</v>
      </c>
      <c r="D659" s="38" t="s">
        <v>22</v>
      </c>
      <c r="E659" s="38"/>
      <c r="F659" s="556"/>
      <c r="G659" s="291"/>
      <c r="H659" s="712"/>
      <c r="I659" s="712"/>
      <c r="J659" s="734">
        <f>J660</f>
        <v>0</v>
      </c>
      <c r="K659" s="830">
        <f t="shared" si="212"/>
        <v>25.989460000000001</v>
      </c>
      <c r="L659" s="830">
        <f t="shared" si="212"/>
        <v>25.989460000000001</v>
      </c>
      <c r="M659" s="834">
        <f t="shared" si="212"/>
        <v>0</v>
      </c>
      <c r="N659" s="622">
        <f t="shared" si="212"/>
        <v>0</v>
      </c>
      <c r="O659" s="65"/>
      <c r="P659" s="15"/>
    </row>
    <row r="660" spans="1:16" ht="30">
      <c r="A660" s="204" t="s">
        <v>1207</v>
      </c>
      <c r="B660" s="39" t="s">
        <v>553</v>
      </c>
      <c r="C660" s="39" t="s">
        <v>27</v>
      </c>
      <c r="D660" s="39" t="s">
        <v>22</v>
      </c>
      <c r="E660" s="39" t="s">
        <v>1197</v>
      </c>
      <c r="F660" s="554"/>
      <c r="G660" s="291"/>
      <c r="H660" s="712"/>
      <c r="I660" s="712"/>
      <c r="J660" s="728">
        <f>J661</f>
        <v>0</v>
      </c>
      <c r="K660" s="42">
        <f t="shared" si="212"/>
        <v>25.989460000000001</v>
      </c>
      <c r="L660" s="42">
        <f t="shared" si="212"/>
        <v>25.989460000000001</v>
      </c>
      <c r="M660" s="63"/>
      <c r="N660" s="45"/>
      <c r="O660" s="65"/>
      <c r="P660" s="15"/>
    </row>
    <row r="661" spans="1:16" ht="30.75" thickBot="1">
      <c r="A661" s="200" t="s">
        <v>136</v>
      </c>
      <c r="B661" s="39" t="s">
        <v>553</v>
      </c>
      <c r="C661" s="39" t="s">
        <v>27</v>
      </c>
      <c r="D661" s="39" t="s">
        <v>22</v>
      </c>
      <c r="E661" s="39" t="s">
        <v>1197</v>
      </c>
      <c r="F661" s="554" t="s">
        <v>143</v>
      </c>
      <c r="G661" s="291"/>
      <c r="H661" s="712"/>
      <c r="I661" s="712"/>
      <c r="J661" s="728"/>
      <c r="K661" s="42">
        <v>25.989460000000001</v>
      </c>
      <c r="L661" s="43">
        <f>J661+K661</f>
        <v>25.989460000000001</v>
      </c>
      <c r="M661" s="63"/>
      <c r="N661" s="45"/>
      <c r="O661" s="65"/>
      <c r="P661" s="15"/>
    </row>
    <row r="662" spans="1:16" s="272" customFormat="1" ht="14.25">
      <c r="A662" s="297" t="s">
        <v>64</v>
      </c>
      <c r="B662" s="49" t="s">
        <v>553</v>
      </c>
      <c r="C662" s="49" t="s">
        <v>33</v>
      </c>
      <c r="D662" s="49"/>
      <c r="E662" s="49"/>
      <c r="F662" s="562"/>
      <c r="G662" s="517" t="e">
        <f>G682+G696+#REF!</f>
        <v>#REF!</v>
      </c>
      <c r="H662" s="144">
        <f>H682+H696+H663</f>
        <v>3071.02</v>
      </c>
      <c r="I662" s="144">
        <f>I682+I696+I663</f>
        <v>0</v>
      </c>
      <c r="J662" s="52">
        <f>J663</f>
        <v>250.93600000000001</v>
      </c>
      <c r="K662" s="729">
        <f>K663</f>
        <v>7.6390000000000002</v>
      </c>
      <c r="L662" s="53">
        <f>L663</f>
        <v>258.57500000000005</v>
      </c>
      <c r="M662" s="53">
        <f>M663</f>
        <v>50</v>
      </c>
      <c r="N662" s="146">
        <f>N663</f>
        <v>50</v>
      </c>
    </row>
    <row r="663" spans="1:16" s="179" customFormat="1" ht="28.5">
      <c r="A663" s="194" t="s">
        <v>69</v>
      </c>
      <c r="B663" s="38" t="s">
        <v>553</v>
      </c>
      <c r="C663" s="38" t="s">
        <v>33</v>
      </c>
      <c r="D663" s="38" t="s">
        <v>33</v>
      </c>
      <c r="E663" s="38"/>
      <c r="F663" s="556"/>
      <c r="G663" s="518">
        <f t="shared" ref="G663:I664" si="213">G664</f>
        <v>0</v>
      </c>
      <c r="H663" s="90">
        <f t="shared" si="213"/>
        <v>15.72</v>
      </c>
      <c r="I663" s="67">
        <f t="shared" si="213"/>
        <v>0</v>
      </c>
      <c r="J663" s="734">
        <f>J664+J666+J668</f>
        <v>250.93600000000001</v>
      </c>
      <c r="K663" s="91">
        <f>K664+K666+K668</f>
        <v>7.6390000000000002</v>
      </c>
      <c r="L663" s="92">
        <f>L664+L666+L668</f>
        <v>258.57500000000005</v>
      </c>
      <c r="M663" s="147">
        <f>M664</f>
        <v>50</v>
      </c>
      <c r="N663" s="148">
        <f>N664</f>
        <v>50</v>
      </c>
    </row>
    <row r="664" spans="1:16" ht="30" hidden="1">
      <c r="A664" s="186" t="s">
        <v>520</v>
      </c>
      <c r="B664" s="39" t="s">
        <v>553</v>
      </c>
      <c r="C664" s="39" t="s">
        <v>33</v>
      </c>
      <c r="D664" s="39" t="s">
        <v>33</v>
      </c>
      <c r="E664" s="39" t="s">
        <v>521</v>
      </c>
      <c r="F664" s="554"/>
      <c r="G664" s="291">
        <f t="shared" si="213"/>
        <v>0</v>
      </c>
      <c r="H664" s="62">
        <f t="shared" si="213"/>
        <v>15.72</v>
      </c>
      <c r="I664" s="61">
        <f t="shared" si="213"/>
        <v>0</v>
      </c>
      <c r="J664" s="728">
        <f>J665</f>
        <v>0</v>
      </c>
      <c r="K664" s="42">
        <f>K665</f>
        <v>0</v>
      </c>
      <c r="L664" s="43">
        <f>L665</f>
        <v>0</v>
      </c>
      <c r="M664" s="63">
        <f>M665</f>
        <v>50</v>
      </c>
      <c r="N664" s="64">
        <f>N665</f>
        <v>50</v>
      </c>
    </row>
    <row r="665" spans="1:16" ht="30" hidden="1">
      <c r="A665" s="186" t="s">
        <v>136</v>
      </c>
      <c r="B665" s="39" t="s">
        <v>553</v>
      </c>
      <c r="C665" s="39" t="s">
        <v>33</v>
      </c>
      <c r="D665" s="39" t="s">
        <v>33</v>
      </c>
      <c r="E665" s="39" t="s">
        <v>521</v>
      </c>
      <c r="F665" s="554" t="s">
        <v>134</v>
      </c>
      <c r="G665" s="291"/>
      <c r="H665" s="241">
        <v>15.72</v>
      </c>
      <c r="I665" s="61"/>
      <c r="J665" s="728"/>
      <c r="K665" s="42"/>
      <c r="L665" s="43">
        <f>J665+K665</f>
        <v>0</v>
      </c>
      <c r="M665" s="63">
        <v>50</v>
      </c>
      <c r="N665" s="45">
        <f>L665+M665</f>
        <v>50</v>
      </c>
    </row>
    <row r="666" spans="1:16" ht="30">
      <c r="A666" s="176" t="s">
        <v>146</v>
      </c>
      <c r="B666" s="39" t="s">
        <v>553</v>
      </c>
      <c r="C666" s="39" t="s">
        <v>33</v>
      </c>
      <c r="D666" s="39" t="s">
        <v>33</v>
      </c>
      <c r="E666" s="39" t="s">
        <v>554</v>
      </c>
      <c r="F666" s="554"/>
      <c r="G666" s="291"/>
      <c r="H666" s="291"/>
      <c r="I666" s="61"/>
      <c r="J666" s="728">
        <f>J667</f>
        <v>184.93600000000001</v>
      </c>
      <c r="K666" s="42">
        <f>K667</f>
        <v>2.6390000000000002</v>
      </c>
      <c r="L666" s="43">
        <f>L667</f>
        <v>187.57500000000002</v>
      </c>
      <c r="M666" s="63"/>
      <c r="N666" s="45"/>
    </row>
    <row r="667" spans="1:16" ht="30">
      <c r="A667" s="583" t="s">
        <v>153</v>
      </c>
      <c r="B667" s="39" t="s">
        <v>553</v>
      </c>
      <c r="C667" s="39" t="s">
        <v>33</v>
      </c>
      <c r="D667" s="39" t="s">
        <v>33</v>
      </c>
      <c r="E667" s="39" t="s">
        <v>554</v>
      </c>
      <c r="F667" s="554" t="s">
        <v>143</v>
      </c>
      <c r="G667" s="291"/>
      <c r="H667" s="291"/>
      <c r="I667" s="61"/>
      <c r="J667" s="728">
        <v>184.93600000000001</v>
      </c>
      <c r="K667" s="42">
        <f>4.7-2.061</f>
        <v>2.6390000000000002</v>
      </c>
      <c r="L667" s="43">
        <f>J667+K667</f>
        <v>187.57500000000002</v>
      </c>
      <c r="M667" s="63"/>
      <c r="N667" s="45"/>
      <c r="O667" s="65">
        <v>124.86</v>
      </c>
      <c r="P667" s="15">
        <f>L667-O667</f>
        <v>62.715000000000018</v>
      </c>
    </row>
    <row r="668" spans="1:16" ht="30">
      <c r="A668" s="176" t="s">
        <v>413</v>
      </c>
      <c r="B668" s="39" t="s">
        <v>553</v>
      </c>
      <c r="C668" s="39" t="s">
        <v>33</v>
      </c>
      <c r="D668" s="39" t="s">
        <v>33</v>
      </c>
      <c r="E668" s="39" t="s">
        <v>414</v>
      </c>
      <c r="F668" s="554"/>
      <c r="G668" s="291"/>
      <c r="H668" s="291"/>
      <c r="I668" s="61"/>
      <c r="J668" s="728">
        <f t="shared" ref="J668:L669" si="214">J669</f>
        <v>66</v>
      </c>
      <c r="K668" s="42">
        <f t="shared" si="214"/>
        <v>5</v>
      </c>
      <c r="L668" s="43">
        <f t="shared" si="214"/>
        <v>71</v>
      </c>
      <c r="M668" s="63"/>
      <c r="N668" s="45"/>
      <c r="O668" s="65"/>
    </row>
    <row r="669" spans="1:16" ht="45">
      <c r="A669" s="176" t="s">
        <v>555</v>
      </c>
      <c r="B669" s="39" t="s">
        <v>553</v>
      </c>
      <c r="C669" s="39" t="s">
        <v>33</v>
      </c>
      <c r="D669" s="39" t="s">
        <v>33</v>
      </c>
      <c r="E669" s="39" t="s">
        <v>547</v>
      </c>
      <c r="F669" s="554"/>
      <c r="G669" s="291"/>
      <c r="H669" s="291"/>
      <c r="I669" s="61"/>
      <c r="J669" s="728">
        <f t="shared" si="214"/>
        <v>66</v>
      </c>
      <c r="K669" s="42">
        <f t="shared" si="214"/>
        <v>5</v>
      </c>
      <c r="L669" s="43">
        <f t="shared" si="214"/>
        <v>71</v>
      </c>
      <c r="M669" s="63"/>
      <c r="N669" s="45"/>
      <c r="O669" s="65"/>
    </row>
    <row r="670" spans="1:16" ht="30">
      <c r="A670" s="313" t="s">
        <v>136</v>
      </c>
      <c r="B670" s="95" t="s">
        <v>553</v>
      </c>
      <c r="C670" s="95" t="s">
        <v>33</v>
      </c>
      <c r="D670" s="95" t="s">
        <v>33</v>
      </c>
      <c r="E670" s="95" t="s">
        <v>547</v>
      </c>
      <c r="F670" s="557" t="s">
        <v>134</v>
      </c>
      <c r="G670" s="291"/>
      <c r="H670" s="291"/>
      <c r="I670" s="61"/>
      <c r="J670" s="728">
        <v>66</v>
      </c>
      <c r="K670" s="42">
        <v>5</v>
      </c>
      <c r="L670" s="43">
        <f>J670+K670</f>
        <v>71</v>
      </c>
      <c r="M670" s="63"/>
      <c r="N670" s="45"/>
      <c r="O670" s="65">
        <v>166</v>
      </c>
      <c r="P670" s="15">
        <f>L670-O670</f>
        <v>-95</v>
      </c>
    </row>
    <row r="671" spans="1:16" s="272" customFormat="1" ht="28.5">
      <c r="A671" s="289" t="s">
        <v>556</v>
      </c>
      <c r="B671" s="49" t="s">
        <v>553</v>
      </c>
      <c r="C671" s="49" t="s">
        <v>54</v>
      </c>
      <c r="D671" s="49"/>
      <c r="E671" s="49"/>
      <c r="F671" s="562"/>
      <c r="G671" s="517">
        <f>G672+G693</f>
        <v>166.57999999999998</v>
      </c>
      <c r="H671" s="58">
        <f>H672+H693</f>
        <v>5601.15</v>
      </c>
      <c r="I671" s="57">
        <f>I672+I693</f>
        <v>0</v>
      </c>
      <c r="J671" s="52">
        <f>J672+J693+J689</f>
        <v>6282.9233999999997</v>
      </c>
      <c r="K671" s="729">
        <f>K672+K693+K689</f>
        <v>391.23900000000003</v>
      </c>
      <c r="L671" s="53">
        <f>L672+L693+L689</f>
        <v>6674.1624000000002</v>
      </c>
      <c r="M671" s="248">
        <f>M672+M693+M689</f>
        <v>1</v>
      </c>
      <c r="N671" s="52">
        <f>N672+N693+N689</f>
        <v>4519.6120000000001</v>
      </c>
    </row>
    <row r="672" spans="1:16" s="179" customFormat="1" ht="14.25">
      <c r="A672" s="174" t="s">
        <v>73</v>
      </c>
      <c r="B672" s="38" t="s">
        <v>553</v>
      </c>
      <c r="C672" s="38" t="s">
        <v>54</v>
      </c>
      <c r="D672" s="38" t="s">
        <v>22</v>
      </c>
      <c r="E672" s="38"/>
      <c r="F672" s="556"/>
      <c r="G672" s="518">
        <f t="shared" ref="G672:M672" si="215">G673+G680</f>
        <v>137.57999999999998</v>
      </c>
      <c r="H672" s="90">
        <f t="shared" si="215"/>
        <v>3820.25</v>
      </c>
      <c r="I672" s="67">
        <f t="shared" si="215"/>
        <v>0</v>
      </c>
      <c r="J672" s="734">
        <f>J673+J680+J685+J687</f>
        <v>4277.884</v>
      </c>
      <c r="K672" s="830">
        <f>K673+K680+K685+K687</f>
        <v>284.22800000000001</v>
      </c>
      <c r="L672" s="830">
        <f>L673+L680+L685+L687</f>
        <v>4562.1120000000001</v>
      </c>
      <c r="M672" s="147">
        <f t="shared" si="215"/>
        <v>51</v>
      </c>
      <c r="N672" s="148">
        <f>N673+N680</f>
        <v>4569.6120000000001</v>
      </c>
    </row>
    <row r="673" spans="1:19">
      <c r="A673" s="176" t="s">
        <v>557</v>
      </c>
      <c r="B673" s="39" t="s">
        <v>553</v>
      </c>
      <c r="C673" s="39" t="s">
        <v>54</v>
      </c>
      <c r="D673" s="39" t="s">
        <v>22</v>
      </c>
      <c r="E673" s="39" t="s">
        <v>558</v>
      </c>
      <c r="F673" s="554"/>
      <c r="G673" s="291">
        <f t="shared" ref="G673:N673" si="216">G674</f>
        <v>67.58</v>
      </c>
      <c r="H673" s="62">
        <f t="shared" si="216"/>
        <v>2510.85</v>
      </c>
      <c r="I673" s="61">
        <f t="shared" si="216"/>
        <v>0</v>
      </c>
      <c r="J673" s="728">
        <f t="shared" si="216"/>
        <v>1189.174</v>
      </c>
      <c r="K673" s="42">
        <f t="shared" si="216"/>
        <v>40.998999999999995</v>
      </c>
      <c r="L673" s="43">
        <f t="shared" si="216"/>
        <v>1230.173</v>
      </c>
      <c r="M673" s="63">
        <f t="shared" si="216"/>
        <v>-39</v>
      </c>
      <c r="N673" s="64">
        <f t="shared" si="216"/>
        <v>1191.173</v>
      </c>
    </row>
    <row r="674" spans="1:19" ht="30">
      <c r="A674" s="176" t="s">
        <v>146</v>
      </c>
      <c r="B674" s="39" t="s">
        <v>553</v>
      </c>
      <c r="C674" s="39" t="s">
        <v>54</v>
      </c>
      <c r="D674" s="39" t="s">
        <v>22</v>
      </c>
      <c r="E674" s="39" t="s">
        <v>322</v>
      </c>
      <c r="F674" s="554"/>
      <c r="G674" s="291">
        <f>G675</f>
        <v>67.58</v>
      </c>
      <c r="H674" s="62">
        <f>H675</f>
        <v>2510.85</v>
      </c>
      <c r="I674" s="61">
        <f>I675</f>
        <v>0</v>
      </c>
      <c r="J674" s="728">
        <f>J675+J676+J678</f>
        <v>1189.174</v>
      </c>
      <c r="K674" s="42">
        <f>K675+K676+K678</f>
        <v>40.998999999999995</v>
      </c>
      <c r="L674" s="43">
        <f>L675+L676+L678</f>
        <v>1230.173</v>
      </c>
      <c r="M674" s="63">
        <f>M675</f>
        <v>-39</v>
      </c>
      <c r="N674" s="64">
        <f>N675</f>
        <v>1191.173</v>
      </c>
    </row>
    <row r="675" spans="1:19" ht="30">
      <c r="A675" s="176" t="s">
        <v>142</v>
      </c>
      <c r="B675" s="39" t="s">
        <v>553</v>
      </c>
      <c r="C675" s="39" t="s">
        <v>54</v>
      </c>
      <c r="D675" s="39" t="s">
        <v>22</v>
      </c>
      <c r="E675" s="39" t="s">
        <v>322</v>
      </c>
      <c r="F675" s="554" t="s">
        <v>143</v>
      </c>
      <c r="G675" s="291">
        <f>67.58</f>
        <v>67.58</v>
      </c>
      <c r="H675" s="41">
        <v>2510.85</v>
      </c>
      <c r="I675" s="61"/>
      <c r="J675" s="728">
        <v>1189.174</v>
      </c>
      <c r="K675" s="42">
        <f>24.4-10.701+27.3</f>
        <v>40.998999999999995</v>
      </c>
      <c r="L675" s="43">
        <f>J675+K675</f>
        <v>1230.173</v>
      </c>
      <c r="M675" s="324">
        <f>-4-35</f>
        <v>-39</v>
      </c>
      <c r="N675" s="45">
        <f>L675+M675</f>
        <v>1191.173</v>
      </c>
      <c r="O675" s="65">
        <v>1151.4100000000001</v>
      </c>
      <c r="P675" s="15">
        <f>L675-O675</f>
        <v>78.76299999999992</v>
      </c>
    </row>
    <row r="676" spans="1:19" ht="30" hidden="1">
      <c r="A676" s="46" t="s">
        <v>559</v>
      </c>
      <c r="B676" s="39" t="s">
        <v>553</v>
      </c>
      <c r="C676" s="39" t="s">
        <v>54</v>
      </c>
      <c r="D676" s="39" t="s">
        <v>22</v>
      </c>
      <c r="E676" s="39" t="s">
        <v>322</v>
      </c>
      <c r="F676" s="554"/>
      <c r="G676" s="291"/>
      <c r="H676" s="41"/>
      <c r="I676" s="61"/>
      <c r="J676" s="728">
        <f>J677</f>
        <v>0</v>
      </c>
      <c r="K676" s="42">
        <f>K677</f>
        <v>0</v>
      </c>
      <c r="L676" s="43">
        <f>L677</f>
        <v>0</v>
      </c>
      <c r="M676" s="324"/>
      <c r="N676" s="45"/>
      <c r="P676" s="149"/>
    </row>
    <row r="677" spans="1:19" ht="30" hidden="1">
      <c r="A677" s="46" t="s">
        <v>153</v>
      </c>
      <c r="B677" s="39" t="s">
        <v>553</v>
      </c>
      <c r="C677" s="39" t="s">
        <v>54</v>
      </c>
      <c r="D677" s="39" t="s">
        <v>22</v>
      </c>
      <c r="E677" s="39" t="s">
        <v>560</v>
      </c>
      <c r="F677" s="554" t="s">
        <v>143</v>
      </c>
      <c r="G677" s="291"/>
      <c r="H677" s="41"/>
      <c r="I677" s="61"/>
      <c r="J677" s="728"/>
      <c r="K677" s="42"/>
      <c r="L677" s="43">
        <f>J677+K677</f>
        <v>0</v>
      </c>
      <c r="M677" s="324"/>
      <c r="N677" s="45"/>
      <c r="O677" s="85"/>
      <c r="P677" s="149"/>
    </row>
    <row r="678" spans="1:19" ht="45" hidden="1">
      <c r="A678" s="46" t="s">
        <v>156</v>
      </c>
      <c r="B678" s="39" t="s">
        <v>553</v>
      </c>
      <c r="C678" s="39" t="s">
        <v>54</v>
      </c>
      <c r="D678" s="39" t="s">
        <v>22</v>
      </c>
      <c r="E678" s="39" t="s">
        <v>322</v>
      </c>
      <c r="F678" s="554"/>
      <c r="G678" s="291"/>
      <c r="H678" s="41"/>
      <c r="I678" s="61"/>
      <c r="J678" s="728">
        <f>J679</f>
        <v>0</v>
      </c>
      <c r="K678" s="42">
        <f>K679</f>
        <v>0</v>
      </c>
      <c r="L678" s="43">
        <f>L679</f>
        <v>0</v>
      </c>
      <c r="M678" s="324"/>
      <c r="N678" s="45"/>
      <c r="P678" s="149"/>
    </row>
    <row r="679" spans="1:19" ht="30" hidden="1">
      <c r="A679" s="46" t="s">
        <v>153</v>
      </c>
      <c r="B679" s="39" t="s">
        <v>553</v>
      </c>
      <c r="C679" s="39" t="s">
        <v>54</v>
      </c>
      <c r="D679" s="39" t="s">
        <v>22</v>
      </c>
      <c r="E679" s="39" t="s">
        <v>561</v>
      </c>
      <c r="F679" s="554" t="s">
        <v>143</v>
      </c>
      <c r="G679" s="291"/>
      <c r="H679" s="41"/>
      <c r="I679" s="61"/>
      <c r="J679" s="728"/>
      <c r="K679" s="42">
        <v>0</v>
      </c>
      <c r="L679" s="730">
        <f>J679+K679</f>
        <v>0</v>
      </c>
      <c r="M679" s="324"/>
      <c r="N679" s="45"/>
      <c r="O679" s="65"/>
      <c r="P679" s="149"/>
    </row>
    <row r="680" spans="1:19" ht="45">
      <c r="A680" s="176" t="s">
        <v>562</v>
      </c>
      <c r="B680" s="39" t="s">
        <v>553</v>
      </c>
      <c r="C680" s="39" t="s">
        <v>54</v>
      </c>
      <c r="D680" s="39" t="s">
        <v>22</v>
      </c>
      <c r="E680" s="39" t="s">
        <v>563</v>
      </c>
      <c r="F680" s="554"/>
      <c r="G680" s="291">
        <f t="shared" ref="G680:M680" si="217">G681+G683</f>
        <v>70</v>
      </c>
      <c r="H680" s="62">
        <f t="shared" si="217"/>
        <v>1309.4000000000001</v>
      </c>
      <c r="I680" s="61">
        <f t="shared" si="217"/>
        <v>0</v>
      </c>
      <c r="J680" s="728">
        <f t="shared" si="217"/>
        <v>3045.21</v>
      </c>
      <c r="K680" s="42">
        <f t="shared" si="217"/>
        <v>243.22900000000001</v>
      </c>
      <c r="L680" s="43">
        <f t="shared" si="217"/>
        <v>3288.4389999999999</v>
      </c>
      <c r="M680" s="63">
        <f t="shared" si="217"/>
        <v>90</v>
      </c>
      <c r="N680" s="64">
        <f>N681+N683</f>
        <v>3378.4389999999999</v>
      </c>
    </row>
    <row r="681" spans="1:19" ht="30">
      <c r="A681" s="176" t="s">
        <v>146</v>
      </c>
      <c r="B681" s="39" t="s">
        <v>553</v>
      </c>
      <c r="C681" s="39" t="s">
        <v>54</v>
      </c>
      <c r="D681" s="39" t="s">
        <v>22</v>
      </c>
      <c r="E681" s="39" t="s">
        <v>564</v>
      </c>
      <c r="F681" s="554"/>
      <c r="G681" s="291">
        <f t="shared" ref="G681:N681" si="218">G682</f>
        <v>70</v>
      </c>
      <c r="H681" s="62">
        <f t="shared" si="218"/>
        <v>1274.4000000000001</v>
      </c>
      <c r="I681" s="61">
        <f t="shared" si="218"/>
        <v>0</v>
      </c>
      <c r="J681" s="728">
        <f t="shared" si="218"/>
        <v>3007.21</v>
      </c>
      <c r="K681" s="42">
        <f t="shared" si="218"/>
        <v>243.22900000000001</v>
      </c>
      <c r="L681" s="43">
        <f t="shared" si="218"/>
        <v>3250.4389999999999</v>
      </c>
      <c r="M681" s="63">
        <f t="shared" si="218"/>
        <v>90</v>
      </c>
      <c r="N681" s="64">
        <f t="shared" si="218"/>
        <v>3340.4389999999999</v>
      </c>
    </row>
    <row r="682" spans="1:19" ht="30">
      <c r="A682" s="176" t="s">
        <v>142</v>
      </c>
      <c r="B682" s="39" t="s">
        <v>553</v>
      </c>
      <c r="C682" s="39" t="s">
        <v>54</v>
      </c>
      <c r="D682" s="39" t="s">
        <v>22</v>
      </c>
      <c r="E682" s="39" t="s">
        <v>564</v>
      </c>
      <c r="F682" s="554" t="s">
        <v>143</v>
      </c>
      <c r="G682" s="291">
        <f>10+60</f>
        <v>70</v>
      </c>
      <c r="H682" s="41">
        <v>1274.4000000000001</v>
      </c>
      <c r="I682" s="61"/>
      <c r="J682" s="728">
        <v>3007.21</v>
      </c>
      <c r="K682" s="42">
        <f>81.7-35.831+197.36</f>
        <v>243.22900000000001</v>
      </c>
      <c r="L682" s="43">
        <f>J682+K682</f>
        <v>3250.4389999999999</v>
      </c>
      <c r="M682" s="63">
        <v>90</v>
      </c>
      <c r="N682" s="45">
        <f>L682+M682</f>
        <v>3340.4389999999999</v>
      </c>
      <c r="O682" s="65">
        <v>2316.75</v>
      </c>
      <c r="P682" s="15">
        <f>L682-O682</f>
        <v>933.68899999999985</v>
      </c>
    </row>
    <row r="683" spans="1:19" ht="30">
      <c r="A683" s="176" t="s">
        <v>146</v>
      </c>
      <c r="B683" s="39" t="s">
        <v>553</v>
      </c>
      <c r="C683" s="39" t="s">
        <v>54</v>
      </c>
      <c r="D683" s="39" t="s">
        <v>22</v>
      </c>
      <c r="E683" s="39" t="s">
        <v>565</v>
      </c>
      <c r="F683" s="554"/>
      <c r="G683" s="291">
        <f t="shared" ref="G683:N683" si="219">G684</f>
        <v>0</v>
      </c>
      <c r="H683" s="41">
        <f t="shared" si="219"/>
        <v>35</v>
      </c>
      <c r="I683" s="61">
        <f t="shared" si="219"/>
        <v>0</v>
      </c>
      <c r="J683" s="728">
        <f t="shared" si="219"/>
        <v>38</v>
      </c>
      <c r="K683" s="42">
        <f t="shared" si="219"/>
        <v>0</v>
      </c>
      <c r="L683" s="43">
        <f t="shared" si="219"/>
        <v>38</v>
      </c>
      <c r="M683" s="63">
        <f t="shared" si="219"/>
        <v>0</v>
      </c>
      <c r="N683" s="45">
        <f t="shared" si="219"/>
        <v>38</v>
      </c>
    </row>
    <row r="684" spans="1:19" ht="30">
      <c r="A684" s="176" t="s">
        <v>142</v>
      </c>
      <c r="B684" s="39" t="s">
        <v>553</v>
      </c>
      <c r="C684" s="39" t="s">
        <v>54</v>
      </c>
      <c r="D684" s="39" t="s">
        <v>22</v>
      </c>
      <c r="E684" s="39" t="s">
        <v>565</v>
      </c>
      <c r="F684" s="554" t="s">
        <v>143</v>
      </c>
      <c r="G684" s="291"/>
      <c r="H684" s="41">
        <v>35</v>
      </c>
      <c r="I684" s="61"/>
      <c r="J684" s="728">
        <v>38</v>
      </c>
      <c r="K684" s="42"/>
      <c r="L684" s="43">
        <f>J684+K684</f>
        <v>38</v>
      </c>
      <c r="M684" s="63"/>
      <c r="N684" s="45">
        <f>L684+M684</f>
        <v>38</v>
      </c>
      <c r="O684" s="65"/>
      <c r="S684" s="261"/>
    </row>
    <row r="685" spans="1:19" ht="45">
      <c r="A685" s="176" t="s">
        <v>566</v>
      </c>
      <c r="B685" s="39" t="s">
        <v>553</v>
      </c>
      <c r="C685" s="39" t="s">
        <v>54</v>
      </c>
      <c r="D685" s="39" t="s">
        <v>22</v>
      </c>
      <c r="E685" s="39" t="s">
        <v>567</v>
      </c>
      <c r="F685" s="554"/>
      <c r="G685" s="291"/>
      <c r="H685" s="41"/>
      <c r="I685" s="61"/>
      <c r="J685" s="728">
        <f>J686</f>
        <v>43.5</v>
      </c>
      <c r="K685" s="42">
        <f>K686</f>
        <v>-43.5</v>
      </c>
      <c r="L685" s="43">
        <f>L686</f>
        <v>0</v>
      </c>
      <c r="M685" s="63"/>
      <c r="N685" s="45"/>
    </row>
    <row r="686" spans="1:19" ht="30">
      <c r="A686" s="176" t="s">
        <v>142</v>
      </c>
      <c r="B686" s="39" t="s">
        <v>553</v>
      </c>
      <c r="C686" s="39" t="s">
        <v>54</v>
      </c>
      <c r="D686" s="39" t="s">
        <v>22</v>
      </c>
      <c r="E686" s="39" t="s">
        <v>567</v>
      </c>
      <c r="F686" s="554" t="s">
        <v>143</v>
      </c>
      <c r="G686" s="291"/>
      <c r="H686" s="41"/>
      <c r="I686" s="61"/>
      <c r="J686" s="728">
        <v>43.5</v>
      </c>
      <c r="K686" s="42">
        <v>-43.5</v>
      </c>
      <c r="L686" s="43">
        <f>J686+K686</f>
        <v>0</v>
      </c>
      <c r="M686" s="63"/>
      <c r="N686" s="45"/>
      <c r="O686" s="11">
        <v>43.5</v>
      </c>
      <c r="P686" s="15">
        <f>K686</f>
        <v>-43.5</v>
      </c>
      <c r="S686" s="261"/>
    </row>
    <row r="687" spans="1:19" ht="45">
      <c r="A687" s="176" t="s">
        <v>566</v>
      </c>
      <c r="B687" s="39" t="s">
        <v>553</v>
      </c>
      <c r="C687" s="39" t="s">
        <v>54</v>
      </c>
      <c r="D687" s="39" t="s">
        <v>22</v>
      </c>
      <c r="E687" s="39" t="s">
        <v>1201</v>
      </c>
      <c r="F687" s="554"/>
      <c r="G687" s="291"/>
      <c r="H687" s="41"/>
      <c r="I687" s="61"/>
      <c r="J687" s="728">
        <f>J688</f>
        <v>0</v>
      </c>
      <c r="K687" s="42">
        <f>K688</f>
        <v>43.5</v>
      </c>
      <c r="L687" s="42">
        <f>L688</f>
        <v>43.5</v>
      </c>
      <c r="M687" s="63"/>
      <c r="N687" s="45"/>
      <c r="P687" s="15"/>
      <c r="S687" s="261"/>
    </row>
    <row r="688" spans="1:19" ht="30">
      <c r="A688" s="176" t="s">
        <v>142</v>
      </c>
      <c r="B688" s="39" t="s">
        <v>553</v>
      </c>
      <c r="C688" s="39" t="s">
        <v>54</v>
      </c>
      <c r="D688" s="39" t="s">
        <v>22</v>
      </c>
      <c r="E688" s="39" t="s">
        <v>1201</v>
      </c>
      <c r="F688" s="554" t="s">
        <v>143</v>
      </c>
      <c r="G688" s="291"/>
      <c r="H688" s="41"/>
      <c r="I688" s="61"/>
      <c r="J688" s="728"/>
      <c r="K688" s="42">
        <v>43.5</v>
      </c>
      <c r="L688" s="43">
        <f>J688+K688</f>
        <v>43.5</v>
      </c>
      <c r="M688" s="63"/>
      <c r="N688" s="45"/>
      <c r="P688" s="15"/>
      <c r="S688" s="261"/>
    </row>
    <row r="689" spans="1:18" ht="29.25">
      <c r="A689" s="174" t="s">
        <v>568</v>
      </c>
      <c r="B689" s="38" t="s">
        <v>553</v>
      </c>
      <c r="C689" s="38" t="s">
        <v>54</v>
      </c>
      <c r="D689" s="38" t="s">
        <v>27</v>
      </c>
      <c r="E689" s="38"/>
      <c r="F689" s="556"/>
      <c r="G689" s="518">
        <f t="shared" ref="G689:L691" si="220">G690</f>
        <v>29</v>
      </c>
      <c r="H689" s="90">
        <f t="shared" si="220"/>
        <v>1780.9</v>
      </c>
      <c r="I689" s="67">
        <f t="shared" si="220"/>
        <v>0</v>
      </c>
      <c r="J689" s="734">
        <f t="shared" si="220"/>
        <v>2005.0393999999999</v>
      </c>
      <c r="K689" s="91">
        <f t="shared" si="220"/>
        <v>107.011</v>
      </c>
      <c r="L689" s="92">
        <f t="shared" si="220"/>
        <v>2112.0504000000001</v>
      </c>
      <c r="M689" s="63"/>
      <c r="N689" s="45"/>
    </row>
    <row r="690" spans="1:18" ht="45">
      <c r="A690" s="176" t="s">
        <v>530</v>
      </c>
      <c r="B690" s="39" t="s">
        <v>553</v>
      </c>
      <c r="C690" s="39" t="s">
        <v>54</v>
      </c>
      <c r="D690" s="39" t="s">
        <v>27</v>
      </c>
      <c r="E690" s="39" t="s">
        <v>176</v>
      </c>
      <c r="F690" s="554"/>
      <c r="G690" s="291">
        <f t="shared" si="220"/>
        <v>29</v>
      </c>
      <c r="H690" s="62">
        <f t="shared" si="220"/>
        <v>1780.9</v>
      </c>
      <c r="I690" s="61">
        <f t="shared" si="220"/>
        <v>0</v>
      </c>
      <c r="J690" s="728">
        <f t="shared" si="220"/>
        <v>2005.0393999999999</v>
      </c>
      <c r="K690" s="42">
        <f t="shared" si="220"/>
        <v>107.011</v>
      </c>
      <c r="L690" s="43">
        <f>L691</f>
        <v>2112.0504000000001</v>
      </c>
      <c r="M690" s="63"/>
      <c r="N690" s="45"/>
    </row>
    <row r="691" spans="1:18" ht="30">
      <c r="A691" s="176" t="s">
        <v>146</v>
      </c>
      <c r="B691" s="39" t="s">
        <v>553</v>
      </c>
      <c r="C691" s="39" t="s">
        <v>54</v>
      </c>
      <c r="D691" s="39" t="s">
        <v>27</v>
      </c>
      <c r="E691" s="39" t="s">
        <v>177</v>
      </c>
      <c r="F691" s="554"/>
      <c r="G691" s="291">
        <f t="shared" si="220"/>
        <v>29</v>
      </c>
      <c r="H691" s="62">
        <f t="shared" si="220"/>
        <v>1780.9</v>
      </c>
      <c r="I691" s="61">
        <f t="shared" si="220"/>
        <v>0</v>
      </c>
      <c r="J691" s="728">
        <f t="shared" si="220"/>
        <v>2005.0393999999999</v>
      </c>
      <c r="K691" s="42">
        <f t="shared" si="220"/>
        <v>107.011</v>
      </c>
      <c r="L691" s="43">
        <f t="shared" si="220"/>
        <v>2112.0504000000001</v>
      </c>
      <c r="M691" s="63"/>
      <c r="N691" s="45"/>
    </row>
    <row r="692" spans="1:18" ht="30">
      <c r="A692" s="313" t="s">
        <v>142</v>
      </c>
      <c r="B692" s="95" t="s">
        <v>553</v>
      </c>
      <c r="C692" s="95" t="s">
        <v>54</v>
      </c>
      <c r="D692" s="95" t="s">
        <v>27</v>
      </c>
      <c r="E692" s="95" t="s">
        <v>177</v>
      </c>
      <c r="F692" s="557" t="s">
        <v>143</v>
      </c>
      <c r="G692" s="540">
        <v>29</v>
      </c>
      <c r="H692" s="325">
        <v>1780.9</v>
      </c>
      <c r="I692" s="240"/>
      <c r="J692" s="735">
        <v>2005.0393999999999</v>
      </c>
      <c r="K692" s="736">
        <f>62-27.192+72.203</f>
        <v>107.011</v>
      </c>
      <c r="L692" s="737">
        <f>J692+K692</f>
        <v>2112.0504000000001</v>
      </c>
      <c r="M692" s="63"/>
      <c r="N692" s="45"/>
      <c r="P692" s="15"/>
    </row>
    <row r="693" spans="1:18" s="179" customFormat="1" ht="42.75" hidden="1">
      <c r="A693" s="174" t="s">
        <v>531</v>
      </c>
      <c r="B693" s="38" t="s">
        <v>553</v>
      </c>
      <c r="C693" s="38" t="s">
        <v>54</v>
      </c>
      <c r="D693" s="38" t="s">
        <v>31</v>
      </c>
      <c r="E693" s="38"/>
      <c r="F693" s="556"/>
      <c r="G693" s="518">
        <f t="shared" ref="G693:N695" si="221">G694</f>
        <v>29</v>
      </c>
      <c r="H693" s="90">
        <f t="shared" si="221"/>
        <v>1780.9</v>
      </c>
      <c r="I693" s="67">
        <f t="shared" si="221"/>
        <v>0</v>
      </c>
      <c r="J693" s="734">
        <f t="shared" si="221"/>
        <v>0</v>
      </c>
      <c r="K693" s="91">
        <f t="shared" si="221"/>
        <v>0</v>
      </c>
      <c r="L693" s="92">
        <f t="shared" si="221"/>
        <v>0</v>
      </c>
      <c r="M693" s="147">
        <f t="shared" si="221"/>
        <v>-50</v>
      </c>
      <c r="N693" s="148">
        <f t="shared" si="221"/>
        <v>-50</v>
      </c>
    </row>
    <row r="694" spans="1:18" ht="45" hidden="1">
      <c r="A694" s="176" t="s">
        <v>530</v>
      </c>
      <c r="B694" s="39" t="s">
        <v>553</v>
      </c>
      <c r="C694" s="39" t="s">
        <v>54</v>
      </c>
      <c r="D694" s="39" t="s">
        <v>31</v>
      </c>
      <c r="E694" s="39" t="s">
        <v>176</v>
      </c>
      <c r="F694" s="554"/>
      <c r="G694" s="291">
        <f t="shared" si="221"/>
        <v>29</v>
      </c>
      <c r="H694" s="62">
        <f t="shared" si="221"/>
        <v>1780.9</v>
      </c>
      <c r="I694" s="61">
        <f t="shared" si="221"/>
        <v>0</v>
      </c>
      <c r="J694" s="728">
        <f t="shared" si="221"/>
        <v>0</v>
      </c>
      <c r="K694" s="42">
        <f t="shared" si="221"/>
        <v>0</v>
      </c>
      <c r="L694" s="43">
        <f>L695</f>
        <v>0</v>
      </c>
      <c r="M694" s="63">
        <f t="shared" si="221"/>
        <v>-50</v>
      </c>
      <c r="N694" s="64">
        <f>N695</f>
        <v>-50</v>
      </c>
    </row>
    <row r="695" spans="1:18" ht="30" hidden="1">
      <c r="A695" s="176" t="s">
        <v>146</v>
      </c>
      <c r="B695" s="39" t="s">
        <v>553</v>
      </c>
      <c r="C695" s="39" t="s">
        <v>54</v>
      </c>
      <c r="D695" s="39" t="s">
        <v>31</v>
      </c>
      <c r="E695" s="39" t="s">
        <v>177</v>
      </c>
      <c r="F695" s="554"/>
      <c r="G695" s="291">
        <f t="shared" si="221"/>
        <v>29</v>
      </c>
      <c r="H695" s="62">
        <f t="shared" si="221"/>
        <v>1780.9</v>
      </c>
      <c r="I695" s="61">
        <f t="shared" si="221"/>
        <v>0</v>
      </c>
      <c r="J695" s="728">
        <f t="shared" si="221"/>
        <v>0</v>
      </c>
      <c r="K695" s="42">
        <f t="shared" si="221"/>
        <v>0</v>
      </c>
      <c r="L695" s="43">
        <f t="shared" si="221"/>
        <v>0</v>
      </c>
      <c r="M695" s="63">
        <f t="shared" si="221"/>
        <v>-50</v>
      </c>
      <c r="N695" s="64">
        <f t="shared" si="221"/>
        <v>-50</v>
      </c>
    </row>
    <row r="696" spans="1:18" ht="30" hidden="1">
      <c r="A696" s="313" t="s">
        <v>142</v>
      </c>
      <c r="B696" s="95" t="s">
        <v>553</v>
      </c>
      <c r="C696" s="95" t="s">
        <v>54</v>
      </c>
      <c r="D696" s="95" t="s">
        <v>31</v>
      </c>
      <c r="E696" s="95" t="s">
        <v>177</v>
      </c>
      <c r="F696" s="557" t="s">
        <v>143</v>
      </c>
      <c r="G696" s="540">
        <v>29</v>
      </c>
      <c r="H696" s="325">
        <v>1780.9</v>
      </c>
      <c r="I696" s="240"/>
      <c r="J696" s="735"/>
      <c r="K696" s="736"/>
      <c r="L696" s="737">
        <f>J696+K696</f>
        <v>0</v>
      </c>
      <c r="M696" s="72">
        <v>-50</v>
      </c>
      <c r="N696" s="73">
        <f>L696+M696</f>
        <v>-50</v>
      </c>
      <c r="O696" s="65"/>
      <c r="P696" s="149"/>
    </row>
    <row r="697" spans="1:18" ht="29.25" hidden="1">
      <c r="A697" s="48" t="s">
        <v>569</v>
      </c>
      <c r="B697" s="49" t="s">
        <v>553</v>
      </c>
      <c r="C697" s="49" t="s">
        <v>48</v>
      </c>
      <c r="D697" s="95"/>
      <c r="E697" s="95"/>
      <c r="F697" s="557"/>
      <c r="G697" s="540"/>
      <c r="H697" s="325">
        <f t="shared" ref="H697:N697" si="222">H698</f>
        <v>0</v>
      </c>
      <c r="I697" s="326">
        <f t="shared" si="222"/>
        <v>0</v>
      </c>
      <c r="J697" s="774">
        <f t="shared" si="222"/>
        <v>0</v>
      </c>
      <c r="K697" s="775">
        <f t="shared" si="222"/>
        <v>0</v>
      </c>
      <c r="L697" s="776">
        <f t="shared" si="222"/>
        <v>0</v>
      </c>
      <c r="M697" s="279">
        <f t="shared" si="222"/>
        <v>80</v>
      </c>
      <c r="N697" s="73">
        <f t="shared" si="222"/>
        <v>80</v>
      </c>
    </row>
    <row r="698" spans="1:18" s="179" customFormat="1" ht="14.25" hidden="1">
      <c r="A698" s="174" t="s">
        <v>83</v>
      </c>
      <c r="B698" s="38" t="s">
        <v>553</v>
      </c>
      <c r="C698" s="38" t="s">
        <v>48</v>
      </c>
      <c r="D698" s="38" t="s">
        <v>54</v>
      </c>
      <c r="E698" s="38"/>
      <c r="F698" s="556"/>
      <c r="G698" s="518">
        <f t="shared" ref="G698:N700" si="223">G699</f>
        <v>0</v>
      </c>
      <c r="H698" s="90">
        <f t="shared" si="223"/>
        <v>0</v>
      </c>
      <c r="I698" s="67">
        <f t="shared" si="223"/>
        <v>0</v>
      </c>
      <c r="J698" s="734">
        <f t="shared" si="223"/>
        <v>0</v>
      </c>
      <c r="K698" s="91">
        <f t="shared" si="223"/>
        <v>0</v>
      </c>
      <c r="L698" s="92">
        <f t="shared" si="223"/>
        <v>0</v>
      </c>
      <c r="M698" s="147">
        <f>M699</f>
        <v>80</v>
      </c>
      <c r="N698" s="148">
        <f t="shared" si="223"/>
        <v>80</v>
      </c>
    </row>
    <row r="699" spans="1:18" ht="30" hidden="1">
      <c r="A699" s="176" t="s">
        <v>533</v>
      </c>
      <c r="B699" s="39" t="s">
        <v>553</v>
      </c>
      <c r="C699" s="39" t="s">
        <v>48</v>
      </c>
      <c r="D699" s="39" t="s">
        <v>54</v>
      </c>
      <c r="E699" s="39" t="s">
        <v>534</v>
      </c>
      <c r="F699" s="554"/>
      <c r="G699" s="291">
        <f t="shared" si="223"/>
        <v>0</v>
      </c>
      <c r="H699" s="62">
        <f t="shared" si="223"/>
        <v>0</v>
      </c>
      <c r="I699" s="61">
        <f t="shared" si="223"/>
        <v>0</v>
      </c>
      <c r="J699" s="728">
        <f t="shared" si="223"/>
        <v>0</v>
      </c>
      <c r="K699" s="42">
        <f t="shared" si="223"/>
        <v>0</v>
      </c>
      <c r="L699" s="43">
        <f t="shared" si="223"/>
        <v>0</v>
      </c>
      <c r="M699" s="63">
        <f>M700</f>
        <v>80</v>
      </c>
      <c r="N699" s="64">
        <f t="shared" si="223"/>
        <v>80</v>
      </c>
    </row>
    <row r="700" spans="1:18" ht="45" hidden="1">
      <c r="A700" s="176" t="s">
        <v>535</v>
      </c>
      <c r="B700" s="39" t="s">
        <v>553</v>
      </c>
      <c r="C700" s="39" t="s">
        <v>48</v>
      </c>
      <c r="D700" s="39" t="s">
        <v>54</v>
      </c>
      <c r="E700" s="39" t="s">
        <v>536</v>
      </c>
      <c r="F700" s="554"/>
      <c r="G700" s="291">
        <f t="shared" si="223"/>
        <v>0</v>
      </c>
      <c r="H700" s="62">
        <f t="shared" si="223"/>
        <v>0</v>
      </c>
      <c r="I700" s="61">
        <f t="shared" si="223"/>
        <v>0</v>
      </c>
      <c r="J700" s="728">
        <f t="shared" si="223"/>
        <v>0</v>
      </c>
      <c r="K700" s="42">
        <f t="shared" si="223"/>
        <v>0</v>
      </c>
      <c r="L700" s="43">
        <f t="shared" si="223"/>
        <v>0</v>
      </c>
      <c r="M700" s="63">
        <f>M701</f>
        <v>80</v>
      </c>
      <c r="N700" s="64">
        <f t="shared" si="223"/>
        <v>80</v>
      </c>
      <c r="R700" s="261"/>
    </row>
    <row r="701" spans="1:18" ht="30.75" hidden="1" thickBot="1">
      <c r="A701" s="186" t="s">
        <v>136</v>
      </c>
      <c r="B701" s="39" t="s">
        <v>553</v>
      </c>
      <c r="C701" s="39" t="s">
        <v>48</v>
      </c>
      <c r="D701" s="39" t="s">
        <v>54</v>
      </c>
      <c r="E701" s="39" t="s">
        <v>536</v>
      </c>
      <c r="F701" s="554" t="s">
        <v>134</v>
      </c>
      <c r="G701" s="291"/>
      <c r="H701" s="163"/>
      <c r="I701" s="162"/>
      <c r="J701" s="735"/>
      <c r="K701" s="736"/>
      <c r="L701" s="737">
        <f>J701+K701</f>
        <v>0</v>
      </c>
      <c r="M701" s="121">
        <v>80</v>
      </c>
      <c r="N701" s="164">
        <f>L701+M701</f>
        <v>80</v>
      </c>
      <c r="O701" s="65"/>
    </row>
    <row r="702" spans="1:18" ht="15.75" thickBot="1">
      <c r="A702" s="48" t="s">
        <v>83</v>
      </c>
      <c r="B702" s="49" t="s">
        <v>553</v>
      </c>
      <c r="C702" s="49" t="s">
        <v>35</v>
      </c>
      <c r="D702" s="95"/>
      <c r="E702" s="95"/>
      <c r="F702" s="557"/>
      <c r="G702" s="540"/>
      <c r="H702" s="325">
        <f>H703</f>
        <v>0</v>
      </c>
      <c r="I702" s="326">
        <f>I703</f>
        <v>0</v>
      </c>
      <c r="J702" s="774">
        <f>J703</f>
        <v>932.53899999999999</v>
      </c>
      <c r="K702" s="775">
        <f>K703</f>
        <v>346.2</v>
      </c>
      <c r="L702" s="776">
        <f>L703</f>
        <v>1278.739</v>
      </c>
      <c r="M702" s="327"/>
      <c r="N702" s="320"/>
      <c r="O702" s="65"/>
    </row>
    <row r="703" spans="1:18" ht="15.75" thickBot="1">
      <c r="A703" s="174" t="s">
        <v>324</v>
      </c>
      <c r="B703" s="38" t="s">
        <v>553</v>
      </c>
      <c r="C703" s="38" t="s">
        <v>35</v>
      </c>
      <c r="D703" s="38" t="s">
        <v>22</v>
      </c>
      <c r="E703" s="38"/>
      <c r="F703" s="556"/>
      <c r="G703" s="518">
        <f t="shared" ref="G703:L705" si="224">G704</f>
        <v>0</v>
      </c>
      <c r="H703" s="90">
        <f t="shared" si="224"/>
        <v>0</v>
      </c>
      <c r="I703" s="67">
        <f t="shared" si="224"/>
        <v>0</v>
      </c>
      <c r="J703" s="734">
        <f t="shared" si="224"/>
        <v>932.53899999999999</v>
      </c>
      <c r="K703" s="91">
        <f t="shared" si="224"/>
        <v>346.2</v>
      </c>
      <c r="L703" s="92">
        <f t="shared" si="224"/>
        <v>1278.739</v>
      </c>
      <c r="M703" s="327"/>
      <c r="N703" s="320"/>
      <c r="O703" s="65"/>
    </row>
    <row r="704" spans="1:18" ht="30.75" thickBot="1">
      <c r="A704" s="176" t="s">
        <v>533</v>
      </c>
      <c r="B704" s="39" t="s">
        <v>553</v>
      </c>
      <c r="C704" s="39" t="s">
        <v>35</v>
      </c>
      <c r="D704" s="39" t="s">
        <v>22</v>
      </c>
      <c r="E704" s="39" t="s">
        <v>534</v>
      </c>
      <c r="F704" s="554"/>
      <c r="G704" s="291">
        <f t="shared" si="224"/>
        <v>0</v>
      </c>
      <c r="H704" s="62">
        <f t="shared" si="224"/>
        <v>0</v>
      </c>
      <c r="I704" s="61">
        <f t="shared" si="224"/>
        <v>0</v>
      </c>
      <c r="J704" s="728">
        <f t="shared" si="224"/>
        <v>932.53899999999999</v>
      </c>
      <c r="K704" s="42">
        <f t="shared" si="224"/>
        <v>346.2</v>
      </c>
      <c r="L704" s="43">
        <f t="shared" si="224"/>
        <v>1278.739</v>
      </c>
      <c r="M704" s="327"/>
      <c r="N704" s="320"/>
      <c r="O704" s="65"/>
    </row>
    <row r="705" spans="1:19" ht="30.75" thickBot="1">
      <c r="A705" s="176" t="s">
        <v>570</v>
      </c>
      <c r="B705" s="39" t="s">
        <v>553</v>
      </c>
      <c r="C705" s="39" t="s">
        <v>35</v>
      </c>
      <c r="D705" s="39" t="s">
        <v>22</v>
      </c>
      <c r="E705" s="39" t="s">
        <v>536</v>
      </c>
      <c r="F705" s="554"/>
      <c r="G705" s="291">
        <f t="shared" si="224"/>
        <v>0</v>
      </c>
      <c r="H705" s="62">
        <f t="shared" si="224"/>
        <v>0</v>
      </c>
      <c r="I705" s="61">
        <f t="shared" si="224"/>
        <v>0</v>
      </c>
      <c r="J705" s="728">
        <f t="shared" si="224"/>
        <v>932.53899999999999</v>
      </c>
      <c r="K705" s="42">
        <f t="shared" si="224"/>
        <v>346.2</v>
      </c>
      <c r="L705" s="43">
        <f t="shared" si="224"/>
        <v>1278.739</v>
      </c>
      <c r="M705" s="327"/>
      <c r="N705" s="320"/>
      <c r="O705" s="65"/>
    </row>
    <row r="706" spans="1:19" ht="30.75" thickBot="1">
      <c r="A706" s="176" t="s">
        <v>136</v>
      </c>
      <c r="B706" s="39" t="s">
        <v>553</v>
      </c>
      <c r="C706" s="39" t="s">
        <v>35</v>
      </c>
      <c r="D706" s="39" t="s">
        <v>22</v>
      </c>
      <c r="E706" s="39" t="s">
        <v>536</v>
      </c>
      <c r="F706" s="554" t="s">
        <v>134</v>
      </c>
      <c r="G706" s="291"/>
      <c r="H706" s="163"/>
      <c r="I706" s="162"/>
      <c r="J706" s="741">
        <v>932.53899999999999</v>
      </c>
      <c r="K706" s="742">
        <f>346.2</f>
        <v>346.2</v>
      </c>
      <c r="L706" s="743">
        <f>J706+K706</f>
        <v>1278.739</v>
      </c>
      <c r="M706" s="327"/>
      <c r="N706" s="320"/>
      <c r="O706" s="65"/>
      <c r="P706" s="261"/>
      <c r="R706" s="274"/>
      <c r="S706" s="261"/>
    </row>
    <row r="707" spans="1:19" s="294" customFormat="1" ht="13.5" customHeight="1" thickBot="1">
      <c r="A707" s="584" t="s">
        <v>571</v>
      </c>
      <c r="B707" s="585"/>
      <c r="C707" s="585"/>
      <c r="D707" s="585"/>
      <c r="E707" s="585"/>
      <c r="F707" s="586"/>
      <c r="G707" s="587" t="e">
        <f t="shared" ref="G707:N707" si="225">G12+G97+G197+G317+G411+G418+G652</f>
        <v>#REF!</v>
      </c>
      <c r="H707" s="588" t="e">
        <f t="shared" si="225"/>
        <v>#REF!</v>
      </c>
      <c r="I707" s="589" t="e">
        <f t="shared" si="225"/>
        <v>#REF!</v>
      </c>
      <c r="J707" s="777">
        <f t="shared" si="225"/>
        <v>443078.26841999992</v>
      </c>
      <c r="K707" s="778">
        <f t="shared" si="225"/>
        <v>122432.71057000001</v>
      </c>
      <c r="L707" s="779">
        <f t="shared" si="225"/>
        <v>565510.97898999997</v>
      </c>
      <c r="M707" s="580" t="e">
        <f t="shared" si="225"/>
        <v>#REF!</v>
      </c>
      <c r="N707" s="328" t="e">
        <f t="shared" si="225"/>
        <v>#REF!</v>
      </c>
      <c r="O707" s="329"/>
      <c r="P707" s="329"/>
      <c r="S707" s="329"/>
    </row>
    <row r="708" spans="1:19">
      <c r="A708" s="66"/>
      <c r="H708" s="66"/>
      <c r="N708" s="330">
        <v>372157.62</v>
      </c>
      <c r="Q708" s="15"/>
      <c r="R708" s="66"/>
    </row>
    <row r="709" spans="1:19" ht="15.75" thickBot="1">
      <c r="A709" s="66"/>
      <c r="H709" s="66"/>
      <c r="L709" s="723">
        <f>L708-L707</f>
        <v>-565510.97898999997</v>
      </c>
      <c r="N709" s="330" t="e">
        <f>N708-N707</f>
        <v>#REF!</v>
      </c>
      <c r="O709" s="261"/>
      <c r="Q709" s="15"/>
    </row>
    <row r="710" spans="1:19" ht="15.75" thickBot="1">
      <c r="A710" s="66"/>
      <c r="E710" s="11">
        <f>SUM(H711:H721)</f>
        <v>18920.13</v>
      </c>
      <c r="F710" s="331" t="s">
        <v>22</v>
      </c>
      <c r="G710" s="332" t="e">
        <f>G98+G198+G419+G653</f>
        <v>#REF!</v>
      </c>
      <c r="H710" s="332">
        <f>H98+H198+H419+H653</f>
        <v>18920.129999999997</v>
      </c>
      <c r="I710" s="333">
        <f>I98+I198+I419+I653</f>
        <v>0</v>
      </c>
      <c r="J710" s="333">
        <f>J711+J712+J713+J714+J715+J716+J717+J718+J719+J720+J721</f>
        <v>25476.497930000001</v>
      </c>
      <c r="K710" s="334">
        <f>K711+K712+K713+K714+K715+K716+K717+K718+K719+K720+K721</f>
        <v>107.59800000000004</v>
      </c>
      <c r="L710" s="334">
        <f>L711+L712+L713+L714+L715+L716+L717+L718+L719+L720+L721</f>
        <v>25584.095929999996</v>
      </c>
      <c r="M710" s="334">
        <f>M98+M198+M419+M653</f>
        <v>-833.36</v>
      </c>
      <c r="N710" s="335">
        <f>N98+N198+N419+N653</f>
        <v>23094.363759999997</v>
      </c>
    </row>
    <row r="711" spans="1:19">
      <c r="A711" s="66"/>
      <c r="F711" s="75" t="s">
        <v>572</v>
      </c>
      <c r="G711" s="336">
        <f t="shared" ref="G711:M711" si="226">G420</f>
        <v>0</v>
      </c>
      <c r="H711" s="336">
        <f t="shared" si="226"/>
        <v>861</v>
      </c>
      <c r="I711" s="336">
        <f t="shared" si="226"/>
        <v>0</v>
      </c>
      <c r="J711" s="361">
        <f t="shared" si="226"/>
        <v>1080.095</v>
      </c>
      <c r="K711" s="78">
        <f t="shared" si="226"/>
        <v>0</v>
      </c>
      <c r="L711" s="78">
        <f t="shared" si="226"/>
        <v>1080.095</v>
      </c>
      <c r="M711" s="337">
        <f t="shared" si="226"/>
        <v>0</v>
      </c>
      <c r="N711" s="337">
        <f>N420</f>
        <v>1080.095</v>
      </c>
    </row>
    <row r="712" spans="1:19">
      <c r="A712" s="66"/>
      <c r="F712" s="38" t="s">
        <v>573</v>
      </c>
      <c r="G712" s="338">
        <f>G425</f>
        <v>30</v>
      </c>
      <c r="H712" s="338">
        <f t="shared" ref="H712:N712" si="227">H424</f>
        <v>1353</v>
      </c>
      <c r="I712" s="338">
        <f t="shared" si="227"/>
        <v>0</v>
      </c>
      <c r="J712" s="340">
        <f t="shared" si="227"/>
        <v>1706.816</v>
      </c>
      <c r="K712" s="91">
        <f t="shared" si="227"/>
        <v>2.133</v>
      </c>
      <c r="L712" s="91">
        <f t="shared" si="227"/>
        <v>1708.9490000000001</v>
      </c>
      <c r="M712" s="339">
        <f t="shared" si="227"/>
        <v>0</v>
      </c>
      <c r="N712" s="339">
        <f t="shared" si="227"/>
        <v>1708.9490000000001</v>
      </c>
    </row>
    <row r="713" spans="1:19">
      <c r="F713" s="38" t="s">
        <v>574</v>
      </c>
      <c r="G713" s="338" t="e">
        <f t="shared" ref="G713:N713" si="228">G430+G654+G99+G199</f>
        <v>#REF!</v>
      </c>
      <c r="H713" s="340">
        <f t="shared" si="228"/>
        <v>11828.130000000001</v>
      </c>
      <c r="I713" s="340">
        <f t="shared" si="228"/>
        <v>0</v>
      </c>
      <c r="J713" s="340">
        <f t="shared" si="228"/>
        <v>16633.749</v>
      </c>
      <c r="K713" s="340">
        <f t="shared" si="228"/>
        <v>633.178</v>
      </c>
      <c r="L713" s="91">
        <f t="shared" si="228"/>
        <v>17266.926999999996</v>
      </c>
      <c r="M713" s="91">
        <f t="shared" si="228"/>
        <v>-216.864</v>
      </c>
      <c r="N713" s="91">
        <f t="shared" si="228"/>
        <v>17050.062999999998</v>
      </c>
    </row>
    <row r="714" spans="1:19">
      <c r="F714" s="38" t="s">
        <v>575</v>
      </c>
      <c r="G714" s="338">
        <f>G441</f>
        <v>0</v>
      </c>
      <c r="H714" s="341">
        <f t="shared" ref="H714:N714" si="229">H443</f>
        <v>0</v>
      </c>
      <c r="I714" s="341">
        <f t="shared" si="229"/>
        <v>0</v>
      </c>
      <c r="J714" s="340">
        <f t="shared" si="229"/>
        <v>0</v>
      </c>
      <c r="K714" s="91">
        <f t="shared" si="229"/>
        <v>0</v>
      </c>
      <c r="L714" s="91">
        <f t="shared" si="229"/>
        <v>0</v>
      </c>
      <c r="M714" s="342">
        <f t="shared" si="229"/>
        <v>0</v>
      </c>
      <c r="N714" s="342">
        <f t="shared" si="229"/>
        <v>0</v>
      </c>
    </row>
    <row r="715" spans="1:19">
      <c r="F715" s="38" t="s">
        <v>576</v>
      </c>
      <c r="G715" s="338">
        <f t="shared" ref="G715:M715" si="230">G208</f>
        <v>412.31000000000006</v>
      </c>
      <c r="H715" s="338">
        <f t="shared" si="230"/>
        <v>2981.6</v>
      </c>
      <c r="I715" s="338">
        <f t="shared" si="230"/>
        <v>0</v>
      </c>
      <c r="J715" s="340">
        <f t="shared" si="230"/>
        <v>3208.3449999999998</v>
      </c>
      <c r="K715" s="91">
        <f t="shared" si="230"/>
        <v>68.960999999999999</v>
      </c>
      <c r="L715" s="91">
        <f t="shared" si="230"/>
        <v>3277.3059999999996</v>
      </c>
      <c r="M715" s="339">
        <f t="shared" si="230"/>
        <v>-205.49600000000001</v>
      </c>
      <c r="N715" s="91">
        <f>N208</f>
        <v>3071.8099999999995</v>
      </c>
    </row>
    <row r="716" spans="1:19">
      <c r="F716" s="38" t="s">
        <v>577</v>
      </c>
      <c r="G716" s="338">
        <f t="shared" ref="G716:M716" si="231">G446</f>
        <v>0</v>
      </c>
      <c r="H716" s="338">
        <f t="shared" si="231"/>
        <v>20</v>
      </c>
      <c r="I716" s="338">
        <f t="shared" si="231"/>
        <v>0</v>
      </c>
      <c r="J716" s="340">
        <f t="shared" si="231"/>
        <v>134.28892999999999</v>
      </c>
      <c r="K716" s="91">
        <f t="shared" si="231"/>
        <v>30</v>
      </c>
      <c r="L716" s="91">
        <f t="shared" si="231"/>
        <v>164.28892999999999</v>
      </c>
      <c r="M716" s="339">
        <f t="shared" si="231"/>
        <v>0</v>
      </c>
      <c r="N716" s="91">
        <f>N446</f>
        <v>52.946759999999998</v>
      </c>
    </row>
    <row r="717" spans="1:19">
      <c r="F717" s="343" t="s">
        <v>578</v>
      </c>
      <c r="G717" s="344">
        <f t="shared" ref="G717:M717" si="232">G212</f>
        <v>0</v>
      </c>
      <c r="H717" s="344">
        <f t="shared" si="232"/>
        <v>63</v>
      </c>
      <c r="I717" s="344">
        <f t="shared" si="232"/>
        <v>0</v>
      </c>
      <c r="J717" s="345">
        <f t="shared" si="232"/>
        <v>0</v>
      </c>
      <c r="K717" s="780">
        <f t="shared" si="232"/>
        <v>0</v>
      </c>
      <c r="L717" s="780">
        <f t="shared" si="232"/>
        <v>0</v>
      </c>
      <c r="M717" s="339">
        <f t="shared" si="232"/>
        <v>0</v>
      </c>
      <c r="N717" s="91">
        <f>N212</f>
        <v>0</v>
      </c>
    </row>
    <row r="718" spans="1:19">
      <c r="F718" s="343" t="s">
        <v>578</v>
      </c>
      <c r="G718" s="344"/>
      <c r="H718" s="344"/>
      <c r="I718" s="344"/>
      <c r="J718" s="345">
        <f>J216</f>
        <v>662.71600000000001</v>
      </c>
      <c r="K718" s="345">
        <f>K216</f>
        <v>-662.71600000000001</v>
      </c>
      <c r="L718" s="345">
        <f>L216</f>
        <v>0</v>
      </c>
      <c r="M718" s="345">
        <f>M216</f>
        <v>0</v>
      </c>
      <c r="N718" s="345">
        <f>N216</f>
        <v>0</v>
      </c>
    </row>
    <row r="719" spans="1:19">
      <c r="F719" s="38" t="s">
        <v>579</v>
      </c>
      <c r="G719" s="338">
        <f t="shared" ref="G719:M719" si="233">G220</f>
        <v>-233.58</v>
      </c>
      <c r="H719" s="338">
        <f t="shared" si="233"/>
        <v>0</v>
      </c>
      <c r="I719" s="338">
        <f t="shared" si="233"/>
        <v>0</v>
      </c>
      <c r="J719" s="340">
        <f t="shared" si="233"/>
        <v>0</v>
      </c>
      <c r="K719" s="91">
        <f t="shared" si="233"/>
        <v>0</v>
      </c>
      <c r="L719" s="91">
        <f t="shared" si="233"/>
        <v>0</v>
      </c>
      <c r="M719" s="339">
        <f t="shared" si="233"/>
        <v>-323</v>
      </c>
      <c r="N719" s="91">
        <f>N220</f>
        <v>-323</v>
      </c>
    </row>
    <row r="720" spans="1:19">
      <c r="F720" s="38" t="s">
        <v>580</v>
      </c>
      <c r="G720" s="338"/>
      <c r="H720" s="338"/>
      <c r="I720" s="338"/>
      <c r="J720" s="340">
        <f>J452</f>
        <v>2050.4880000000003</v>
      </c>
      <c r="K720" s="340">
        <f>K452</f>
        <v>36.042000000000002</v>
      </c>
      <c r="L720" s="340">
        <f>L452</f>
        <v>2086.5299999999997</v>
      </c>
      <c r="M720" s="339"/>
      <c r="N720" s="91"/>
    </row>
    <row r="721" spans="5:14" ht="15.75" thickBot="1">
      <c r="F721" s="346" t="s">
        <v>581</v>
      </c>
      <c r="G721" s="347">
        <f>G224+G462</f>
        <v>-1000</v>
      </c>
      <c r="H721" s="347">
        <f>H224+H462</f>
        <v>1813.4</v>
      </c>
      <c r="I721" s="347">
        <f>I224+I462</f>
        <v>0</v>
      </c>
      <c r="J721" s="348">
        <f>J462</f>
        <v>0</v>
      </c>
      <c r="K721" s="349">
        <f>K462</f>
        <v>0</v>
      </c>
      <c r="L721" s="349">
        <f>L462</f>
        <v>0</v>
      </c>
      <c r="M721" s="350">
        <f>M224+M462</f>
        <v>-88</v>
      </c>
      <c r="N721" s="349">
        <f>N224+N462</f>
        <v>453.5</v>
      </c>
    </row>
    <row r="722" spans="5:14" ht="15.75" thickBot="1">
      <c r="F722" s="351" t="s">
        <v>23</v>
      </c>
      <c r="G722" s="352"/>
      <c r="H722" s="352"/>
      <c r="I722" s="352"/>
      <c r="J722" s="781">
        <f>J723</f>
        <v>508.5</v>
      </c>
      <c r="K722" s="782">
        <f>K723</f>
        <v>33</v>
      </c>
      <c r="L722" s="783">
        <f>L723</f>
        <v>541.5</v>
      </c>
      <c r="M722" s="353"/>
      <c r="N722" s="354"/>
    </row>
    <row r="723" spans="5:14" ht="15.75" thickBot="1">
      <c r="F723" s="355" t="s">
        <v>582</v>
      </c>
      <c r="G723" s="356"/>
      <c r="H723" s="356"/>
      <c r="I723" s="356"/>
      <c r="J723" s="784">
        <f>J225</f>
        <v>508.5</v>
      </c>
      <c r="K723" s="784">
        <f>K225</f>
        <v>33</v>
      </c>
      <c r="L723" s="784">
        <f>L225</f>
        <v>541.5</v>
      </c>
      <c r="M723" s="357"/>
      <c r="N723" s="354"/>
    </row>
    <row r="724" spans="5:14" ht="15.75" thickBot="1">
      <c r="E724" s="11">
        <f>SUM(H725:H726)</f>
        <v>583.70000000000005</v>
      </c>
      <c r="F724" s="331" t="s">
        <v>25</v>
      </c>
      <c r="G724" s="358">
        <f>G468+G412</f>
        <v>0</v>
      </c>
      <c r="H724" s="358">
        <f>H468+H412</f>
        <v>583.70000000000005</v>
      </c>
      <c r="I724" s="358">
        <f>I468+I412</f>
        <v>0</v>
      </c>
      <c r="J724" s="781">
        <f>J725+J726+J727</f>
        <v>775</v>
      </c>
      <c r="K724" s="781">
        <f>K725+K726+K727</f>
        <v>15</v>
      </c>
      <c r="L724" s="781">
        <f>L725+L726+L727</f>
        <v>790</v>
      </c>
      <c r="M724" s="359">
        <f>M468+M412+M230</f>
        <v>0</v>
      </c>
      <c r="N724" s="360">
        <f>N468+N412+N230</f>
        <v>775</v>
      </c>
    </row>
    <row r="725" spans="5:14">
      <c r="F725" s="75" t="s">
        <v>583</v>
      </c>
      <c r="G725" s="336">
        <f>G413</f>
        <v>0</v>
      </c>
      <c r="H725" s="336">
        <f>H413</f>
        <v>526.1</v>
      </c>
      <c r="I725" s="336">
        <f>I413</f>
        <v>0</v>
      </c>
      <c r="J725" s="361">
        <f>J413+J231</f>
        <v>700</v>
      </c>
      <c r="K725" s="78">
        <f>K413+K231</f>
        <v>0</v>
      </c>
      <c r="L725" s="78">
        <f>L413+L231</f>
        <v>700</v>
      </c>
      <c r="M725" s="78">
        <f>M413+M231</f>
        <v>0</v>
      </c>
      <c r="N725" s="78">
        <f>N413+N231</f>
        <v>700</v>
      </c>
    </row>
    <row r="726" spans="5:14">
      <c r="F726" s="38" t="s">
        <v>584</v>
      </c>
      <c r="G726" s="665">
        <f t="shared" ref="G726:M726" si="234">G469</f>
        <v>0</v>
      </c>
      <c r="H726" s="665">
        <f t="shared" si="234"/>
        <v>57.6</v>
      </c>
      <c r="I726" s="665">
        <f t="shared" si="234"/>
        <v>0</v>
      </c>
      <c r="J726" s="340">
        <f>J469</f>
        <v>75</v>
      </c>
      <c r="K726" s="91">
        <f t="shared" si="234"/>
        <v>0</v>
      </c>
      <c r="L726" s="91">
        <f t="shared" si="234"/>
        <v>75</v>
      </c>
      <c r="M726" s="350">
        <f t="shared" si="234"/>
        <v>0</v>
      </c>
      <c r="N726" s="349">
        <f>N469</f>
        <v>75</v>
      </c>
    </row>
    <row r="727" spans="5:14" ht="15.75" thickBot="1">
      <c r="F727" s="721" t="s">
        <v>1205</v>
      </c>
      <c r="G727" s="356"/>
      <c r="H727" s="356"/>
      <c r="I727" s="356"/>
      <c r="J727" s="354">
        <f>J473</f>
        <v>0</v>
      </c>
      <c r="K727" s="354">
        <f>K473</f>
        <v>15</v>
      </c>
      <c r="L727" s="354">
        <f>L473</f>
        <v>15</v>
      </c>
      <c r="M727" s="357"/>
      <c r="N727" s="354"/>
    </row>
    <row r="728" spans="5:14">
      <c r="E728" s="11" t="e">
        <f>SUM(H730:H733)</f>
        <v>#REF!</v>
      </c>
      <c r="F728" s="636" t="s">
        <v>27</v>
      </c>
      <c r="G728" s="637" t="e">
        <f>G236+G476</f>
        <v>#REF!</v>
      </c>
      <c r="H728" s="637" t="e">
        <f>H236+H476</f>
        <v>#REF!</v>
      </c>
      <c r="I728" s="637" t="e">
        <f>I236+I476</f>
        <v>#REF!</v>
      </c>
      <c r="J728" s="785">
        <f>J729+J730+J733</f>
        <v>6093.7049999999999</v>
      </c>
      <c r="K728" s="785">
        <f>K729+K730+K733</f>
        <v>746.62800000000004</v>
      </c>
      <c r="L728" s="785">
        <f t="shared" ref="L728:N728" si="235">L729+L730+L733</f>
        <v>6840.3330000000005</v>
      </c>
      <c r="M728" s="785" t="e">
        <f t="shared" si="235"/>
        <v>#REF!</v>
      </c>
      <c r="N728" s="785" t="e">
        <f t="shared" si="235"/>
        <v>#REF!</v>
      </c>
    </row>
    <row r="729" spans="5:14">
      <c r="F729" s="638" t="s">
        <v>1136</v>
      </c>
      <c r="G729" s="619"/>
      <c r="H729" s="619"/>
      <c r="I729" s="619"/>
      <c r="J729" s="755">
        <f>J237+J477+J659</f>
        <v>0</v>
      </c>
      <c r="K729" s="755">
        <f>K237+K477+K659</f>
        <v>598.6</v>
      </c>
      <c r="L729" s="755">
        <f>L237+L477+L659</f>
        <v>598.6</v>
      </c>
      <c r="M729" s="623" t="e">
        <f>M237+M477+M659</f>
        <v>#REF!</v>
      </c>
      <c r="N729" s="623" t="e">
        <f>N237+N477+N659</f>
        <v>#REF!</v>
      </c>
    </row>
    <row r="730" spans="5:14">
      <c r="F730" s="75" t="s">
        <v>585</v>
      </c>
      <c r="G730" s="336" t="e">
        <f>G237+G480</f>
        <v>#REF!</v>
      </c>
      <c r="H730" s="363" t="e">
        <f>H237+H480</f>
        <v>#REF!</v>
      </c>
      <c r="I730" s="336" t="e">
        <f>I237+I480</f>
        <v>#REF!</v>
      </c>
      <c r="J730" s="78">
        <f>J480</f>
        <v>2559</v>
      </c>
      <c r="K730" s="78">
        <f>K480</f>
        <v>40</v>
      </c>
      <c r="L730" s="78">
        <f>L480</f>
        <v>2599</v>
      </c>
      <c r="M730" s="337" t="e">
        <f>M237+M480</f>
        <v>#REF!</v>
      </c>
      <c r="N730" s="78" t="e">
        <f>N237+N480</f>
        <v>#REF!</v>
      </c>
    </row>
    <row r="731" spans="5:14">
      <c r="F731" s="38" t="s">
        <v>586</v>
      </c>
      <c r="G731" s="356">
        <f t="shared" ref="G731:M731" si="236">G483</f>
        <v>786.5</v>
      </c>
      <c r="H731" s="356">
        <f t="shared" si="236"/>
        <v>0</v>
      </c>
      <c r="I731" s="356">
        <f t="shared" si="236"/>
        <v>0</v>
      </c>
      <c r="J731" s="340">
        <f>J483</f>
        <v>0</v>
      </c>
      <c r="K731" s="91">
        <f t="shared" si="236"/>
        <v>0</v>
      </c>
      <c r="L731" s="91">
        <f t="shared" si="236"/>
        <v>0</v>
      </c>
      <c r="M731" s="357">
        <f t="shared" si="236"/>
        <v>0</v>
      </c>
      <c r="N731" s="354">
        <f>N483</f>
        <v>0</v>
      </c>
    </row>
    <row r="732" spans="5:14">
      <c r="F732" s="355" t="s">
        <v>587</v>
      </c>
      <c r="G732" s="356"/>
      <c r="H732" s="364">
        <f t="shared" ref="H732:N732" si="237">H486</f>
        <v>0</v>
      </c>
      <c r="I732" s="364">
        <f t="shared" si="237"/>
        <v>0</v>
      </c>
      <c r="J732" s="784">
        <f>J486</f>
        <v>0</v>
      </c>
      <c r="K732" s="354">
        <f t="shared" si="237"/>
        <v>0</v>
      </c>
      <c r="L732" s="354">
        <f t="shared" si="237"/>
        <v>0</v>
      </c>
      <c r="M732" s="365">
        <f t="shared" si="237"/>
        <v>0</v>
      </c>
      <c r="N732" s="354">
        <f t="shared" si="237"/>
        <v>0</v>
      </c>
    </row>
    <row r="733" spans="5:14" ht="15.75" thickBot="1">
      <c r="F733" s="346" t="s">
        <v>588</v>
      </c>
      <c r="G733" s="347">
        <f t="shared" ref="G733:N733" si="238">G489+G241</f>
        <v>3300</v>
      </c>
      <c r="H733" s="347">
        <f t="shared" si="238"/>
        <v>2170</v>
      </c>
      <c r="I733" s="347">
        <f t="shared" si="238"/>
        <v>0</v>
      </c>
      <c r="J733" s="348">
        <f t="shared" si="238"/>
        <v>3534.7049999999999</v>
      </c>
      <c r="K733" s="349">
        <f t="shared" si="238"/>
        <v>108.02799999999999</v>
      </c>
      <c r="L733" s="349">
        <f>L489+L241</f>
        <v>3642.7330000000002</v>
      </c>
      <c r="M733" s="350">
        <f t="shared" si="238"/>
        <v>0</v>
      </c>
      <c r="N733" s="349">
        <f t="shared" si="238"/>
        <v>1850.7950000000001</v>
      </c>
    </row>
    <row r="734" spans="5:14" ht="15.75" thickBot="1">
      <c r="E734" s="11">
        <f>SUM(H735:H738)</f>
        <v>1667</v>
      </c>
      <c r="F734" s="366" t="s">
        <v>29</v>
      </c>
      <c r="G734" s="358">
        <f>G501</f>
        <v>-1048.5</v>
      </c>
      <c r="H734" s="367">
        <f>H501+H248</f>
        <v>1667</v>
      </c>
      <c r="I734" s="367">
        <f>I501+I248</f>
        <v>31353.699999999997</v>
      </c>
      <c r="J734" s="781">
        <f>J735+J736+J737+J738</f>
        <v>23255.03</v>
      </c>
      <c r="K734" s="782">
        <f>K735+K736+K737+K738</f>
        <v>1830.6119999999999</v>
      </c>
      <c r="L734" s="782">
        <f>L735+L736+L737+L738</f>
        <v>25085.641999999996</v>
      </c>
      <c r="M734" s="368">
        <f>M501+M248</f>
        <v>550</v>
      </c>
      <c r="N734" s="368">
        <f>N501+N248</f>
        <v>19247.841999999997</v>
      </c>
    </row>
    <row r="735" spans="5:14">
      <c r="F735" s="75" t="s">
        <v>589</v>
      </c>
      <c r="G735" s="336">
        <f>G503</f>
        <v>-40</v>
      </c>
      <c r="H735" s="369">
        <f>H503+H254</f>
        <v>0</v>
      </c>
      <c r="I735" s="369">
        <f>I503+I254</f>
        <v>31353.699999999997</v>
      </c>
      <c r="J735" s="361">
        <f>J502</f>
        <v>1480</v>
      </c>
      <c r="K735" s="361">
        <f>K502</f>
        <v>-284.41000000000003</v>
      </c>
      <c r="L735" s="361">
        <f>L502</f>
        <v>1195.5900000000001</v>
      </c>
      <c r="M735" s="370">
        <f>M503+M254</f>
        <v>0</v>
      </c>
      <c r="N735" s="370">
        <f>N503+N254</f>
        <v>1510</v>
      </c>
    </row>
    <row r="736" spans="5:14">
      <c r="F736" s="38" t="s">
        <v>590</v>
      </c>
      <c r="G736" s="338">
        <f t="shared" ref="G736:M736" si="239">G512</f>
        <v>2000</v>
      </c>
      <c r="H736" s="338">
        <f t="shared" si="239"/>
        <v>1667</v>
      </c>
      <c r="I736" s="341">
        <f t="shared" si="239"/>
        <v>0</v>
      </c>
      <c r="J736" s="340">
        <f>J512+J252</f>
        <v>19775.03</v>
      </c>
      <c r="K736" s="91">
        <f>K512+K249</f>
        <v>1715.0219999999999</v>
      </c>
      <c r="L736" s="91">
        <f>L512+L249</f>
        <v>21490.051999999996</v>
      </c>
      <c r="M736" s="342">
        <f t="shared" si="239"/>
        <v>550</v>
      </c>
      <c r="N736" s="91">
        <f>N512</f>
        <v>17276.451999999997</v>
      </c>
    </row>
    <row r="737" spans="5:14">
      <c r="F737" s="38" t="s">
        <v>591</v>
      </c>
      <c r="G737" s="338">
        <f t="shared" ref="G737:M737" si="240">G543</f>
        <v>-786.5</v>
      </c>
      <c r="H737" s="338">
        <f t="shared" si="240"/>
        <v>0</v>
      </c>
      <c r="I737" s="338">
        <f t="shared" si="240"/>
        <v>0</v>
      </c>
      <c r="J737" s="340">
        <f>J543+J254</f>
        <v>2000</v>
      </c>
      <c r="K737" s="340">
        <f>K543+K254</f>
        <v>400</v>
      </c>
      <c r="L737" s="340">
        <f>L543+L254</f>
        <v>2400</v>
      </c>
      <c r="M737" s="339">
        <f t="shared" si="240"/>
        <v>0</v>
      </c>
      <c r="N737" s="91">
        <f>N543</f>
        <v>390</v>
      </c>
    </row>
    <row r="738" spans="5:14" ht="15.75" thickBot="1">
      <c r="F738" s="346" t="s">
        <v>592</v>
      </c>
      <c r="G738" s="347">
        <f t="shared" ref="G738:M738" si="241">G549</f>
        <v>-2222</v>
      </c>
      <c r="H738" s="347">
        <f t="shared" si="241"/>
        <v>0</v>
      </c>
      <c r="I738" s="347">
        <f t="shared" si="241"/>
        <v>0</v>
      </c>
      <c r="J738" s="348">
        <f>J549</f>
        <v>0</v>
      </c>
      <c r="K738" s="349">
        <f t="shared" si="241"/>
        <v>0</v>
      </c>
      <c r="L738" s="349">
        <f t="shared" si="241"/>
        <v>0</v>
      </c>
      <c r="M738" s="350">
        <f t="shared" si="241"/>
        <v>0</v>
      </c>
      <c r="N738" s="349">
        <f>N549</f>
        <v>0</v>
      </c>
    </row>
    <row r="739" spans="5:14" ht="15.75" thickBot="1">
      <c r="E739" s="173">
        <f>SUM(J740:J744)</f>
        <v>231373.49909</v>
      </c>
      <c r="F739" s="331" t="s">
        <v>33</v>
      </c>
      <c r="G739" s="371" t="e">
        <f>G13+G105+G259+G318+G555</f>
        <v>#REF!</v>
      </c>
      <c r="H739" s="371">
        <f>H13+H105+H259+H318+H555</f>
        <v>147822.10999999996</v>
      </c>
      <c r="I739" s="371">
        <f>I13+I105+I259+I318+I555</f>
        <v>0</v>
      </c>
      <c r="J739" s="781">
        <f>J740+J741+J742+J743+J744</f>
        <v>231373.49909</v>
      </c>
      <c r="K739" s="782">
        <f>K740+K741+K742+K743+K744</f>
        <v>45367.607000000004</v>
      </c>
      <c r="L739" s="782">
        <f>L740+L741+L742+L743+L744</f>
        <v>276741.10609000002</v>
      </c>
      <c r="M739" s="360">
        <f>M13+M105+M259+M318+M555+M662</f>
        <v>1156.3000000000002</v>
      </c>
      <c r="N739" s="360">
        <f>N13+N105+N259+N318+N555+N662</f>
        <v>102767.80378999999</v>
      </c>
    </row>
    <row r="740" spans="5:14">
      <c r="F740" s="75" t="s">
        <v>593</v>
      </c>
      <c r="G740" s="336">
        <f>G106</f>
        <v>-926.36</v>
      </c>
      <c r="H740" s="369">
        <f t="shared" ref="H740:N740" si="242">H106+H556</f>
        <v>4401</v>
      </c>
      <c r="I740" s="369">
        <f t="shared" si="242"/>
        <v>0</v>
      </c>
      <c r="J740" s="361">
        <f t="shared" si="242"/>
        <v>828</v>
      </c>
      <c r="K740" s="78">
        <f t="shared" si="242"/>
        <v>92.933000000000007</v>
      </c>
      <c r="L740" s="78">
        <f t="shared" si="242"/>
        <v>920.93299999999999</v>
      </c>
      <c r="M740" s="370">
        <f t="shared" si="242"/>
        <v>805.6</v>
      </c>
      <c r="N740" s="370">
        <f t="shared" si="242"/>
        <v>1726.5329999999999</v>
      </c>
    </row>
    <row r="741" spans="5:14">
      <c r="F741" s="38" t="s">
        <v>594</v>
      </c>
      <c r="G741" s="340" t="e">
        <f>G111+#REF!</f>
        <v>#REF!</v>
      </c>
      <c r="H741" s="340">
        <f>H111</f>
        <v>135780.43999999997</v>
      </c>
      <c r="I741" s="340">
        <f>I111</f>
        <v>0</v>
      </c>
      <c r="J741" s="340">
        <f>J111+J560</f>
        <v>219238.61408999999</v>
      </c>
      <c r="K741" s="91">
        <f>K111+K560</f>
        <v>45078.957999999999</v>
      </c>
      <c r="L741" s="91">
        <f>L111+L560</f>
        <v>264317.57208999997</v>
      </c>
      <c r="M741" s="91">
        <f>M111+M560</f>
        <v>1721.3940000000002</v>
      </c>
      <c r="N741" s="91">
        <f>N111+N560</f>
        <v>65607.028789999997</v>
      </c>
    </row>
    <row r="742" spans="5:14">
      <c r="F742" s="38" t="s">
        <v>595</v>
      </c>
      <c r="G742" s="341" t="e">
        <f t="shared" ref="G742:N742" si="243">G14+G142+G319+G578+G260</f>
        <v>#REF!</v>
      </c>
      <c r="H742" s="340">
        <f t="shared" si="243"/>
        <v>460.3</v>
      </c>
      <c r="I742" s="340">
        <f t="shared" si="243"/>
        <v>0</v>
      </c>
      <c r="J742" s="340">
        <f t="shared" si="243"/>
        <v>740.91000000000008</v>
      </c>
      <c r="K742" s="91">
        <f t="shared" si="243"/>
        <v>55.9</v>
      </c>
      <c r="L742" s="91">
        <f t="shared" si="243"/>
        <v>796.81</v>
      </c>
      <c r="M742" s="91">
        <f t="shared" si="243"/>
        <v>44.61</v>
      </c>
      <c r="N742" s="91">
        <f t="shared" si="243"/>
        <v>27514.78</v>
      </c>
    </row>
    <row r="743" spans="5:14">
      <c r="F743" s="38" t="s">
        <v>596</v>
      </c>
      <c r="G743" s="338">
        <f>G148+G584</f>
        <v>821</v>
      </c>
      <c r="H743" s="338">
        <f>H148+H584+H325</f>
        <v>665.72</v>
      </c>
      <c r="I743" s="338">
        <f>I148+I584+I325</f>
        <v>0</v>
      </c>
      <c r="J743" s="340">
        <f>J148+J584+J325+J663</f>
        <v>3469.136</v>
      </c>
      <c r="K743" s="91">
        <f>K148+K584+K325+K663</f>
        <v>23.138999999999999</v>
      </c>
      <c r="L743" s="91">
        <f>L148+L584+L325+L663</f>
        <v>3492.2749999999996</v>
      </c>
      <c r="M743" s="91">
        <f>M148+M584+M325+M663</f>
        <v>720</v>
      </c>
      <c r="N743" s="91">
        <f>N148+N584+N325+N663</f>
        <v>3563.5</v>
      </c>
    </row>
    <row r="744" spans="5:14" ht="15.75" thickBot="1">
      <c r="F744" s="346" t="s">
        <v>597</v>
      </c>
      <c r="G744" s="347">
        <f t="shared" ref="G744:M744" si="244">G155</f>
        <v>878.1</v>
      </c>
      <c r="H744" s="347">
        <f t="shared" si="244"/>
        <v>6514.65</v>
      </c>
      <c r="I744" s="347">
        <f t="shared" si="244"/>
        <v>0</v>
      </c>
      <c r="J744" s="348">
        <f>J155</f>
        <v>7096.8389999999999</v>
      </c>
      <c r="K744" s="349">
        <f t="shared" si="244"/>
        <v>116.67699999999999</v>
      </c>
      <c r="L744" s="349">
        <f t="shared" si="244"/>
        <v>7213.5159999999996</v>
      </c>
      <c r="M744" s="350">
        <f t="shared" si="244"/>
        <v>-2135.3040000000001</v>
      </c>
      <c r="N744" s="349">
        <f>N155</f>
        <v>4355.9619999999995</v>
      </c>
    </row>
    <row r="745" spans="5:14" ht="15.75" thickBot="1">
      <c r="E745" s="15">
        <f>SUM(J746:J749)</f>
        <v>6889.0434000000005</v>
      </c>
      <c r="F745" s="331" t="s">
        <v>54</v>
      </c>
      <c r="G745" s="358">
        <f>G587+G671</f>
        <v>216.57999999999998</v>
      </c>
      <c r="H745" s="358">
        <f>H587+H671</f>
        <v>6311.15</v>
      </c>
      <c r="I745" s="358">
        <f>I587+I671</f>
        <v>0</v>
      </c>
      <c r="J745" s="781">
        <f>J746+J747+J749+J748</f>
        <v>6889.0434000000005</v>
      </c>
      <c r="K745" s="781">
        <f>K746+K747+K749+K748</f>
        <v>391.23900000000003</v>
      </c>
      <c r="L745" s="781">
        <f>L746+L747+L749+L748</f>
        <v>7280.2824000000001</v>
      </c>
      <c r="M745" s="362">
        <f>M587+M671</f>
        <v>-101</v>
      </c>
      <c r="N745" s="360">
        <f>N587+N671</f>
        <v>4417.6120000000001</v>
      </c>
    </row>
    <row r="746" spans="5:14">
      <c r="F746" s="75" t="s">
        <v>598</v>
      </c>
      <c r="G746" s="336">
        <f>G672</f>
        <v>137.57999999999998</v>
      </c>
      <c r="H746" s="336">
        <f>H672</f>
        <v>3820.25</v>
      </c>
      <c r="I746" s="361">
        <f>I672</f>
        <v>0</v>
      </c>
      <c r="J746" s="78">
        <f>J672+J588+J267</f>
        <v>4754.2640000000001</v>
      </c>
      <c r="K746" s="78">
        <f>K672+K588+K267</f>
        <v>284.22800000000001</v>
      </c>
      <c r="L746" s="78">
        <f>L672+L588+L267</f>
        <v>5038.4920000000002</v>
      </c>
      <c r="M746" s="78">
        <f>M672+M588</f>
        <v>51</v>
      </c>
      <c r="N746" s="78">
        <f>N672+N588</f>
        <v>4569.6120000000001</v>
      </c>
    </row>
    <row r="747" spans="5:14">
      <c r="F747" s="343" t="s">
        <v>599</v>
      </c>
      <c r="G747" s="344">
        <f t="shared" ref="G747:M747" si="245">G594</f>
        <v>0</v>
      </c>
      <c r="H747" s="345">
        <f t="shared" si="245"/>
        <v>666</v>
      </c>
      <c r="I747" s="345">
        <f t="shared" si="245"/>
        <v>0</v>
      </c>
      <c r="J747" s="345">
        <f>J594</f>
        <v>0</v>
      </c>
      <c r="K747" s="345">
        <f>K594</f>
        <v>0</v>
      </c>
      <c r="L747" s="345">
        <f>L594</f>
        <v>0</v>
      </c>
      <c r="M747" s="91">
        <f t="shared" si="245"/>
        <v>20</v>
      </c>
      <c r="N747" s="91">
        <f>N594</f>
        <v>20</v>
      </c>
    </row>
    <row r="748" spans="5:14">
      <c r="F748" s="372" t="s">
        <v>599</v>
      </c>
      <c r="G748" s="373"/>
      <c r="H748" s="374"/>
      <c r="I748" s="374"/>
      <c r="J748" s="374">
        <f>J689+J598</f>
        <v>2134.7793999999999</v>
      </c>
      <c r="K748" s="374">
        <f>K689+K598</f>
        <v>107.011</v>
      </c>
      <c r="L748" s="374">
        <f>L689+L598</f>
        <v>2241.7903999999999</v>
      </c>
      <c r="M748" s="349"/>
      <c r="N748" s="349"/>
    </row>
    <row r="749" spans="5:14" ht="15.75" thickBot="1">
      <c r="F749" s="346" t="s">
        <v>600</v>
      </c>
      <c r="G749" s="347">
        <f t="shared" ref="G749:N749" si="246">G693+G602</f>
        <v>79</v>
      </c>
      <c r="H749" s="348">
        <f t="shared" si="246"/>
        <v>1824.9</v>
      </c>
      <c r="I749" s="348">
        <f t="shared" si="246"/>
        <v>0</v>
      </c>
      <c r="J749" s="348">
        <f t="shared" si="246"/>
        <v>0</v>
      </c>
      <c r="K749" s="349">
        <f t="shared" si="246"/>
        <v>0</v>
      </c>
      <c r="L749" s="349">
        <f t="shared" si="246"/>
        <v>0</v>
      </c>
      <c r="M749" s="349">
        <f t="shared" si="246"/>
        <v>-172</v>
      </c>
      <c r="N749" s="349">
        <f t="shared" si="246"/>
        <v>-172</v>
      </c>
    </row>
    <row r="750" spans="5:14" ht="15.75" thickBot="1">
      <c r="E750" s="11" t="e">
        <f>SUM(H751:H756)</f>
        <v>#REF!</v>
      </c>
      <c r="F750" s="331" t="s">
        <v>48</v>
      </c>
      <c r="G750" s="358" t="e">
        <f>G20+G606</f>
        <v>#REF!</v>
      </c>
      <c r="H750" s="371" t="e">
        <f>H20+H606+H697</f>
        <v>#REF!</v>
      </c>
      <c r="I750" s="371" t="e">
        <f>I20+I606+I697</f>
        <v>#REF!</v>
      </c>
      <c r="J750" s="781">
        <f>J751+J752+J753+J754+J755+J756</f>
        <v>46263.425000000003</v>
      </c>
      <c r="K750" s="782">
        <f>K751+K752+K753+K754+K755+K756</f>
        <v>60368.07357</v>
      </c>
      <c r="L750" s="782">
        <f>L751+L752+L753+L754+L755+L756</f>
        <v>106631.49857</v>
      </c>
      <c r="M750" s="375" t="e">
        <f>M20+M606+M697</f>
        <v>#REF!</v>
      </c>
      <c r="N750" s="360" t="e">
        <f>N20+N606+N697</f>
        <v>#REF!</v>
      </c>
    </row>
    <row r="751" spans="5:14">
      <c r="F751" s="75" t="s">
        <v>601</v>
      </c>
      <c r="G751" s="624" t="e">
        <f t="shared" ref="G751:L751" si="247">G21+G275+G607</f>
        <v>#REF!</v>
      </c>
      <c r="H751" s="624" t="e">
        <f t="shared" si="247"/>
        <v>#REF!</v>
      </c>
      <c r="I751" s="624" t="e">
        <f t="shared" si="247"/>
        <v>#REF!</v>
      </c>
      <c r="J751" s="361">
        <f t="shared" si="247"/>
        <v>39555.724999999999</v>
      </c>
      <c r="K751" s="361">
        <f t="shared" si="247"/>
        <v>60215.07357</v>
      </c>
      <c r="L751" s="361">
        <f t="shared" si="247"/>
        <v>99770.798569999999</v>
      </c>
      <c r="M751" s="337">
        <f>M21</f>
        <v>-1006.6600000000001</v>
      </c>
      <c r="N751" s="78">
        <f>N21</f>
        <v>11091.59</v>
      </c>
    </row>
    <row r="752" spans="5:14">
      <c r="F752" s="38" t="s">
        <v>602</v>
      </c>
      <c r="G752" s="338" t="e">
        <f>G40+G607</f>
        <v>#REF!</v>
      </c>
      <c r="H752" s="338" t="e">
        <f>H40+H607</f>
        <v>#REF!</v>
      </c>
      <c r="I752" s="338" t="e">
        <f>I40+I607</f>
        <v>#REF!</v>
      </c>
      <c r="J752" s="91">
        <f>J40</f>
        <v>5157.8</v>
      </c>
      <c r="K752" s="91">
        <f>K40</f>
        <v>153</v>
      </c>
      <c r="L752" s="91">
        <f>L40</f>
        <v>5310.8</v>
      </c>
      <c r="M752" s="339" t="e">
        <f>M40+M607</f>
        <v>#REF!</v>
      </c>
      <c r="N752" s="91" t="e">
        <f>N40+N607</f>
        <v>#REF!</v>
      </c>
    </row>
    <row r="753" spans="3:14">
      <c r="F753" s="38" t="s">
        <v>603</v>
      </c>
      <c r="G753" s="338">
        <f t="shared" ref="G753:M753" si="248">G60</f>
        <v>2852</v>
      </c>
      <c r="H753" s="338">
        <f t="shared" si="248"/>
        <v>0</v>
      </c>
      <c r="I753" s="338">
        <f t="shared" si="248"/>
        <v>0</v>
      </c>
      <c r="J753" s="340">
        <f>J60</f>
        <v>749.9</v>
      </c>
      <c r="K753" s="91">
        <f t="shared" si="248"/>
        <v>0</v>
      </c>
      <c r="L753" s="91">
        <f t="shared" si="248"/>
        <v>749.9</v>
      </c>
      <c r="M753" s="339">
        <f t="shared" si="248"/>
        <v>-1.8800000000000026</v>
      </c>
      <c r="N753" s="91">
        <f>N60</f>
        <v>748.02</v>
      </c>
    </row>
    <row r="754" spans="3:14">
      <c r="C754" s="11" t="s">
        <v>604</v>
      </c>
      <c r="F754" s="343" t="s">
        <v>605</v>
      </c>
      <c r="G754" s="344">
        <f>G614</f>
        <v>0</v>
      </c>
      <c r="H754" s="344">
        <f t="shared" ref="H754:N754" si="249">H614+H698</f>
        <v>628.79999999999995</v>
      </c>
      <c r="I754" s="344">
        <f t="shared" si="249"/>
        <v>0</v>
      </c>
      <c r="J754" s="345">
        <f t="shared" si="249"/>
        <v>0</v>
      </c>
      <c r="K754" s="780">
        <f t="shared" si="249"/>
        <v>0</v>
      </c>
      <c r="L754" s="780">
        <f t="shared" si="249"/>
        <v>0</v>
      </c>
      <c r="M754" s="339">
        <f t="shared" si="249"/>
        <v>80</v>
      </c>
      <c r="N754" s="91">
        <f t="shared" si="249"/>
        <v>80</v>
      </c>
    </row>
    <row r="755" spans="3:14">
      <c r="F755" s="372" t="s">
        <v>606</v>
      </c>
      <c r="G755" s="373"/>
      <c r="H755" s="373"/>
      <c r="I755" s="373"/>
      <c r="J755" s="374">
        <f>J65</f>
        <v>800</v>
      </c>
      <c r="K755" s="374">
        <f>K65</f>
        <v>0</v>
      </c>
      <c r="L755" s="374">
        <f>L65</f>
        <v>800</v>
      </c>
      <c r="M755" s="350"/>
      <c r="N755" s="349"/>
    </row>
    <row r="756" spans="3:14" ht="15.75" thickBot="1">
      <c r="F756" s="346" t="s">
        <v>607</v>
      </c>
      <c r="G756" s="347">
        <f t="shared" ref="G756:M756" si="250">G83</f>
        <v>0</v>
      </c>
      <c r="H756" s="347">
        <f t="shared" si="250"/>
        <v>1049.6600000000001</v>
      </c>
      <c r="I756" s="347">
        <f t="shared" si="250"/>
        <v>0</v>
      </c>
      <c r="J756" s="348">
        <f>J83</f>
        <v>0</v>
      </c>
      <c r="K756" s="349">
        <f t="shared" si="250"/>
        <v>0</v>
      </c>
      <c r="L756" s="349">
        <f t="shared" si="250"/>
        <v>0</v>
      </c>
      <c r="M756" s="350">
        <f t="shared" si="250"/>
        <v>33</v>
      </c>
      <c r="N756" s="349">
        <f>N83</f>
        <v>33</v>
      </c>
    </row>
    <row r="757" spans="3:14" ht="15.75" thickBot="1">
      <c r="E757" s="11">
        <f>SUM(H758:H762)</f>
        <v>53413.100000000006</v>
      </c>
      <c r="F757" s="331" t="s">
        <v>86</v>
      </c>
      <c r="G757" s="358" t="e">
        <f>G169+G329+G618</f>
        <v>#REF!</v>
      </c>
      <c r="H757" s="376">
        <f>H169+H329+H618</f>
        <v>53413.100000000006</v>
      </c>
      <c r="I757" s="376">
        <f>I169+I329+I618</f>
        <v>0</v>
      </c>
      <c r="J757" s="781">
        <f>J758+J759+J760+J761+J762</f>
        <v>67717.989000000001</v>
      </c>
      <c r="K757" s="782">
        <f>K758+K759+K760+K761+K762</f>
        <v>11916.909</v>
      </c>
      <c r="L757" s="782">
        <f>L758+L759+L760+L761+L762</f>
        <v>79634.897999999986</v>
      </c>
      <c r="M757" s="360">
        <f>M169+M329+M618</f>
        <v>225.5</v>
      </c>
      <c r="N757" s="360">
        <f>N169+N329+N618</f>
        <v>54585.175999999999</v>
      </c>
    </row>
    <row r="758" spans="3:14">
      <c r="F758" s="75" t="s">
        <v>608</v>
      </c>
      <c r="G758" s="336" t="e">
        <f t="shared" ref="G758:M758" si="251">G330</f>
        <v>#REF!</v>
      </c>
      <c r="H758" s="336">
        <f t="shared" si="251"/>
        <v>1925.2</v>
      </c>
      <c r="I758" s="336">
        <f t="shared" si="251"/>
        <v>0</v>
      </c>
      <c r="J758" s="361">
        <f>J330</f>
        <v>1593.18</v>
      </c>
      <c r="K758" s="78">
        <f t="shared" si="251"/>
        <v>0</v>
      </c>
      <c r="L758" s="78">
        <f t="shared" si="251"/>
        <v>1593.18</v>
      </c>
      <c r="M758" s="337">
        <f t="shared" si="251"/>
        <v>0</v>
      </c>
      <c r="N758" s="78">
        <f>N330</f>
        <v>83.18</v>
      </c>
    </row>
    <row r="759" spans="3:14">
      <c r="F759" s="38" t="s">
        <v>609</v>
      </c>
      <c r="G759" s="338">
        <f>G337</f>
        <v>6</v>
      </c>
      <c r="H759" s="338">
        <f>H337</f>
        <v>4331.8999999999996</v>
      </c>
      <c r="I759" s="338">
        <f>I337</f>
        <v>0</v>
      </c>
      <c r="J759" s="91">
        <f>J337+J619</f>
        <v>6930.4129999999996</v>
      </c>
      <c r="K759" s="91">
        <f>K337+K619</f>
        <v>1198.347</v>
      </c>
      <c r="L759" s="91">
        <f>L337+L619</f>
        <v>8128.76</v>
      </c>
      <c r="M759" s="339">
        <f>M337</f>
        <v>182.5</v>
      </c>
      <c r="N759" s="91">
        <f>N337</f>
        <v>7885.76</v>
      </c>
    </row>
    <row r="760" spans="3:14">
      <c r="F760" s="38" t="s">
        <v>610</v>
      </c>
      <c r="G760" s="338">
        <f t="shared" ref="G760:N760" si="252">G622+G347+G170</f>
        <v>-3704.64707</v>
      </c>
      <c r="H760" s="338">
        <f t="shared" si="252"/>
        <v>37803.100000000006</v>
      </c>
      <c r="I760" s="338">
        <f t="shared" si="252"/>
        <v>0</v>
      </c>
      <c r="J760" s="340">
        <f t="shared" si="252"/>
        <v>46296.866000000002</v>
      </c>
      <c r="K760" s="91">
        <f t="shared" si="252"/>
        <v>5428.9619999999995</v>
      </c>
      <c r="L760" s="91">
        <f t="shared" si="252"/>
        <v>51725.827999999994</v>
      </c>
      <c r="M760" s="91">
        <f t="shared" si="252"/>
        <v>212</v>
      </c>
      <c r="N760" s="91">
        <f t="shared" si="252"/>
        <v>35345.185999999994</v>
      </c>
    </row>
    <row r="761" spans="3:14">
      <c r="F761" s="346" t="s">
        <v>611</v>
      </c>
      <c r="G761" s="347">
        <f t="shared" ref="G761:M761" si="253">G174</f>
        <v>5261.5429699999995</v>
      </c>
      <c r="H761" s="347">
        <f t="shared" si="253"/>
        <v>8194.8000000000011</v>
      </c>
      <c r="I761" s="347">
        <f t="shared" si="253"/>
        <v>0</v>
      </c>
      <c r="J761" s="348">
        <f>J174</f>
        <v>10903.6</v>
      </c>
      <c r="K761" s="349">
        <f t="shared" si="253"/>
        <v>5289.6</v>
      </c>
      <c r="L761" s="349">
        <f t="shared" si="253"/>
        <v>16193.2</v>
      </c>
      <c r="M761" s="350">
        <f t="shared" si="253"/>
        <v>0</v>
      </c>
      <c r="N761" s="349">
        <f>N174</f>
        <v>9621.3000000000011</v>
      </c>
    </row>
    <row r="762" spans="3:14" ht="15.75" thickBot="1">
      <c r="F762" s="346" t="s">
        <v>612</v>
      </c>
      <c r="G762" s="347">
        <f t="shared" ref="G762:M762" si="254">G399</f>
        <v>75</v>
      </c>
      <c r="H762" s="347">
        <f t="shared" si="254"/>
        <v>1158.1000000000001</v>
      </c>
      <c r="I762" s="347">
        <f t="shared" si="254"/>
        <v>0</v>
      </c>
      <c r="J762" s="348">
        <f>J399</f>
        <v>1993.93</v>
      </c>
      <c r="K762" s="349">
        <f t="shared" si="254"/>
        <v>0</v>
      </c>
      <c r="L762" s="349">
        <f t="shared" si="254"/>
        <v>1993.93</v>
      </c>
      <c r="M762" s="350">
        <f t="shared" si="254"/>
        <v>-169</v>
      </c>
      <c r="N762" s="349">
        <f>N399</f>
        <v>1649.75</v>
      </c>
    </row>
    <row r="763" spans="3:14" ht="15.75" thickBot="1">
      <c r="E763" s="11" t="e">
        <f>SUM(H764:H767)</f>
        <v>#REF!</v>
      </c>
      <c r="F763" s="331" t="s">
        <v>35</v>
      </c>
      <c r="G763" s="358" t="e">
        <f t="shared" ref="G763:I764" si="255">G278</f>
        <v>#REF!</v>
      </c>
      <c r="H763" s="358" t="e">
        <f t="shared" si="255"/>
        <v>#REF!</v>
      </c>
      <c r="I763" s="358" t="e">
        <f t="shared" si="255"/>
        <v>#REF!</v>
      </c>
      <c r="J763" s="781">
        <f>J764+J765+J766+J767</f>
        <v>0</v>
      </c>
      <c r="K763" s="782">
        <f>K764+K765+K766+K767</f>
        <v>0</v>
      </c>
      <c r="L763" s="782">
        <f>L764+L765+L766+L767</f>
        <v>0</v>
      </c>
      <c r="M763" s="362" t="e">
        <f>M278</f>
        <v>#REF!</v>
      </c>
      <c r="N763" s="360" t="e">
        <f>N278</f>
        <v>#REF!</v>
      </c>
    </row>
    <row r="764" spans="3:14">
      <c r="F764" s="75" t="s">
        <v>613</v>
      </c>
      <c r="G764" s="336">
        <f t="shared" si="255"/>
        <v>264</v>
      </c>
      <c r="H764" s="336">
        <f t="shared" si="255"/>
        <v>20914.8</v>
      </c>
      <c r="I764" s="336">
        <f t="shared" si="255"/>
        <v>0</v>
      </c>
      <c r="J764" s="361"/>
      <c r="K764" s="78"/>
      <c r="L764" s="78"/>
      <c r="M764" s="337">
        <f>M279</f>
        <v>8.4</v>
      </c>
      <c r="N764" s="78">
        <f>N279</f>
        <v>76.844000000000023</v>
      </c>
    </row>
    <row r="765" spans="3:14">
      <c r="F765" s="38" t="s">
        <v>614</v>
      </c>
      <c r="G765" s="338">
        <f t="shared" ref="G765:M765" si="256">G284</f>
        <v>0</v>
      </c>
      <c r="H765" s="338">
        <f t="shared" si="256"/>
        <v>9363.7999999999993</v>
      </c>
      <c r="I765" s="338">
        <f t="shared" si="256"/>
        <v>0</v>
      </c>
      <c r="J765" s="340"/>
      <c r="K765" s="91"/>
      <c r="L765" s="91"/>
      <c r="M765" s="339">
        <f t="shared" si="256"/>
        <v>-768</v>
      </c>
      <c r="N765" s="91">
        <f>N284</f>
        <v>-768</v>
      </c>
    </row>
    <row r="766" spans="3:14">
      <c r="F766" s="38" t="s">
        <v>615</v>
      </c>
      <c r="G766" s="338">
        <f t="shared" ref="G766:M766" si="257">G292</f>
        <v>42.8</v>
      </c>
      <c r="H766" s="338">
        <f t="shared" si="257"/>
        <v>573.70000000000005</v>
      </c>
      <c r="I766" s="338">
        <f t="shared" si="257"/>
        <v>0</v>
      </c>
      <c r="J766" s="340"/>
      <c r="K766" s="91"/>
      <c r="L766" s="91"/>
      <c r="M766" s="339">
        <f t="shared" si="257"/>
        <v>0</v>
      </c>
      <c r="N766" s="91">
        <f>N292</f>
        <v>0</v>
      </c>
    </row>
    <row r="767" spans="3:14" ht="15.75" thickBot="1">
      <c r="F767" s="356">
        <v>1104</v>
      </c>
      <c r="G767" s="356" t="e">
        <f t="shared" ref="G767:M767" si="258">G297</f>
        <v>#REF!</v>
      </c>
      <c r="H767" s="356" t="e">
        <f t="shared" si="258"/>
        <v>#REF!</v>
      </c>
      <c r="I767" s="356" t="e">
        <f t="shared" si="258"/>
        <v>#REF!</v>
      </c>
      <c r="J767" s="784"/>
      <c r="K767" s="354"/>
      <c r="L767" s="354"/>
      <c r="M767" s="357" t="e">
        <f t="shared" si="258"/>
        <v>#REF!</v>
      </c>
      <c r="N767" s="354" t="e">
        <f>N297</f>
        <v>#REF!</v>
      </c>
    </row>
    <row r="768" spans="3:14" ht="15.75" thickBot="1">
      <c r="F768" s="377">
        <v>11</v>
      </c>
      <c r="G768" s="358"/>
      <c r="H768" s="358"/>
      <c r="I768" s="358"/>
      <c r="J768" s="781">
        <f>J769</f>
        <v>932.53899999999999</v>
      </c>
      <c r="K768" s="781">
        <f>K769</f>
        <v>414.64400000000001</v>
      </c>
      <c r="L768" s="786">
        <f>L769</f>
        <v>1347.183</v>
      </c>
      <c r="M768" s="353"/>
      <c r="N768" s="354"/>
    </row>
    <row r="769" spans="6:14" ht="15.75" thickBot="1">
      <c r="F769" s="356">
        <v>1101</v>
      </c>
      <c r="G769" s="356"/>
      <c r="H769" s="356"/>
      <c r="I769" s="356"/>
      <c r="J769" s="784">
        <f>J703+J279</f>
        <v>932.53899999999999</v>
      </c>
      <c r="K769" s="784">
        <f>K703+K279</f>
        <v>414.64400000000001</v>
      </c>
      <c r="L769" s="784">
        <f>L703+L279</f>
        <v>1347.183</v>
      </c>
      <c r="M769" s="353"/>
      <c r="N769" s="354"/>
    </row>
    <row r="770" spans="6:14" ht="15.75" thickBot="1">
      <c r="F770" s="378">
        <v>12</v>
      </c>
      <c r="G770" s="358"/>
      <c r="H770" s="358"/>
      <c r="I770" s="358"/>
      <c r="J770" s="781">
        <f>J771+J772+J773+J774</f>
        <v>891.8</v>
      </c>
      <c r="K770" s="781">
        <f>K771+K772+K773+K774</f>
        <v>63.3</v>
      </c>
      <c r="L770" s="786">
        <f>L771+L772+L773+L774</f>
        <v>955.09999999999991</v>
      </c>
      <c r="M770" s="353"/>
      <c r="N770" s="354"/>
    </row>
    <row r="771" spans="6:14">
      <c r="F771" s="336">
        <v>1201</v>
      </c>
      <c r="G771" s="336"/>
      <c r="H771" s="336"/>
      <c r="I771" s="336"/>
      <c r="J771" s="361"/>
      <c r="K771" s="78"/>
      <c r="L771" s="78"/>
      <c r="M771" s="357"/>
      <c r="N771" s="354"/>
    </row>
    <row r="772" spans="6:14">
      <c r="F772" s="338">
        <v>1202</v>
      </c>
      <c r="G772" s="338"/>
      <c r="H772" s="338"/>
      <c r="I772" s="338"/>
      <c r="J772" s="340">
        <f>J648</f>
        <v>891.8</v>
      </c>
      <c r="K772" s="340">
        <f>K648</f>
        <v>63.3</v>
      </c>
      <c r="L772" s="340">
        <f>L648</f>
        <v>955.09999999999991</v>
      </c>
      <c r="M772" s="357"/>
      <c r="N772" s="354"/>
    </row>
    <row r="773" spans="6:14">
      <c r="F773" s="338">
        <v>1203</v>
      </c>
      <c r="G773" s="338"/>
      <c r="H773" s="338"/>
      <c r="I773" s="338"/>
      <c r="J773" s="340"/>
      <c r="K773" s="91"/>
      <c r="L773" s="91"/>
      <c r="M773" s="357"/>
      <c r="N773" s="354"/>
    </row>
    <row r="774" spans="6:14" ht="15.75" thickBot="1">
      <c r="F774" s="347">
        <v>1204</v>
      </c>
      <c r="G774" s="347"/>
      <c r="H774" s="347"/>
      <c r="I774" s="347"/>
      <c r="J774" s="348"/>
      <c r="K774" s="349"/>
      <c r="L774" s="349"/>
      <c r="M774" s="357"/>
      <c r="N774" s="354"/>
    </row>
    <row r="775" spans="6:14" ht="15.75" thickBot="1">
      <c r="F775" s="378">
        <v>13</v>
      </c>
      <c r="G775" s="358"/>
      <c r="H775" s="358"/>
      <c r="I775" s="358"/>
      <c r="J775" s="781">
        <f>J776+J777</f>
        <v>144.07</v>
      </c>
      <c r="K775" s="781">
        <f>K776+K777</f>
        <v>18</v>
      </c>
      <c r="L775" s="781">
        <f>L776+L777</f>
        <v>162.07</v>
      </c>
      <c r="M775" s="353"/>
      <c r="N775" s="354"/>
    </row>
    <row r="776" spans="6:14">
      <c r="F776" s="336">
        <v>1301</v>
      </c>
      <c r="G776" s="336"/>
      <c r="H776" s="336"/>
      <c r="I776" s="336"/>
      <c r="J776" s="361">
        <f>J297</f>
        <v>144.07</v>
      </c>
      <c r="K776" s="361">
        <f>K297</f>
        <v>18</v>
      </c>
      <c r="L776" s="361">
        <f>L297</f>
        <v>162.07</v>
      </c>
      <c r="M776" s="357"/>
      <c r="N776" s="354"/>
    </row>
    <row r="777" spans="6:14" ht="15.75" thickBot="1">
      <c r="F777" s="347">
        <v>1302</v>
      </c>
      <c r="G777" s="347"/>
      <c r="H777" s="347"/>
      <c r="I777" s="347"/>
      <c r="J777" s="348"/>
      <c r="K777" s="349"/>
      <c r="L777" s="349"/>
      <c r="M777" s="357"/>
      <c r="N777" s="354"/>
    </row>
    <row r="778" spans="6:14" ht="15.75" thickBot="1">
      <c r="F778" s="378">
        <v>14</v>
      </c>
      <c r="G778" s="358"/>
      <c r="H778" s="358"/>
      <c r="I778" s="358"/>
      <c r="J778" s="781">
        <f>J779+J780+J781</f>
        <v>32757.17</v>
      </c>
      <c r="K778" s="781">
        <f>K779+K780+K781</f>
        <v>1160.0999999999999</v>
      </c>
      <c r="L778" s="781">
        <f>L779+L780+L781</f>
        <v>33917.269999999997</v>
      </c>
      <c r="M778" s="353"/>
      <c r="N778" s="354"/>
    </row>
    <row r="779" spans="6:14">
      <c r="F779" s="336">
        <v>1401</v>
      </c>
      <c r="G779" s="336"/>
      <c r="H779" s="336"/>
      <c r="I779" s="336"/>
      <c r="J779" s="361">
        <f>J301</f>
        <v>25131.67</v>
      </c>
      <c r="K779" s="361">
        <f>K301</f>
        <v>0</v>
      </c>
      <c r="L779" s="361">
        <f>L301</f>
        <v>25131.67</v>
      </c>
      <c r="M779" s="357"/>
      <c r="N779" s="354"/>
    </row>
    <row r="780" spans="6:14">
      <c r="F780" s="338">
        <v>1402</v>
      </c>
      <c r="G780" s="338"/>
      <c r="H780" s="338"/>
      <c r="I780" s="338"/>
      <c r="J780" s="340"/>
      <c r="K780" s="91"/>
      <c r="L780" s="91"/>
      <c r="M780" s="357"/>
      <c r="N780" s="354"/>
    </row>
    <row r="781" spans="6:14" ht="15.75" thickBot="1">
      <c r="F781" s="347">
        <v>1403</v>
      </c>
      <c r="G781" s="347"/>
      <c r="H781" s="347"/>
      <c r="I781" s="347"/>
      <c r="J781" s="348">
        <f>J309</f>
        <v>7625.5</v>
      </c>
      <c r="K781" s="348">
        <f>K309</f>
        <v>1160.0999999999999</v>
      </c>
      <c r="L781" s="348">
        <f>L309</f>
        <v>8785.6</v>
      </c>
      <c r="M781" s="357"/>
      <c r="N781" s="354"/>
    </row>
    <row r="782" spans="6:14" ht="15.75" thickBot="1">
      <c r="F782" s="379" t="s">
        <v>616</v>
      </c>
      <c r="G782" s="371" t="e">
        <f>G710+G724+G728+G734+G739+G745+G750+G757+G763</f>
        <v>#REF!</v>
      </c>
      <c r="H782" s="371" t="e">
        <f>H710+H724+H728+H734+H739+H745+H750+H757+H763</f>
        <v>#REF!</v>
      </c>
      <c r="I782" s="371" t="e">
        <f>I710+I724+I728+I734+I739+I745+I750+I757+I763</f>
        <v>#REF!</v>
      </c>
      <c r="J782" s="787">
        <f>J710+J724+J728+J734+J739+J745+J750+J757+J763+J770+J775+J778+J768+J722</f>
        <v>443078.26841999998</v>
      </c>
      <c r="K782" s="787">
        <f>K710+K724+K728+K734+K739+K745+K750+K757+K763+K770+K775+K778+K768+K722</f>
        <v>122432.71057000002</v>
      </c>
      <c r="L782" s="787">
        <f>L710+L724+L728+L734+L739+L745+L750+L757+L763+L770+L775+L778+L768+L722</f>
        <v>565510.97898999997</v>
      </c>
      <c r="M782" s="376" t="e">
        <f>M710+M724+M728+M734+M739+M745+M750+M757+M763+M770+M775+M778+M768</f>
        <v>#REF!</v>
      </c>
      <c r="N782" s="376" t="e">
        <f>N710+N724+N728+N734+N739+N745+N750+N757+N763+N770+N775+N778+N768</f>
        <v>#REF!</v>
      </c>
    </row>
    <row r="783" spans="6:14">
      <c r="F783" s="380"/>
      <c r="G783" s="179"/>
      <c r="I783" s="179"/>
      <c r="J783" s="15">
        <f>J782-J707</f>
        <v>0</v>
      </c>
      <c r="K783" s="788"/>
      <c r="M783" s="381"/>
    </row>
    <row r="784" spans="6:14">
      <c r="F784" s="380"/>
      <c r="G784" s="179"/>
      <c r="I784" s="179"/>
      <c r="K784" s="788">
        <f>K782-K707</f>
        <v>0</v>
      </c>
      <c r="M784" s="381"/>
    </row>
    <row r="785" spans="6:14">
      <c r="F785" s="380"/>
      <c r="G785" s="179"/>
      <c r="I785" s="179"/>
      <c r="K785" s="788"/>
      <c r="M785" s="381"/>
    </row>
    <row r="786" spans="6:14">
      <c r="F786" s="380"/>
      <c r="G786" s="179"/>
      <c r="I786" s="179"/>
      <c r="K786" s="788"/>
      <c r="M786" s="381"/>
    </row>
    <row r="787" spans="6:14">
      <c r="F787" s="380"/>
      <c r="G787" s="179"/>
      <c r="I787" s="179"/>
      <c r="K787" s="788"/>
      <c r="M787" s="381"/>
    </row>
    <row r="788" spans="6:14">
      <c r="F788" s="380"/>
      <c r="G788" s="179"/>
      <c r="I788" s="179"/>
      <c r="K788" s="788"/>
      <c r="M788" s="381"/>
    </row>
    <row r="789" spans="6:14">
      <c r="F789" s="380"/>
      <c r="G789" s="179"/>
      <c r="I789" s="179"/>
      <c r="K789" s="788"/>
      <c r="M789" s="381"/>
      <c r="N789" s="11"/>
    </row>
    <row r="790" spans="6:14">
      <c r="G790" s="179"/>
      <c r="I790" s="179"/>
      <c r="K790" s="788"/>
      <c r="M790" s="381"/>
      <c r="N790" s="11"/>
    </row>
    <row r="791" spans="6:14">
      <c r="G791" s="179"/>
      <c r="I791" s="179"/>
      <c r="K791" s="788"/>
      <c r="M791" s="381"/>
      <c r="N791" s="11"/>
    </row>
    <row r="792" spans="6:14">
      <c r="G792" s="179"/>
      <c r="I792" s="179"/>
      <c r="K792" s="788"/>
      <c r="M792" s="381"/>
      <c r="N792" s="11"/>
    </row>
    <row r="793" spans="6:14">
      <c r="G793" s="179"/>
      <c r="I793" s="179"/>
      <c r="K793" s="788"/>
      <c r="M793" s="381"/>
      <c r="N793" s="11"/>
    </row>
    <row r="794" spans="6:14">
      <c r="G794" s="179"/>
      <c r="I794" s="179"/>
      <c r="K794" s="788"/>
      <c r="M794" s="381"/>
      <c r="N794" s="11"/>
    </row>
    <row r="795" spans="6:14">
      <c r="G795" s="179"/>
      <c r="I795" s="179"/>
      <c r="K795" s="788"/>
      <c r="M795" s="381"/>
      <c r="N795" s="11"/>
    </row>
    <row r="796" spans="6:14">
      <c r="G796" s="179"/>
      <c r="I796" s="179"/>
      <c r="K796" s="788"/>
      <c r="M796" s="381"/>
      <c r="N796" s="11"/>
    </row>
    <row r="797" spans="6:14">
      <c r="G797" s="179"/>
      <c r="I797" s="179"/>
      <c r="K797" s="788"/>
      <c r="M797" s="381"/>
      <c r="N797" s="11"/>
    </row>
    <row r="798" spans="6:14">
      <c r="G798" s="179"/>
      <c r="I798" s="179"/>
      <c r="K798" s="788"/>
      <c r="M798" s="381"/>
      <c r="N798" s="11"/>
    </row>
    <row r="799" spans="6:14">
      <c r="G799" s="179"/>
      <c r="I799" s="179"/>
      <c r="K799" s="788"/>
      <c r="M799" s="381"/>
      <c r="N799" s="11"/>
    </row>
    <row r="800" spans="6:14">
      <c r="G800" s="179"/>
      <c r="I800" s="179"/>
      <c r="K800" s="788"/>
      <c r="M800" s="381"/>
      <c r="N800" s="11"/>
    </row>
    <row r="801" spans="7:14">
      <c r="G801" s="179"/>
      <c r="I801" s="179"/>
      <c r="K801" s="788"/>
      <c r="M801" s="381"/>
      <c r="N801" s="11"/>
    </row>
    <row r="802" spans="7:14">
      <c r="G802" s="179"/>
      <c r="I802" s="179"/>
      <c r="K802" s="788"/>
      <c r="M802" s="381"/>
      <c r="N802" s="11"/>
    </row>
    <row r="803" spans="7:14">
      <c r="G803" s="179"/>
      <c r="I803" s="179"/>
      <c r="K803" s="788"/>
      <c r="M803" s="381"/>
      <c r="N803" s="11"/>
    </row>
    <row r="804" spans="7:14">
      <c r="G804" s="179"/>
      <c r="I804" s="179"/>
      <c r="K804" s="788"/>
      <c r="M804" s="381"/>
      <c r="N804" s="11"/>
    </row>
    <row r="805" spans="7:14">
      <c r="G805" s="179"/>
      <c r="I805" s="179"/>
      <c r="K805" s="788"/>
      <c r="M805" s="381"/>
      <c r="N805" s="11"/>
    </row>
    <row r="806" spans="7:14">
      <c r="G806" s="179"/>
      <c r="I806" s="179"/>
      <c r="K806" s="788"/>
      <c r="M806" s="381"/>
      <c r="N806" s="11"/>
    </row>
    <row r="807" spans="7:14">
      <c r="G807" s="179"/>
      <c r="I807" s="179"/>
      <c r="K807" s="788"/>
      <c r="M807" s="381"/>
      <c r="N807" s="11"/>
    </row>
    <row r="808" spans="7:14">
      <c r="G808" s="179"/>
      <c r="I808" s="179"/>
      <c r="K808" s="788"/>
      <c r="M808" s="381"/>
      <c r="N808" s="11"/>
    </row>
    <row r="809" spans="7:14">
      <c r="G809" s="179"/>
      <c r="I809" s="179"/>
      <c r="K809" s="788"/>
      <c r="M809" s="381"/>
      <c r="N809" s="11"/>
    </row>
    <row r="810" spans="7:14">
      <c r="G810" s="179"/>
      <c r="I810" s="179"/>
      <c r="K810" s="788"/>
      <c r="M810" s="381"/>
      <c r="N810" s="11"/>
    </row>
    <row r="811" spans="7:14">
      <c r="G811" s="179"/>
      <c r="I811" s="179"/>
      <c r="K811" s="788"/>
      <c r="M811" s="381"/>
      <c r="N811" s="11"/>
    </row>
    <row r="812" spans="7:14">
      <c r="G812" s="179"/>
      <c r="I812" s="179"/>
      <c r="K812" s="788"/>
      <c r="M812" s="381"/>
      <c r="N812" s="11"/>
    </row>
    <row r="813" spans="7:14">
      <c r="G813" s="179"/>
      <c r="I813" s="179"/>
      <c r="K813" s="788"/>
      <c r="M813" s="381"/>
      <c r="N813" s="11"/>
    </row>
    <row r="814" spans="7:14">
      <c r="G814" s="179"/>
      <c r="I814" s="179"/>
      <c r="K814" s="788"/>
      <c r="M814" s="381"/>
      <c r="N814" s="11"/>
    </row>
    <row r="815" spans="7:14">
      <c r="G815" s="179"/>
      <c r="I815" s="179"/>
      <c r="K815" s="788"/>
      <c r="M815" s="381"/>
      <c r="N815" s="11"/>
    </row>
    <row r="816" spans="7:14">
      <c r="G816" s="179"/>
      <c r="I816" s="179"/>
      <c r="K816" s="788"/>
      <c r="M816" s="381"/>
      <c r="N816" s="11"/>
    </row>
    <row r="817" spans="7:14">
      <c r="G817" s="179"/>
      <c r="I817" s="179"/>
      <c r="K817" s="788"/>
      <c r="M817" s="381"/>
      <c r="N817" s="11"/>
    </row>
    <row r="818" spans="7:14">
      <c r="G818" s="179"/>
      <c r="I818" s="179"/>
      <c r="K818" s="788"/>
      <c r="M818" s="381"/>
      <c r="N818" s="11"/>
    </row>
    <row r="819" spans="7:14">
      <c r="G819" s="179"/>
      <c r="I819" s="179"/>
      <c r="K819" s="788"/>
      <c r="M819" s="381"/>
      <c r="N819" s="11"/>
    </row>
    <row r="820" spans="7:14">
      <c r="G820" s="179"/>
      <c r="I820" s="179"/>
      <c r="K820" s="788"/>
      <c r="M820" s="381"/>
      <c r="N820" s="11"/>
    </row>
    <row r="821" spans="7:14">
      <c r="G821" s="179"/>
      <c r="I821" s="179"/>
      <c r="K821" s="788"/>
      <c r="M821" s="381"/>
      <c r="N821" s="11"/>
    </row>
    <row r="822" spans="7:14">
      <c r="G822" s="179"/>
      <c r="I822" s="179"/>
      <c r="K822" s="788"/>
      <c r="M822" s="381"/>
      <c r="N822" s="11"/>
    </row>
    <row r="823" spans="7:14">
      <c r="G823" s="179"/>
      <c r="I823" s="179"/>
      <c r="K823" s="788"/>
      <c r="M823" s="381"/>
      <c r="N823" s="11"/>
    </row>
    <row r="824" spans="7:14">
      <c r="G824" s="179"/>
      <c r="I824" s="179"/>
      <c r="K824" s="788"/>
      <c r="M824" s="381"/>
      <c r="N824" s="11"/>
    </row>
    <row r="825" spans="7:14">
      <c r="G825" s="179"/>
      <c r="I825" s="179"/>
      <c r="K825" s="788"/>
      <c r="M825" s="381"/>
      <c r="N825" s="11"/>
    </row>
    <row r="826" spans="7:14">
      <c r="G826" s="179"/>
      <c r="I826" s="179"/>
      <c r="K826" s="788"/>
      <c r="M826" s="381"/>
      <c r="N826" s="11"/>
    </row>
    <row r="827" spans="7:14">
      <c r="G827" s="179"/>
      <c r="I827" s="179"/>
      <c r="K827" s="788"/>
      <c r="M827" s="381"/>
      <c r="N827" s="11"/>
    </row>
    <row r="828" spans="7:14">
      <c r="G828" s="179"/>
      <c r="I828" s="179"/>
      <c r="K828" s="788"/>
      <c r="M828" s="381"/>
      <c r="N828" s="11"/>
    </row>
    <row r="829" spans="7:14">
      <c r="G829" s="179"/>
      <c r="I829" s="179"/>
      <c r="K829" s="788"/>
      <c r="M829" s="381"/>
      <c r="N829" s="11"/>
    </row>
    <row r="830" spans="7:14">
      <c r="G830" s="179"/>
      <c r="I830" s="179"/>
      <c r="K830" s="788"/>
      <c r="M830" s="381"/>
      <c r="N830" s="11"/>
    </row>
    <row r="831" spans="7:14">
      <c r="G831" s="179"/>
      <c r="I831" s="179"/>
      <c r="K831" s="788"/>
      <c r="M831" s="381"/>
      <c r="N831" s="11"/>
    </row>
    <row r="832" spans="7:14">
      <c r="G832" s="179"/>
      <c r="I832" s="179"/>
      <c r="K832" s="788"/>
      <c r="M832" s="381"/>
      <c r="N832" s="11"/>
    </row>
    <row r="833" spans="7:14">
      <c r="G833" s="179"/>
      <c r="I833" s="179"/>
      <c r="K833" s="788"/>
      <c r="M833" s="381"/>
      <c r="N833" s="11"/>
    </row>
    <row r="834" spans="7:14">
      <c r="G834" s="179"/>
      <c r="I834" s="179"/>
      <c r="K834" s="788"/>
      <c r="M834" s="381"/>
      <c r="N834" s="11"/>
    </row>
    <row r="835" spans="7:14">
      <c r="G835" s="179"/>
      <c r="I835" s="179"/>
      <c r="K835" s="788"/>
      <c r="M835" s="381"/>
      <c r="N835" s="11"/>
    </row>
    <row r="836" spans="7:14">
      <c r="G836" s="179"/>
      <c r="I836" s="179"/>
      <c r="K836" s="788"/>
      <c r="M836" s="381"/>
      <c r="N836" s="11"/>
    </row>
    <row r="837" spans="7:14">
      <c r="G837" s="179"/>
      <c r="I837" s="179"/>
      <c r="K837" s="788"/>
      <c r="M837" s="381"/>
      <c r="N837" s="11"/>
    </row>
    <row r="838" spans="7:14">
      <c r="G838" s="179"/>
      <c r="I838" s="179"/>
      <c r="K838" s="788"/>
      <c r="M838" s="381"/>
      <c r="N838" s="11"/>
    </row>
    <row r="839" spans="7:14">
      <c r="G839" s="179"/>
      <c r="I839" s="179"/>
      <c r="K839" s="788"/>
      <c r="M839" s="381"/>
      <c r="N839" s="11"/>
    </row>
    <row r="840" spans="7:14">
      <c r="G840" s="179"/>
      <c r="I840" s="179"/>
      <c r="K840" s="788"/>
      <c r="M840" s="381"/>
      <c r="N840" s="11"/>
    </row>
    <row r="841" spans="7:14">
      <c r="G841" s="179"/>
      <c r="I841" s="179"/>
      <c r="K841" s="788"/>
      <c r="M841" s="381"/>
      <c r="N841" s="11"/>
    </row>
    <row r="842" spans="7:14">
      <c r="G842" s="179"/>
      <c r="I842" s="179"/>
      <c r="K842" s="788"/>
      <c r="M842" s="381"/>
      <c r="N842" s="11"/>
    </row>
    <row r="843" spans="7:14">
      <c r="G843" s="179"/>
      <c r="I843" s="179"/>
      <c r="K843" s="788"/>
      <c r="M843" s="381"/>
      <c r="N843" s="11"/>
    </row>
    <row r="844" spans="7:14">
      <c r="G844" s="179"/>
      <c r="I844" s="179"/>
      <c r="K844" s="788"/>
      <c r="M844" s="381"/>
      <c r="N844" s="11"/>
    </row>
    <row r="845" spans="7:14">
      <c r="G845" s="179"/>
      <c r="I845" s="179"/>
      <c r="K845" s="788"/>
      <c r="M845" s="381"/>
      <c r="N845" s="11"/>
    </row>
    <row r="846" spans="7:14">
      <c r="G846" s="179"/>
      <c r="I846" s="179"/>
      <c r="K846" s="788"/>
      <c r="M846" s="381"/>
      <c r="N846" s="11"/>
    </row>
    <row r="847" spans="7:14">
      <c r="G847" s="179"/>
      <c r="I847" s="179"/>
      <c r="K847" s="788"/>
      <c r="M847" s="381"/>
      <c r="N847" s="11"/>
    </row>
    <row r="848" spans="7:14">
      <c r="G848" s="179"/>
      <c r="I848" s="179"/>
      <c r="K848" s="788"/>
      <c r="M848" s="381"/>
      <c r="N848" s="11"/>
    </row>
    <row r="849" spans="7:14">
      <c r="G849" s="179"/>
      <c r="I849" s="179"/>
      <c r="K849" s="788"/>
      <c r="M849" s="381"/>
      <c r="N849" s="11"/>
    </row>
    <row r="850" spans="7:14">
      <c r="G850" s="179"/>
      <c r="I850" s="179"/>
      <c r="K850" s="788"/>
      <c r="M850" s="381"/>
      <c r="N850" s="11"/>
    </row>
    <row r="851" spans="7:14">
      <c r="G851" s="179"/>
      <c r="I851" s="179"/>
      <c r="K851" s="788"/>
      <c r="M851" s="381"/>
      <c r="N851" s="11"/>
    </row>
    <row r="852" spans="7:14">
      <c r="G852" s="179"/>
      <c r="I852" s="179"/>
      <c r="K852" s="788"/>
      <c r="M852" s="381"/>
      <c r="N852" s="11"/>
    </row>
    <row r="853" spans="7:14">
      <c r="G853" s="179"/>
      <c r="I853" s="179"/>
      <c r="K853" s="788"/>
      <c r="M853" s="381"/>
      <c r="N853" s="11"/>
    </row>
    <row r="854" spans="7:14">
      <c r="G854" s="179"/>
      <c r="I854" s="179"/>
      <c r="K854" s="788"/>
      <c r="M854" s="381"/>
      <c r="N854" s="11"/>
    </row>
    <row r="855" spans="7:14">
      <c r="G855" s="179"/>
      <c r="I855" s="179"/>
      <c r="K855" s="788"/>
      <c r="M855" s="381"/>
      <c r="N855" s="11"/>
    </row>
    <row r="856" spans="7:14">
      <c r="G856" s="179"/>
      <c r="I856" s="179"/>
      <c r="K856" s="788"/>
      <c r="M856" s="381"/>
      <c r="N856" s="11"/>
    </row>
    <row r="857" spans="7:14">
      <c r="G857" s="179"/>
      <c r="I857" s="179"/>
      <c r="K857" s="788"/>
      <c r="M857" s="381"/>
      <c r="N857" s="11"/>
    </row>
    <row r="858" spans="7:14">
      <c r="G858" s="179"/>
      <c r="I858" s="179"/>
      <c r="K858" s="788"/>
      <c r="M858" s="381"/>
      <c r="N858" s="11"/>
    </row>
    <row r="859" spans="7:14">
      <c r="G859" s="179"/>
      <c r="I859" s="179"/>
      <c r="K859" s="788"/>
      <c r="M859" s="381"/>
      <c r="N859" s="11"/>
    </row>
    <row r="860" spans="7:14">
      <c r="G860" s="179"/>
      <c r="I860" s="179"/>
      <c r="K860" s="788"/>
      <c r="M860" s="381"/>
      <c r="N860" s="11"/>
    </row>
    <row r="861" spans="7:14">
      <c r="G861" s="179"/>
      <c r="I861" s="179"/>
      <c r="K861" s="788"/>
      <c r="M861" s="381"/>
      <c r="N861" s="11"/>
    </row>
    <row r="862" spans="7:14">
      <c r="G862" s="179"/>
      <c r="I862" s="179"/>
      <c r="K862" s="788"/>
      <c r="M862" s="381"/>
      <c r="N862" s="11"/>
    </row>
    <row r="863" spans="7:14">
      <c r="G863" s="179"/>
      <c r="I863" s="179"/>
      <c r="K863" s="788"/>
      <c r="M863" s="381"/>
      <c r="N863" s="11"/>
    </row>
    <row r="864" spans="7:14">
      <c r="G864" s="179"/>
      <c r="I864" s="179"/>
      <c r="K864" s="788"/>
      <c r="M864" s="381"/>
      <c r="N864" s="11"/>
    </row>
    <row r="865" spans="7:14">
      <c r="G865" s="179"/>
      <c r="I865" s="179"/>
      <c r="K865" s="788"/>
      <c r="M865" s="381"/>
      <c r="N865" s="11"/>
    </row>
    <row r="866" spans="7:14">
      <c r="G866" s="179"/>
      <c r="I866" s="179"/>
      <c r="K866" s="788"/>
      <c r="M866" s="381"/>
      <c r="N866" s="11"/>
    </row>
    <row r="867" spans="7:14">
      <c r="G867" s="179"/>
      <c r="I867" s="179"/>
      <c r="K867" s="788"/>
      <c r="M867" s="381"/>
      <c r="N867" s="11"/>
    </row>
    <row r="868" spans="7:14">
      <c r="G868" s="179"/>
      <c r="I868" s="179"/>
      <c r="K868" s="788"/>
      <c r="M868" s="381"/>
      <c r="N868" s="11"/>
    </row>
    <row r="869" spans="7:14">
      <c r="G869" s="179"/>
      <c r="I869" s="179"/>
      <c r="K869" s="788"/>
      <c r="M869" s="381"/>
      <c r="N869" s="11"/>
    </row>
    <row r="870" spans="7:14">
      <c r="G870" s="179"/>
      <c r="I870" s="179"/>
      <c r="K870" s="788"/>
      <c r="M870" s="381"/>
      <c r="N870" s="11"/>
    </row>
    <row r="871" spans="7:14">
      <c r="G871" s="179"/>
      <c r="I871" s="179"/>
      <c r="K871" s="788"/>
      <c r="M871" s="381"/>
      <c r="N871" s="11"/>
    </row>
    <row r="872" spans="7:14">
      <c r="G872" s="179"/>
      <c r="I872" s="179"/>
      <c r="K872" s="788"/>
      <c r="M872" s="381"/>
      <c r="N872" s="11"/>
    </row>
    <row r="873" spans="7:14">
      <c r="G873" s="179"/>
      <c r="I873" s="179"/>
      <c r="K873" s="788"/>
      <c r="M873" s="381"/>
      <c r="N873" s="11"/>
    </row>
    <row r="874" spans="7:14">
      <c r="G874" s="179"/>
      <c r="I874" s="179"/>
      <c r="K874" s="788"/>
      <c r="M874" s="381"/>
      <c r="N874" s="11"/>
    </row>
    <row r="875" spans="7:14">
      <c r="G875" s="179"/>
      <c r="I875" s="179"/>
      <c r="K875" s="788"/>
      <c r="M875" s="381"/>
      <c r="N875" s="11"/>
    </row>
    <row r="876" spans="7:14">
      <c r="G876" s="179"/>
      <c r="I876" s="179"/>
      <c r="K876" s="788"/>
      <c r="M876" s="381"/>
      <c r="N876" s="11"/>
    </row>
    <row r="877" spans="7:14">
      <c r="G877" s="179"/>
      <c r="I877" s="179"/>
      <c r="K877" s="788"/>
      <c r="M877" s="381"/>
      <c r="N877" s="11"/>
    </row>
    <row r="878" spans="7:14">
      <c r="G878" s="179"/>
      <c r="I878" s="179"/>
      <c r="K878" s="788"/>
      <c r="M878" s="381"/>
      <c r="N878" s="11"/>
    </row>
    <row r="879" spans="7:14">
      <c r="G879" s="179"/>
      <c r="I879" s="179"/>
      <c r="K879" s="788"/>
      <c r="M879" s="381"/>
      <c r="N879" s="11"/>
    </row>
    <row r="880" spans="7:14">
      <c r="G880" s="179"/>
      <c r="I880" s="179"/>
      <c r="K880" s="788"/>
      <c r="M880" s="381"/>
      <c r="N880" s="11"/>
    </row>
    <row r="881" spans="7:14">
      <c r="G881" s="179"/>
      <c r="I881" s="179"/>
      <c r="K881" s="788"/>
      <c r="M881" s="381"/>
      <c r="N881" s="11"/>
    </row>
    <row r="882" spans="7:14">
      <c r="G882" s="179"/>
      <c r="I882" s="179"/>
      <c r="K882" s="788"/>
      <c r="M882" s="381"/>
      <c r="N882" s="11"/>
    </row>
    <row r="883" spans="7:14">
      <c r="G883" s="179"/>
      <c r="I883" s="179"/>
      <c r="K883" s="788"/>
      <c r="M883" s="381"/>
      <c r="N883" s="11"/>
    </row>
    <row r="884" spans="7:14">
      <c r="G884" s="179"/>
      <c r="I884" s="179"/>
      <c r="K884" s="788"/>
      <c r="M884" s="381"/>
      <c r="N884" s="11"/>
    </row>
    <row r="885" spans="7:14">
      <c r="G885" s="179"/>
      <c r="I885" s="179"/>
      <c r="K885" s="788"/>
      <c r="M885" s="381"/>
      <c r="N885" s="11"/>
    </row>
    <row r="886" spans="7:14">
      <c r="G886" s="179"/>
      <c r="I886" s="179"/>
      <c r="K886" s="788"/>
      <c r="M886" s="381"/>
      <c r="N886" s="11"/>
    </row>
    <row r="887" spans="7:14">
      <c r="G887" s="179"/>
      <c r="I887" s="179"/>
      <c r="K887" s="788"/>
      <c r="M887" s="381"/>
      <c r="N887" s="11"/>
    </row>
    <row r="888" spans="7:14">
      <c r="G888" s="179"/>
      <c r="I888" s="179"/>
      <c r="K888" s="788"/>
      <c r="M888" s="381"/>
      <c r="N888" s="11"/>
    </row>
    <row r="889" spans="7:14">
      <c r="G889" s="179"/>
      <c r="I889" s="179"/>
      <c r="K889" s="788"/>
      <c r="M889" s="381"/>
      <c r="N889" s="11"/>
    </row>
    <row r="890" spans="7:14">
      <c r="G890" s="179"/>
      <c r="I890" s="179"/>
      <c r="K890" s="788"/>
      <c r="M890" s="381"/>
      <c r="N890" s="11"/>
    </row>
    <row r="891" spans="7:14">
      <c r="G891" s="179"/>
      <c r="I891" s="179"/>
      <c r="K891" s="788"/>
      <c r="M891" s="381"/>
      <c r="N891" s="11"/>
    </row>
    <row r="892" spans="7:14">
      <c r="G892" s="179"/>
      <c r="I892" s="179"/>
      <c r="K892" s="788"/>
      <c r="M892" s="381"/>
      <c r="N892" s="11"/>
    </row>
    <row r="893" spans="7:14">
      <c r="G893" s="179"/>
      <c r="I893" s="179"/>
      <c r="K893" s="788"/>
      <c r="M893" s="381"/>
      <c r="N893" s="11"/>
    </row>
    <row r="894" spans="7:14">
      <c r="G894" s="179"/>
      <c r="I894" s="179"/>
      <c r="K894" s="788"/>
      <c r="M894" s="381"/>
      <c r="N894" s="11"/>
    </row>
    <row r="895" spans="7:14">
      <c r="G895" s="179"/>
      <c r="I895" s="179"/>
      <c r="K895" s="788"/>
      <c r="M895" s="381"/>
      <c r="N895" s="11"/>
    </row>
    <row r="896" spans="7:14">
      <c r="G896" s="179"/>
      <c r="I896" s="179"/>
      <c r="K896" s="788"/>
      <c r="M896" s="381"/>
      <c r="N896" s="11"/>
    </row>
    <row r="897" spans="7:14">
      <c r="G897" s="179"/>
      <c r="I897" s="179"/>
      <c r="K897" s="788"/>
      <c r="M897" s="381"/>
      <c r="N897" s="11"/>
    </row>
    <row r="898" spans="7:14">
      <c r="G898" s="179"/>
      <c r="I898" s="179"/>
      <c r="K898" s="788"/>
      <c r="M898" s="381"/>
      <c r="N898" s="11"/>
    </row>
    <row r="899" spans="7:14">
      <c r="G899" s="179"/>
      <c r="I899" s="179"/>
      <c r="K899" s="788"/>
      <c r="M899" s="381"/>
      <c r="N899" s="11"/>
    </row>
    <row r="900" spans="7:14">
      <c r="G900" s="179"/>
      <c r="I900" s="179"/>
      <c r="K900" s="788"/>
      <c r="M900" s="381"/>
      <c r="N900" s="11"/>
    </row>
    <row r="901" spans="7:14">
      <c r="G901" s="179"/>
      <c r="I901" s="179"/>
      <c r="K901" s="788"/>
      <c r="M901" s="381"/>
      <c r="N901" s="11"/>
    </row>
    <row r="902" spans="7:14">
      <c r="G902" s="179"/>
      <c r="I902" s="179"/>
      <c r="K902" s="788"/>
      <c r="M902" s="381"/>
      <c r="N902" s="11"/>
    </row>
    <row r="903" spans="7:14">
      <c r="G903" s="179"/>
      <c r="I903" s="179"/>
      <c r="K903" s="788"/>
      <c r="M903" s="381"/>
      <c r="N903" s="11"/>
    </row>
    <row r="904" spans="7:14">
      <c r="G904" s="179"/>
      <c r="I904" s="179"/>
      <c r="K904" s="788"/>
      <c r="M904" s="381"/>
      <c r="N904" s="11"/>
    </row>
    <row r="905" spans="7:14">
      <c r="G905" s="179"/>
      <c r="I905" s="179"/>
      <c r="K905" s="788"/>
      <c r="M905" s="381"/>
      <c r="N905" s="11"/>
    </row>
    <row r="906" spans="7:14">
      <c r="G906" s="179"/>
      <c r="I906" s="179"/>
      <c r="K906" s="788"/>
      <c r="M906" s="381"/>
      <c r="N906" s="11"/>
    </row>
    <row r="907" spans="7:14">
      <c r="G907" s="179"/>
      <c r="I907" s="179"/>
      <c r="K907" s="788"/>
      <c r="M907" s="381"/>
      <c r="N907" s="11"/>
    </row>
    <row r="908" spans="7:14">
      <c r="G908" s="179"/>
      <c r="I908" s="179"/>
      <c r="K908" s="788"/>
      <c r="M908" s="381"/>
      <c r="N908" s="11"/>
    </row>
    <row r="909" spans="7:14">
      <c r="G909" s="179"/>
      <c r="I909" s="179"/>
      <c r="K909" s="788"/>
      <c r="M909" s="381"/>
      <c r="N909" s="11"/>
    </row>
    <row r="910" spans="7:14">
      <c r="G910" s="179"/>
      <c r="I910" s="179"/>
      <c r="K910" s="788"/>
      <c r="M910" s="381"/>
      <c r="N910" s="11"/>
    </row>
    <row r="911" spans="7:14">
      <c r="G911" s="179"/>
      <c r="I911" s="179"/>
      <c r="K911" s="788"/>
      <c r="M911" s="381"/>
      <c r="N911" s="11"/>
    </row>
    <row r="912" spans="7:14">
      <c r="G912" s="179"/>
      <c r="I912" s="179"/>
      <c r="K912" s="788"/>
      <c r="M912" s="381"/>
      <c r="N912" s="11"/>
    </row>
    <row r="913" spans="7:14">
      <c r="G913" s="179"/>
      <c r="I913" s="179"/>
      <c r="K913" s="788"/>
      <c r="M913" s="381"/>
      <c r="N913" s="11"/>
    </row>
    <row r="914" spans="7:14">
      <c r="G914" s="179"/>
      <c r="I914" s="179"/>
      <c r="K914" s="788"/>
      <c r="M914" s="381"/>
      <c r="N914" s="11"/>
    </row>
    <row r="915" spans="7:14">
      <c r="G915" s="179"/>
      <c r="I915" s="179"/>
      <c r="K915" s="788"/>
      <c r="M915" s="381"/>
      <c r="N915" s="11"/>
    </row>
    <row r="916" spans="7:14">
      <c r="G916" s="179"/>
      <c r="I916" s="179"/>
      <c r="K916" s="788"/>
      <c r="M916" s="381"/>
      <c r="N916" s="11"/>
    </row>
    <row r="917" spans="7:14">
      <c r="G917" s="179"/>
      <c r="I917" s="179"/>
      <c r="K917" s="788"/>
      <c r="M917" s="381"/>
      <c r="N917" s="11"/>
    </row>
    <row r="918" spans="7:14">
      <c r="G918" s="179"/>
      <c r="I918" s="179"/>
      <c r="K918" s="788"/>
      <c r="M918" s="381"/>
      <c r="N918" s="11"/>
    </row>
    <row r="919" spans="7:14">
      <c r="G919" s="179"/>
      <c r="I919" s="179"/>
      <c r="K919" s="788"/>
      <c r="M919" s="381"/>
      <c r="N919" s="11"/>
    </row>
    <row r="920" spans="7:14">
      <c r="G920" s="179"/>
      <c r="I920" s="179"/>
      <c r="K920" s="788"/>
      <c r="M920" s="381"/>
      <c r="N920" s="11"/>
    </row>
    <row r="921" spans="7:14">
      <c r="G921" s="179"/>
      <c r="I921" s="179"/>
      <c r="K921" s="788"/>
      <c r="M921" s="381"/>
      <c r="N921" s="11"/>
    </row>
    <row r="922" spans="7:14">
      <c r="G922" s="179"/>
      <c r="I922" s="179"/>
      <c r="K922" s="788"/>
      <c r="M922" s="381"/>
      <c r="N922" s="11"/>
    </row>
    <row r="923" spans="7:14">
      <c r="G923" s="179"/>
      <c r="I923" s="179"/>
      <c r="K923" s="788"/>
      <c r="M923" s="381"/>
      <c r="N923" s="11"/>
    </row>
    <row r="924" spans="7:14">
      <c r="G924" s="179"/>
      <c r="I924" s="179"/>
      <c r="K924" s="788"/>
      <c r="M924" s="381"/>
      <c r="N924" s="11"/>
    </row>
    <row r="925" spans="7:14">
      <c r="G925" s="179"/>
      <c r="I925" s="179"/>
      <c r="K925" s="788"/>
      <c r="M925" s="381"/>
      <c r="N925" s="11"/>
    </row>
    <row r="926" spans="7:14">
      <c r="G926" s="179"/>
      <c r="I926" s="179"/>
      <c r="K926" s="788"/>
      <c r="M926" s="381"/>
      <c r="N926" s="11"/>
    </row>
    <row r="927" spans="7:14">
      <c r="G927" s="179"/>
      <c r="I927" s="179"/>
      <c r="K927" s="788"/>
      <c r="M927" s="381"/>
      <c r="N927" s="11"/>
    </row>
    <row r="928" spans="7:14">
      <c r="G928" s="179"/>
      <c r="I928" s="179"/>
      <c r="K928" s="788"/>
      <c r="M928" s="381"/>
      <c r="N928" s="11"/>
    </row>
    <row r="929" spans="7:14">
      <c r="G929" s="179"/>
      <c r="I929" s="179"/>
      <c r="K929" s="788"/>
      <c r="M929" s="381"/>
      <c r="N929" s="11"/>
    </row>
    <row r="930" spans="7:14">
      <c r="G930" s="179"/>
      <c r="I930" s="179"/>
      <c r="K930" s="788"/>
      <c r="M930" s="381"/>
      <c r="N930" s="11"/>
    </row>
    <row r="931" spans="7:14">
      <c r="G931" s="179"/>
      <c r="I931" s="179"/>
      <c r="K931" s="788"/>
      <c r="M931" s="381"/>
      <c r="N931" s="11"/>
    </row>
    <row r="932" spans="7:14">
      <c r="G932" s="179"/>
      <c r="I932" s="179"/>
      <c r="K932" s="788"/>
      <c r="M932" s="381"/>
      <c r="N932" s="11"/>
    </row>
    <row r="933" spans="7:14">
      <c r="G933" s="179"/>
      <c r="I933" s="179"/>
      <c r="K933" s="788"/>
      <c r="M933" s="381"/>
      <c r="N933" s="11"/>
    </row>
    <row r="934" spans="7:14">
      <c r="G934" s="179"/>
      <c r="I934" s="179"/>
      <c r="K934" s="788"/>
      <c r="M934" s="381"/>
      <c r="N934" s="11"/>
    </row>
    <row r="935" spans="7:14">
      <c r="G935" s="179"/>
      <c r="I935" s="179"/>
      <c r="K935" s="788"/>
      <c r="M935" s="381"/>
      <c r="N935" s="11"/>
    </row>
    <row r="936" spans="7:14">
      <c r="G936" s="179"/>
      <c r="I936" s="179"/>
      <c r="K936" s="788"/>
      <c r="M936" s="381"/>
      <c r="N936" s="11"/>
    </row>
    <row r="937" spans="7:14">
      <c r="G937" s="179"/>
      <c r="I937" s="179"/>
      <c r="K937" s="788"/>
      <c r="M937" s="381"/>
      <c r="N937" s="11"/>
    </row>
    <row r="938" spans="7:14">
      <c r="G938" s="179"/>
      <c r="I938" s="179"/>
      <c r="K938" s="788"/>
      <c r="M938" s="381"/>
      <c r="N938" s="11"/>
    </row>
    <row r="939" spans="7:14">
      <c r="G939" s="179"/>
      <c r="I939" s="179"/>
      <c r="K939" s="788"/>
      <c r="M939" s="381"/>
      <c r="N939" s="11"/>
    </row>
    <row r="940" spans="7:14">
      <c r="G940" s="179"/>
      <c r="I940" s="179"/>
      <c r="K940" s="788"/>
      <c r="M940" s="381"/>
      <c r="N940" s="11"/>
    </row>
    <row r="941" spans="7:14">
      <c r="G941" s="179"/>
      <c r="I941" s="179"/>
      <c r="K941" s="788"/>
      <c r="M941" s="381"/>
      <c r="N941" s="11"/>
    </row>
    <row r="942" spans="7:14">
      <c r="G942" s="179"/>
      <c r="I942" s="179"/>
      <c r="K942" s="788"/>
      <c r="M942" s="381"/>
      <c r="N942" s="11"/>
    </row>
    <row r="943" spans="7:14">
      <c r="G943" s="179"/>
      <c r="I943" s="179"/>
      <c r="K943" s="788"/>
      <c r="M943" s="381"/>
      <c r="N943" s="11"/>
    </row>
    <row r="944" spans="7:14">
      <c r="G944" s="179"/>
      <c r="I944" s="179"/>
      <c r="K944" s="788"/>
      <c r="M944" s="381"/>
      <c r="N944" s="11"/>
    </row>
    <row r="945" spans="7:14">
      <c r="G945" s="179"/>
      <c r="I945" s="179"/>
      <c r="K945" s="788"/>
      <c r="M945" s="381"/>
      <c r="N945" s="11"/>
    </row>
    <row r="946" spans="7:14">
      <c r="G946" s="179"/>
      <c r="I946" s="179"/>
      <c r="K946" s="788"/>
      <c r="M946" s="381"/>
      <c r="N946" s="11"/>
    </row>
    <row r="947" spans="7:14">
      <c r="G947" s="179"/>
      <c r="I947" s="179"/>
      <c r="K947" s="788"/>
      <c r="M947" s="381"/>
      <c r="N947" s="11"/>
    </row>
    <row r="948" spans="7:14">
      <c r="G948" s="179"/>
      <c r="I948" s="179"/>
      <c r="K948" s="788"/>
      <c r="M948" s="381"/>
      <c r="N948" s="11"/>
    </row>
    <row r="949" spans="7:14">
      <c r="G949" s="179"/>
      <c r="I949" s="179"/>
      <c r="K949" s="788"/>
      <c r="M949" s="381"/>
      <c r="N949" s="11"/>
    </row>
    <row r="950" spans="7:14">
      <c r="G950" s="179"/>
      <c r="I950" s="179"/>
      <c r="K950" s="788"/>
      <c r="M950" s="381"/>
      <c r="N950" s="11"/>
    </row>
    <row r="951" spans="7:14">
      <c r="G951" s="179"/>
      <c r="I951" s="179"/>
      <c r="K951" s="788"/>
      <c r="M951" s="381"/>
      <c r="N951" s="11"/>
    </row>
    <row r="952" spans="7:14">
      <c r="G952" s="179"/>
      <c r="I952" s="179"/>
      <c r="K952" s="788"/>
      <c r="M952" s="381"/>
      <c r="N952" s="11"/>
    </row>
    <row r="953" spans="7:14">
      <c r="G953" s="179"/>
      <c r="I953" s="179"/>
      <c r="K953" s="788"/>
      <c r="M953" s="381"/>
      <c r="N953" s="11"/>
    </row>
    <row r="954" spans="7:14">
      <c r="G954" s="179"/>
      <c r="I954" s="179"/>
      <c r="K954" s="788"/>
      <c r="M954" s="381"/>
      <c r="N954" s="11"/>
    </row>
    <row r="955" spans="7:14">
      <c r="G955" s="179"/>
      <c r="I955" s="179"/>
      <c r="K955" s="788"/>
      <c r="M955" s="381"/>
      <c r="N955" s="11"/>
    </row>
    <row r="956" spans="7:14">
      <c r="G956" s="179"/>
      <c r="I956" s="179"/>
      <c r="K956" s="788"/>
      <c r="M956" s="381"/>
      <c r="N956" s="11"/>
    </row>
    <row r="957" spans="7:14">
      <c r="G957" s="179"/>
      <c r="I957" s="179"/>
      <c r="K957" s="788"/>
      <c r="M957" s="381"/>
      <c r="N957" s="11"/>
    </row>
    <row r="958" spans="7:14">
      <c r="G958" s="179"/>
      <c r="I958" s="179"/>
      <c r="K958" s="788"/>
      <c r="M958" s="381"/>
      <c r="N958" s="11"/>
    </row>
    <row r="959" spans="7:14">
      <c r="G959" s="179"/>
      <c r="I959" s="179"/>
      <c r="K959" s="788"/>
      <c r="M959" s="381"/>
      <c r="N959" s="11"/>
    </row>
    <row r="960" spans="7:14">
      <c r="G960" s="179"/>
      <c r="I960" s="179"/>
      <c r="K960" s="788"/>
      <c r="M960" s="381"/>
      <c r="N960" s="11"/>
    </row>
    <row r="961" spans="7:14">
      <c r="G961" s="179"/>
      <c r="I961" s="179"/>
      <c r="K961" s="788"/>
      <c r="M961" s="381"/>
      <c r="N961" s="11"/>
    </row>
    <row r="962" spans="7:14">
      <c r="G962" s="179"/>
      <c r="I962" s="179"/>
      <c r="K962" s="788"/>
      <c r="M962" s="381"/>
      <c r="N962" s="11"/>
    </row>
    <row r="963" spans="7:14">
      <c r="G963" s="179"/>
      <c r="I963" s="179"/>
      <c r="K963" s="788"/>
      <c r="M963" s="381"/>
      <c r="N963" s="11"/>
    </row>
    <row r="964" spans="7:14">
      <c r="G964" s="179"/>
      <c r="I964" s="179"/>
      <c r="K964" s="788"/>
      <c r="M964" s="381"/>
      <c r="N964" s="11"/>
    </row>
    <row r="965" spans="7:14">
      <c r="G965" s="179"/>
      <c r="I965" s="179"/>
      <c r="K965" s="788"/>
      <c r="M965" s="381"/>
      <c r="N965" s="11"/>
    </row>
    <row r="966" spans="7:14">
      <c r="G966" s="179"/>
      <c r="I966" s="179"/>
      <c r="K966" s="788"/>
      <c r="M966" s="381"/>
      <c r="N966" s="11"/>
    </row>
    <row r="967" spans="7:14">
      <c r="G967" s="179"/>
      <c r="I967" s="179"/>
      <c r="K967" s="788"/>
      <c r="M967" s="381"/>
      <c r="N967" s="11"/>
    </row>
    <row r="968" spans="7:14">
      <c r="G968" s="179"/>
      <c r="I968" s="179"/>
      <c r="K968" s="788"/>
      <c r="M968" s="381"/>
      <c r="N968" s="11"/>
    </row>
    <row r="969" spans="7:14">
      <c r="G969" s="179"/>
      <c r="I969" s="179"/>
      <c r="K969" s="788"/>
      <c r="M969" s="381"/>
      <c r="N969" s="11"/>
    </row>
    <row r="970" spans="7:14">
      <c r="G970" s="179"/>
      <c r="I970" s="179"/>
      <c r="K970" s="788"/>
      <c r="M970" s="381"/>
      <c r="N970" s="11"/>
    </row>
    <row r="971" spans="7:14">
      <c r="G971" s="179"/>
      <c r="I971" s="179"/>
      <c r="K971" s="788"/>
      <c r="M971" s="381"/>
      <c r="N971" s="11"/>
    </row>
    <row r="972" spans="7:14">
      <c r="G972" s="179"/>
      <c r="I972" s="179"/>
      <c r="K972" s="788"/>
      <c r="M972" s="381"/>
      <c r="N972" s="11"/>
    </row>
    <row r="973" spans="7:14">
      <c r="G973" s="179"/>
      <c r="I973" s="179"/>
      <c r="K973" s="788"/>
      <c r="M973" s="381"/>
      <c r="N973" s="11"/>
    </row>
    <row r="974" spans="7:14">
      <c r="G974" s="179"/>
      <c r="I974" s="179"/>
      <c r="K974" s="788"/>
      <c r="M974" s="381"/>
      <c r="N974" s="11"/>
    </row>
    <row r="975" spans="7:14">
      <c r="G975" s="179"/>
      <c r="I975" s="179"/>
      <c r="K975" s="788"/>
      <c r="M975" s="381"/>
      <c r="N975" s="11"/>
    </row>
    <row r="976" spans="7:14">
      <c r="G976" s="179"/>
      <c r="I976" s="179"/>
      <c r="K976" s="788"/>
      <c r="M976" s="381"/>
      <c r="N976" s="11"/>
    </row>
    <row r="977" spans="7:14">
      <c r="G977" s="179"/>
      <c r="I977" s="179"/>
      <c r="K977" s="788"/>
      <c r="M977" s="381"/>
      <c r="N977" s="11"/>
    </row>
    <row r="978" spans="7:14">
      <c r="G978" s="179"/>
      <c r="I978" s="179"/>
      <c r="K978" s="788"/>
      <c r="M978" s="381"/>
      <c r="N978" s="11"/>
    </row>
    <row r="979" spans="7:14">
      <c r="G979" s="179"/>
      <c r="I979" s="179"/>
      <c r="K979" s="788"/>
      <c r="M979" s="381"/>
      <c r="N979" s="11"/>
    </row>
    <row r="980" spans="7:14">
      <c r="G980" s="179"/>
      <c r="I980" s="179"/>
      <c r="K980" s="788"/>
      <c r="M980" s="381"/>
      <c r="N980" s="11"/>
    </row>
    <row r="981" spans="7:14">
      <c r="G981" s="179"/>
      <c r="I981" s="179"/>
      <c r="K981" s="788"/>
      <c r="M981" s="381"/>
      <c r="N981" s="11"/>
    </row>
    <row r="982" spans="7:14">
      <c r="G982" s="179"/>
      <c r="I982" s="179"/>
      <c r="K982" s="788"/>
      <c r="M982" s="381"/>
      <c r="N982" s="11"/>
    </row>
    <row r="983" spans="7:14">
      <c r="G983" s="179"/>
      <c r="I983" s="179"/>
      <c r="K983" s="788"/>
      <c r="M983" s="381"/>
      <c r="N983" s="11"/>
    </row>
    <row r="984" spans="7:14">
      <c r="G984" s="179"/>
      <c r="I984" s="179"/>
      <c r="K984" s="788"/>
      <c r="M984" s="381"/>
      <c r="N984" s="11"/>
    </row>
    <row r="985" spans="7:14">
      <c r="G985" s="179"/>
      <c r="I985" s="179"/>
      <c r="K985" s="788"/>
      <c r="M985" s="381"/>
      <c r="N985" s="11"/>
    </row>
    <row r="986" spans="7:14">
      <c r="G986" s="179"/>
      <c r="I986" s="179"/>
      <c r="K986" s="788"/>
      <c r="M986" s="381"/>
      <c r="N986" s="11"/>
    </row>
    <row r="987" spans="7:14">
      <c r="G987" s="179"/>
      <c r="I987" s="179"/>
      <c r="K987" s="788"/>
      <c r="M987" s="381"/>
      <c r="N987" s="11"/>
    </row>
    <row r="988" spans="7:14">
      <c r="G988" s="179"/>
      <c r="I988" s="179"/>
      <c r="K988" s="788"/>
      <c r="M988" s="381"/>
      <c r="N988" s="11"/>
    </row>
    <row r="989" spans="7:14">
      <c r="G989" s="179"/>
      <c r="I989" s="179"/>
      <c r="K989" s="788"/>
      <c r="M989" s="381"/>
      <c r="N989" s="11"/>
    </row>
    <row r="990" spans="7:14">
      <c r="G990" s="179"/>
      <c r="I990" s="179"/>
      <c r="K990" s="788"/>
      <c r="M990" s="381"/>
      <c r="N990" s="11"/>
    </row>
    <row r="991" spans="7:14">
      <c r="G991" s="179"/>
      <c r="I991" s="179"/>
      <c r="K991" s="788"/>
      <c r="M991" s="381"/>
      <c r="N991" s="11"/>
    </row>
  </sheetData>
  <mergeCells count="15">
    <mergeCell ref="B9:F9"/>
    <mergeCell ref="E2:J2"/>
    <mergeCell ref="E3:N3"/>
    <mergeCell ref="A5:L5"/>
    <mergeCell ref="A6:L6"/>
    <mergeCell ref="A8:A10"/>
    <mergeCell ref="B8:F8"/>
    <mergeCell ref="G8:G10"/>
    <mergeCell ref="H8:H10"/>
    <mergeCell ref="I8:I10"/>
    <mergeCell ref="J8:J10"/>
    <mergeCell ref="K8:K10"/>
    <mergeCell ref="L8:L10"/>
    <mergeCell ref="M8:M10"/>
    <mergeCell ref="N8:N10"/>
  </mergeCells>
  <pageMargins left="0.78740157480314965" right="0" top="0.19685039370078741" bottom="0" header="0.51181102362204722" footer="0.51181102362204722"/>
  <pageSetup paperSize="9" scale="73" orientation="portrait" r:id="rId1"/>
  <headerFooter alignWithMargins="0"/>
  <rowBreaks count="1" manualBreakCount="1">
    <brk id="707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N36"/>
  <sheetViews>
    <sheetView view="pageBreakPreview" topLeftCell="D1" zoomScaleNormal="75" zoomScaleSheetLayoutView="100" workbookViewId="0">
      <selection activeCell="A6" sqref="A6:N6"/>
    </sheetView>
  </sheetViews>
  <sheetFormatPr defaultRowHeight="12.75"/>
  <cols>
    <col min="1" max="1" width="7.5703125" style="387" customWidth="1"/>
    <col min="2" max="2" width="49.85546875" customWidth="1"/>
    <col min="3" max="3" width="14.5703125" style="649" bestFit="1" customWidth="1"/>
    <col min="4" max="4" width="12" style="649" customWidth="1"/>
    <col min="5" max="5" width="11.5703125" style="649" customWidth="1"/>
    <col min="6" max="6" width="10.7109375" style="649" customWidth="1"/>
    <col min="7" max="7" width="15" style="649" hidden="1" customWidth="1"/>
    <col min="8" max="8" width="14.85546875" style="649" customWidth="1"/>
    <col min="9" max="9" width="12" style="649" customWidth="1"/>
    <col min="10" max="10" width="11.5703125" style="649" customWidth="1"/>
    <col min="11" max="11" width="14.5703125" style="649" bestFit="1" customWidth="1"/>
    <col min="12" max="13" width="13.7109375" style="649" customWidth="1"/>
    <col min="14" max="14" width="13.28515625" style="649" bestFit="1" customWidth="1"/>
  </cols>
  <sheetData>
    <row r="1" spans="1:14" ht="12.75" customHeight="1">
      <c r="A1" s="411"/>
      <c r="B1" s="410"/>
      <c r="C1" s="647"/>
      <c r="D1" s="647"/>
      <c r="E1" s="648"/>
      <c r="F1" s="648"/>
      <c r="K1" s="916"/>
      <c r="L1" s="916"/>
      <c r="M1" s="917"/>
      <c r="N1" s="917"/>
    </row>
    <row r="2" spans="1:14" ht="12.75" customHeight="1">
      <c r="A2" s="411"/>
      <c r="B2" s="410"/>
      <c r="C2" s="647"/>
      <c r="D2" s="647"/>
      <c r="E2" s="648"/>
      <c r="F2" s="648"/>
      <c r="K2" s="916" t="s">
        <v>1027</v>
      </c>
      <c r="L2" s="916"/>
      <c r="M2" s="917"/>
      <c r="N2" s="917"/>
    </row>
    <row r="3" spans="1:14">
      <c r="A3" s="411"/>
      <c r="B3" s="410"/>
      <c r="C3" s="650"/>
      <c r="D3" s="650"/>
      <c r="E3" s="650"/>
      <c r="F3" s="650"/>
      <c r="G3" s="650"/>
      <c r="H3" s="650"/>
      <c r="K3" s="918" t="s">
        <v>1249</v>
      </c>
      <c r="L3" s="918"/>
      <c r="M3" s="918"/>
      <c r="N3" s="918"/>
    </row>
    <row r="4" spans="1:14">
      <c r="A4" s="411"/>
      <c r="B4" s="410"/>
      <c r="C4" s="650"/>
      <c r="D4" s="650"/>
      <c r="E4" s="650"/>
      <c r="F4" s="650"/>
      <c r="G4" s="650"/>
      <c r="H4" s="650"/>
      <c r="K4" s="918"/>
      <c r="L4" s="918"/>
      <c r="M4" s="918"/>
      <c r="N4" s="918"/>
    </row>
    <row r="5" spans="1:14" ht="7.5" customHeight="1">
      <c r="A5" s="411"/>
      <c r="B5" s="410"/>
      <c r="C5" s="650"/>
      <c r="D5" s="650"/>
      <c r="E5" s="650"/>
      <c r="F5" s="650"/>
      <c r="G5" s="650"/>
      <c r="H5" s="650"/>
      <c r="K5" s="918"/>
      <c r="L5" s="918"/>
      <c r="M5" s="918"/>
      <c r="N5" s="918"/>
    </row>
    <row r="6" spans="1:14" ht="26.25" customHeight="1">
      <c r="A6" s="919" t="s">
        <v>1243</v>
      </c>
      <c r="B6" s="919"/>
      <c r="C6" s="919"/>
      <c r="D6" s="919"/>
      <c r="E6" s="919"/>
      <c r="F6" s="919"/>
      <c r="G6" s="919"/>
      <c r="H6" s="919"/>
      <c r="I6" s="919"/>
      <c r="J6" s="919"/>
      <c r="K6" s="919"/>
      <c r="L6" s="919"/>
      <c r="M6" s="919"/>
      <c r="N6" s="919"/>
    </row>
    <row r="7" spans="1:14">
      <c r="A7" s="409"/>
      <c r="B7" s="920" t="s">
        <v>1026</v>
      </c>
      <c r="C7" s="920"/>
      <c r="D7" s="920"/>
      <c r="E7" s="920"/>
      <c r="F7" s="920"/>
      <c r="G7" s="920"/>
      <c r="H7" s="920"/>
      <c r="I7" s="920"/>
      <c r="J7" s="920"/>
      <c r="K7" s="920"/>
      <c r="L7" s="920"/>
      <c r="M7" s="920"/>
      <c r="N7" s="920"/>
    </row>
    <row r="8" spans="1:14" ht="13.5" thickBot="1">
      <c r="A8" s="408"/>
      <c r="B8" s="407"/>
      <c r="C8" s="651"/>
      <c r="D8" s="651"/>
      <c r="E8" s="651"/>
      <c r="F8" s="651"/>
      <c r="I8" s="651"/>
      <c r="J8" s="651"/>
      <c r="K8" s="651"/>
      <c r="L8" s="651"/>
      <c r="M8" s="651"/>
      <c r="N8" s="651" t="s">
        <v>1025</v>
      </c>
    </row>
    <row r="9" spans="1:14" ht="12.75" customHeight="1">
      <c r="A9" s="910" t="s">
        <v>1024</v>
      </c>
      <c r="B9" s="912" t="s">
        <v>1023</v>
      </c>
      <c r="C9" s="914" t="s">
        <v>1022</v>
      </c>
      <c r="D9" s="926" t="s">
        <v>1018</v>
      </c>
      <c r="E9" s="927"/>
      <c r="F9" s="928"/>
      <c r="G9" s="921" t="s">
        <v>1021</v>
      </c>
      <c r="H9" s="923" t="s">
        <v>1020</v>
      </c>
      <c r="I9" s="924"/>
      <c r="J9" s="925"/>
      <c r="K9" s="914" t="s">
        <v>1019</v>
      </c>
      <c r="L9" s="926" t="s">
        <v>1018</v>
      </c>
      <c r="M9" s="927"/>
      <c r="N9" s="928"/>
    </row>
    <row r="10" spans="1:14" ht="26.25" customHeight="1" thickBot="1">
      <c r="A10" s="911"/>
      <c r="B10" s="913"/>
      <c r="C10" s="915"/>
      <c r="D10" s="652" t="s">
        <v>1032</v>
      </c>
      <c r="E10" s="653" t="s">
        <v>1017</v>
      </c>
      <c r="F10" s="653" t="s">
        <v>1016</v>
      </c>
      <c r="G10" s="922"/>
      <c r="H10" s="652" t="s">
        <v>1032</v>
      </c>
      <c r="I10" s="653" t="s">
        <v>1017</v>
      </c>
      <c r="J10" s="653" t="s">
        <v>1016</v>
      </c>
      <c r="K10" s="915"/>
      <c r="L10" s="653" t="s">
        <v>1033</v>
      </c>
      <c r="M10" s="653" t="s">
        <v>1017</v>
      </c>
      <c r="N10" s="653" t="s">
        <v>1016</v>
      </c>
    </row>
    <row r="11" spans="1:14" ht="15.75">
      <c r="A11" s="404">
        <v>1</v>
      </c>
      <c r="B11" s="406" t="s">
        <v>1015</v>
      </c>
      <c r="C11" s="639">
        <f>SUM(D11:F11)</f>
        <v>2208.21</v>
      </c>
      <c r="D11" s="655">
        <f t="shared" ref="D11:J11" si="0">SUM(D12:D22)</f>
        <v>0</v>
      </c>
      <c r="E11" s="655">
        <f t="shared" si="0"/>
        <v>0</v>
      </c>
      <c r="F11" s="655">
        <f t="shared" si="0"/>
        <v>2208.21</v>
      </c>
      <c r="G11" s="655">
        <f t="shared" si="0"/>
        <v>0</v>
      </c>
      <c r="H11" s="655">
        <f t="shared" si="0"/>
        <v>0</v>
      </c>
      <c r="I11" s="655">
        <f t="shared" si="0"/>
        <v>0</v>
      </c>
      <c r="J11" s="655">
        <f t="shared" si="0"/>
        <v>360.95499999999998</v>
      </c>
      <c r="K11" s="639">
        <f>SUM(L11:N11)</f>
        <v>2569.165</v>
      </c>
      <c r="L11" s="655">
        <f>SUM(L12:L22)</f>
        <v>0</v>
      </c>
      <c r="M11" s="655">
        <f>SUM(M12:M22)</f>
        <v>0</v>
      </c>
      <c r="N11" s="655">
        <f>SUM(N12:N22)</f>
        <v>2569.165</v>
      </c>
    </row>
    <row r="12" spans="1:14" ht="25.5">
      <c r="A12" s="404" t="s">
        <v>1</v>
      </c>
      <c r="B12" s="405" t="s">
        <v>1014</v>
      </c>
      <c r="C12" s="640">
        <f>SUM(D12:F12)</f>
        <v>573.20000000000005</v>
      </c>
      <c r="D12" s="640"/>
      <c r="E12" s="640"/>
      <c r="F12" s="640">
        <v>573.20000000000005</v>
      </c>
      <c r="G12" s="656"/>
      <c r="H12" s="657"/>
      <c r="I12" s="640"/>
      <c r="J12" s="640">
        <v>92.933000000000007</v>
      </c>
      <c r="K12" s="640">
        <f>SUM(L12:N12)</f>
        <v>666.13300000000004</v>
      </c>
      <c r="L12" s="640">
        <f>D12+H12</f>
        <v>0</v>
      </c>
      <c r="M12" s="640">
        <f t="shared" ref="M12:M20" si="1">E12+I12</f>
        <v>0</v>
      </c>
      <c r="N12" s="640">
        <f t="shared" ref="N12:N20" si="2">J12+F12</f>
        <v>666.13300000000004</v>
      </c>
    </row>
    <row r="13" spans="1:14" ht="25.5">
      <c r="A13" s="404" t="s">
        <v>2</v>
      </c>
      <c r="B13" s="405" t="s">
        <v>1013</v>
      </c>
      <c r="C13" s="640">
        <f t="shared" ref="C13:C22" si="3">SUM(D13:F13)</f>
        <v>255</v>
      </c>
      <c r="D13" s="640"/>
      <c r="E13" s="640"/>
      <c r="F13" s="640">
        <v>255</v>
      </c>
      <c r="G13" s="656"/>
      <c r="H13" s="657"/>
      <c r="I13" s="640"/>
      <c r="J13" s="640"/>
      <c r="K13" s="640">
        <f t="shared" ref="K13:K20" si="4">SUM(L13:N13)</f>
        <v>255</v>
      </c>
      <c r="L13" s="640">
        <f t="shared" ref="L13:L20" si="5">D13+H13</f>
        <v>0</v>
      </c>
      <c r="M13" s="640">
        <f t="shared" si="1"/>
        <v>0</v>
      </c>
      <c r="N13" s="640">
        <f t="shared" si="2"/>
        <v>255</v>
      </c>
    </row>
    <row r="14" spans="1:14" ht="25.5">
      <c r="A14" s="404" t="s">
        <v>3</v>
      </c>
      <c r="B14" s="396" t="s">
        <v>1012</v>
      </c>
      <c r="C14" s="640">
        <f t="shared" si="3"/>
        <v>200</v>
      </c>
      <c r="D14" s="641"/>
      <c r="E14" s="658"/>
      <c r="F14" s="658">
        <v>200</v>
      </c>
      <c r="G14" s="656"/>
      <c r="H14" s="657"/>
      <c r="I14" s="658"/>
      <c r="J14" s="658">
        <v>165</v>
      </c>
      <c r="K14" s="640">
        <f t="shared" si="4"/>
        <v>365</v>
      </c>
      <c r="L14" s="640">
        <f t="shared" si="5"/>
        <v>0</v>
      </c>
      <c r="M14" s="640">
        <f t="shared" si="1"/>
        <v>0</v>
      </c>
      <c r="N14" s="640">
        <f t="shared" si="2"/>
        <v>365</v>
      </c>
    </row>
    <row r="15" spans="1:14" ht="25.5">
      <c r="A15" s="404" t="s">
        <v>4</v>
      </c>
      <c r="B15" s="396" t="s">
        <v>1011</v>
      </c>
      <c r="C15" s="640">
        <f t="shared" si="3"/>
        <v>56</v>
      </c>
      <c r="D15" s="641"/>
      <c r="E15" s="658"/>
      <c r="F15" s="658">
        <v>56</v>
      </c>
      <c r="G15" s="656"/>
      <c r="H15" s="657"/>
      <c r="I15" s="658"/>
      <c r="J15" s="658">
        <v>96.843999999999994</v>
      </c>
      <c r="K15" s="640">
        <f t="shared" si="4"/>
        <v>152.84399999999999</v>
      </c>
      <c r="L15" s="640">
        <f t="shared" si="5"/>
        <v>0</v>
      </c>
      <c r="M15" s="640">
        <f t="shared" si="1"/>
        <v>0</v>
      </c>
      <c r="N15" s="640">
        <f t="shared" si="2"/>
        <v>152.84399999999999</v>
      </c>
    </row>
    <row r="16" spans="1:14" ht="25.5">
      <c r="A16" s="404" t="s">
        <v>5</v>
      </c>
      <c r="B16" s="396" t="s">
        <v>1010</v>
      </c>
      <c r="C16" s="640">
        <f t="shared" si="3"/>
        <v>250</v>
      </c>
      <c r="D16" s="641"/>
      <c r="E16" s="658"/>
      <c r="F16" s="658">
        <v>250</v>
      </c>
      <c r="G16" s="656"/>
      <c r="H16" s="657"/>
      <c r="I16" s="658"/>
      <c r="J16" s="658">
        <v>-7.3680000000000003</v>
      </c>
      <c r="K16" s="640">
        <f t="shared" si="4"/>
        <v>242.63200000000001</v>
      </c>
      <c r="L16" s="640">
        <f t="shared" si="5"/>
        <v>0</v>
      </c>
      <c r="M16" s="640">
        <f t="shared" si="1"/>
        <v>0</v>
      </c>
      <c r="N16" s="640">
        <f t="shared" si="2"/>
        <v>242.63200000000001</v>
      </c>
    </row>
    <row r="17" spans="1:14" ht="25.5">
      <c r="A17" s="404" t="s">
        <v>1009</v>
      </c>
      <c r="B17" s="396" t="s">
        <v>1008</v>
      </c>
      <c r="C17" s="640">
        <f t="shared" si="3"/>
        <v>70</v>
      </c>
      <c r="D17" s="641"/>
      <c r="E17" s="658"/>
      <c r="F17" s="658">
        <v>70</v>
      </c>
      <c r="G17" s="656"/>
      <c r="H17" s="657"/>
      <c r="I17" s="658"/>
      <c r="J17" s="658">
        <v>26.221</v>
      </c>
      <c r="K17" s="640">
        <f t="shared" si="4"/>
        <v>96.221000000000004</v>
      </c>
      <c r="L17" s="640">
        <f t="shared" si="5"/>
        <v>0</v>
      </c>
      <c r="M17" s="640">
        <f t="shared" si="1"/>
        <v>0</v>
      </c>
      <c r="N17" s="640">
        <f t="shared" si="2"/>
        <v>96.221000000000004</v>
      </c>
    </row>
    <row r="18" spans="1:14" ht="38.25">
      <c r="A18" s="404" t="s">
        <v>1007</v>
      </c>
      <c r="B18" s="396" t="s">
        <v>1006</v>
      </c>
      <c r="C18" s="640">
        <f t="shared" si="3"/>
        <v>204.01</v>
      </c>
      <c r="D18" s="641"/>
      <c r="E18" s="658"/>
      <c r="F18" s="658">
        <v>204.01</v>
      </c>
      <c r="G18" s="656"/>
      <c r="H18" s="657"/>
      <c r="I18" s="658"/>
      <c r="J18" s="658"/>
      <c r="K18" s="640">
        <f t="shared" si="4"/>
        <v>204.01</v>
      </c>
      <c r="L18" s="640">
        <f t="shared" si="5"/>
        <v>0</v>
      </c>
      <c r="M18" s="640">
        <f t="shared" si="1"/>
        <v>0</v>
      </c>
      <c r="N18" s="640">
        <f t="shared" si="2"/>
        <v>204.01</v>
      </c>
    </row>
    <row r="19" spans="1:14" ht="25.5">
      <c r="A19" s="404" t="s">
        <v>1005</v>
      </c>
      <c r="B19" s="396" t="s">
        <v>1004</v>
      </c>
      <c r="C19" s="640">
        <f t="shared" si="3"/>
        <v>310</v>
      </c>
      <c r="D19" s="641"/>
      <c r="E19" s="658"/>
      <c r="F19" s="658">
        <v>310</v>
      </c>
      <c r="G19" s="656"/>
      <c r="H19" s="657"/>
      <c r="I19" s="658"/>
      <c r="J19" s="658">
        <v>-12.57</v>
      </c>
      <c r="K19" s="640">
        <f t="shared" si="4"/>
        <v>297.43</v>
      </c>
      <c r="L19" s="640">
        <f t="shared" si="5"/>
        <v>0</v>
      </c>
      <c r="M19" s="640">
        <f t="shared" si="1"/>
        <v>0</v>
      </c>
      <c r="N19" s="640">
        <f t="shared" si="2"/>
        <v>297.43</v>
      </c>
    </row>
    <row r="20" spans="1:14" ht="25.5">
      <c r="A20" s="404" t="s">
        <v>1003</v>
      </c>
      <c r="B20" s="396" t="s">
        <v>1002</v>
      </c>
      <c r="C20" s="640">
        <f t="shared" si="3"/>
        <v>90</v>
      </c>
      <c r="D20" s="641"/>
      <c r="E20" s="658"/>
      <c r="F20" s="658">
        <v>90</v>
      </c>
      <c r="G20" s="656"/>
      <c r="H20" s="657"/>
      <c r="I20" s="658"/>
      <c r="J20" s="658">
        <v>99.894999999999996</v>
      </c>
      <c r="K20" s="640">
        <f t="shared" si="4"/>
        <v>189.89499999999998</v>
      </c>
      <c r="L20" s="640">
        <f t="shared" si="5"/>
        <v>0</v>
      </c>
      <c r="M20" s="640">
        <f t="shared" si="1"/>
        <v>0</v>
      </c>
      <c r="N20" s="640">
        <f t="shared" si="2"/>
        <v>189.89499999999998</v>
      </c>
    </row>
    <row r="21" spans="1:14" ht="38.25">
      <c r="A21" s="403" t="s">
        <v>1001</v>
      </c>
      <c r="B21" s="396" t="s">
        <v>1000</v>
      </c>
      <c r="C21" s="640">
        <f t="shared" si="3"/>
        <v>200</v>
      </c>
      <c r="D21" s="641"/>
      <c r="E21" s="658"/>
      <c r="F21" s="658">
        <v>200</v>
      </c>
      <c r="G21" s="656"/>
      <c r="H21" s="657"/>
      <c r="I21" s="658"/>
      <c r="J21" s="658">
        <v>-200</v>
      </c>
      <c r="K21" s="640">
        <f>SUM(L21:N21)</f>
        <v>0</v>
      </c>
      <c r="L21" s="640">
        <f>D21+H21</f>
        <v>0</v>
      </c>
      <c r="M21" s="640">
        <f>E21+I21</f>
        <v>0</v>
      </c>
      <c r="N21" s="640">
        <f>J21+F21</f>
        <v>0</v>
      </c>
    </row>
    <row r="22" spans="1:14" ht="25.5">
      <c r="A22" s="403"/>
      <c r="B22" s="396" t="s">
        <v>1137</v>
      </c>
      <c r="C22" s="640">
        <f t="shared" si="3"/>
        <v>0</v>
      </c>
      <c r="D22" s="641"/>
      <c r="E22" s="658"/>
      <c r="F22" s="658"/>
      <c r="G22" s="656"/>
      <c r="H22" s="657"/>
      <c r="I22" s="658"/>
      <c r="J22" s="658">
        <v>100</v>
      </c>
      <c r="K22" s="640">
        <f>SUM(L22:N22)</f>
        <v>100</v>
      </c>
      <c r="L22" s="640">
        <f>D22+H22</f>
        <v>0</v>
      </c>
      <c r="M22" s="640">
        <f>E22+I22</f>
        <v>0</v>
      </c>
      <c r="N22" s="640">
        <f>J22+F22</f>
        <v>100</v>
      </c>
    </row>
    <row r="23" spans="1:14" s="400" customFormat="1" ht="15.75">
      <c r="A23" s="402"/>
      <c r="B23" s="401" t="s">
        <v>999</v>
      </c>
      <c r="C23" s="642">
        <f t="shared" ref="C23:N23" si="6">C24+C30+C32+C34</f>
        <v>65032.2</v>
      </c>
      <c r="D23" s="642">
        <f t="shared" si="6"/>
        <v>23587.599999999999</v>
      </c>
      <c r="E23" s="642">
        <f t="shared" si="6"/>
        <v>36779.599999999999</v>
      </c>
      <c r="F23" s="642">
        <f t="shared" si="6"/>
        <v>4665</v>
      </c>
      <c r="G23" s="642">
        <f t="shared" si="6"/>
        <v>44884</v>
      </c>
      <c r="H23" s="642">
        <f t="shared" si="6"/>
        <v>87900</v>
      </c>
      <c r="I23" s="642">
        <f t="shared" si="6"/>
        <v>655</v>
      </c>
      <c r="J23" s="642">
        <f t="shared" si="6"/>
        <v>732</v>
      </c>
      <c r="K23" s="642">
        <f t="shared" si="6"/>
        <v>154319.20000000001</v>
      </c>
      <c r="L23" s="642">
        <f t="shared" si="6"/>
        <v>111487.6</v>
      </c>
      <c r="M23" s="642">
        <f t="shared" si="6"/>
        <v>37434.6</v>
      </c>
      <c r="N23" s="642">
        <f t="shared" si="6"/>
        <v>5397</v>
      </c>
    </row>
    <row r="24" spans="1:14" ht="15.75">
      <c r="A24" s="399">
        <v>2</v>
      </c>
      <c r="B24" s="395" t="s">
        <v>998</v>
      </c>
      <c r="C24" s="643">
        <f t="shared" ref="C24:J24" si="7">C25</f>
        <v>20433.2</v>
      </c>
      <c r="D24" s="643">
        <f>D25</f>
        <v>3587.6</v>
      </c>
      <c r="E24" s="643">
        <f t="shared" si="7"/>
        <v>14640.6</v>
      </c>
      <c r="F24" s="643">
        <f t="shared" si="7"/>
        <v>2205</v>
      </c>
      <c r="G24" s="643">
        <f t="shared" si="7"/>
        <v>24884</v>
      </c>
      <c r="H24" s="643">
        <f t="shared" si="7"/>
        <v>0</v>
      </c>
      <c r="I24" s="643">
        <f t="shared" si="7"/>
        <v>155</v>
      </c>
      <c r="J24" s="643">
        <f t="shared" si="7"/>
        <v>722</v>
      </c>
      <c r="K24" s="643">
        <f>K25</f>
        <v>21310.2</v>
      </c>
      <c r="L24" s="643">
        <f>L25</f>
        <v>3587.6</v>
      </c>
      <c r="M24" s="643">
        <f>M25</f>
        <v>14795.6</v>
      </c>
      <c r="N24" s="643">
        <f>N25</f>
        <v>2927</v>
      </c>
    </row>
    <row r="25" spans="1:14" ht="25.5">
      <c r="A25" s="399"/>
      <c r="B25" s="395" t="s">
        <v>997</v>
      </c>
      <c r="C25" s="643">
        <f t="shared" ref="C25:N25" si="8">SUM(C26:C28)</f>
        <v>20433.2</v>
      </c>
      <c r="D25" s="643">
        <f t="shared" si="8"/>
        <v>3587.6</v>
      </c>
      <c r="E25" s="643">
        <f t="shared" si="8"/>
        <v>14640.6</v>
      </c>
      <c r="F25" s="643">
        <f t="shared" si="8"/>
        <v>2205</v>
      </c>
      <c r="G25" s="643">
        <f t="shared" si="8"/>
        <v>24884</v>
      </c>
      <c r="H25" s="643">
        <f t="shared" si="8"/>
        <v>0</v>
      </c>
      <c r="I25" s="643">
        <f t="shared" si="8"/>
        <v>155</v>
      </c>
      <c r="J25" s="643">
        <f t="shared" si="8"/>
        <v>722</v>
      </c>
      <c r="K25" s="643">
        <f t="shared" si="8"/>
        <v>21310.2</v>
      </c>
      <c r="L25" s="643">
        <f t="shared" si="8"/>
        <v>3587.6</v>
      </c>
      <c r="M25" s="643">
        <f t="shared" si="8"/>
        <v>14795.6</v>
      </c>
      <c r="N25" s="643">
        <f t="shared" si="8"/>
        <v>2927</v>
      </c>
    </row>
    <row r="26" spans="1:14" ht="15.75">
      <c r="A26" s="399" t="s">
        <v>996</v>
      </c>
      <c r="B26" s="394" t="s">
        <v>995</v>
      </c>
      <c r="C26" s="644">
        <f>SUM(D26:F26)</f>
        <v>1701</v>
      </c>
      <c r="D26" s="644">
        <v>201</v>
      </c>
      <c r="E26" s="644">
        <v>1000</v>
      </c>
      <c r="F26" s="644">
        <v>500</v>
      </c>
      <c r="G26" s="656">
        <v>3484</v>
      </c>
      <c r="H26" s="656"/>
      <c r="I26" s="644">
        <v>155</v>
      </c>
      <c r="J26" s="644"/>
      <c r="K26" s="644">
        <f>SUM(L26:N26)</f>
        <v>1856</v>
      </c>
      <c r="L26" s="640">
        <f t="shared" ref="L26:M28" si="9">D26+H26</f>
        <v>201</v>
      </c>
      <c r="M26" s="644">
        <f t="shared" si="9"/>
        <v>1155</v>
      </c>
      <c r="N26" s="644">
        <v>500</v>
      </c>
    </row>
    <row r="27" spans="1:14" ht="15.75">
      <c r="A27" s="393" t="s">
        <v>994</v>
      </c>
      <c r="B27" s="394" t="s">
        <v>1030</v>
      </c>
      <c r="C27" s="644">
        <f>SUM(D27:F27)</f>
        <v>14232.2</v>
      </c>
      <c r="D27" s="644">
        <v>3386.6</v>
      </c>
      <c r="E27" s="644">
        <v>9640.6</v>
      </c>
      <c r="F27" s="644">
        <v>1205</v>
      </c>
      <c r="G27" s="656"/>
      <c r="H27" s="656"/>
      <c r="I27" s="644"/>
      <c r="J27" s="644">
        <f>921-199</f>
        <v>722</v>
      </c>
      <c r="K27" s="644">
        <f>SUM(L27:N27)</f>
        <v>14954.2</v>
      </c>
      <c r="L27" s="640">
        <f t="shared" si="9"/>
        <v>3386.6</v>
      </c>
      <c r="M27" s="644">
        <f t="shared" si="9"/>
        <v>9640.6</v>
      </c>
      <c r="N27" s="644">
        <f>1205+J27</f>
        <v>1927</v>
      </c>
    </row>
    <row r="28" spans="1:14" ht="26.25">
      <c r="A28" s="393" t="s">
        <v>993</v>
      </c>
      <c r="B28" s="398" t="s">
        <v>992</v>
      </c>
      <c r="C28" s="644">
        <f>SUM(D28:F28)</f>
        <v>4500</v>
      </c>
      <c r="D28" s="644"/>
      <c r="E28" s="644">
        <v>4000</v>
      </c>
      <c r="F28" s="644">
        <f>445+55</f>
        <v>500</v>
      </c>
      <c r="G28" s="656">
        <v>21400</v>
      </c>
      <c r="H28" s="656"/>
      <c r="I28" s="644"/>
      <c r="J28" s="644"/>
      <c r="K28" s="644">
        <f>SUM(L28:N28)</f>
        <v>4500</v>
      </c>
      <c r="L28" s="664">
        <f t="shared" si="9"/>
        <v>0</v>
      </c>
      <c r="M28" s="644">
        <f t="shared" si="9"/>
        <v>4000</v>
      </c>
      <c r="N28" s="644">
        <f>445+55</f>
        <v>500</v>
      </c>
    </row>
    <row r="29" spans="1:14" ht="31.5" hidden="1" customHeight="1">
      <c r="A29" s="397" t="s">
        <v>991</v>
      </c>
      <c r="B29" s="396" t="s">
        <v>990</v>
      </c>
      <c r="C29" s="644">
        <f>SUM(E29:F29)</f>
        <v>0</v>
      </c>
      <c r="D29" s="644"/>
      <c r="E29" s="644"/>
      <c r="F29" s="644"/>
      <c r="G29" s="656"/>
      <c r="H29" s="656"/>
      <c r="I29" s="644"/>
      <c r="J29" s="644"/>
      <c r="K29" s="644">
        <f>SUM(M29:N29)</f>
        <v>0</v>
      </c>
      <c r="L29" s="644"/>
      <c r="M29" s="644"/>
      <c r="N29" s="644"/>
    </row>
    <row r="30" spans="1:14" ht="15.75">
      <c r="A30" s="393">
        <v>3</v>
      </c>
      <c r="B30" s="395" t="s">
        <v>989</v>
      </c>
      <c r="C30" s="643">
        <f t="shared" ref="C30:N30" si="10">SUM(C31:C31)</f>
        <v>44599</v>
      </c>
      <c r="D30" s="643">
        <f t="shared" si="10"/>
        <v>20000</v>
      </c>
      <c r="E30" s="643">
        <f t="shared" si="10"/>
        <v>22139</v>
      </c>
      <c r="F30" s="643">
        <f t="shared" si="10"/>
        <v>2460</v>
      </c>
      <c r="G30" s="643">
        <f t="shared" si="10"/>
        <v>20000</v>
      </c>
      <c r="H30" s="643">
        <f t="shared" si="10"/>
        <v>30000</v>
      </c>
      <c r="I30" s="643">
        <f t="shared" si="10"/>
        <v>0</v>
      </c>
      <c r="J30" s="643">
        <f t="shared" si="10"/>
        <v>0</v>
      </c>
      <c r="K30" s="643">
        <f>SUM(K31:K31)</f>
        <v>74599</v>
      </c>
      <c r="L30" s="643">
        <f>SUM(L31:L31)</f>
        <v>50000</v>
      </c>
      <c r="M30" s="643">
        <f t="shared" si="10"/>
        <v>22139</v>
      </c>
      <c r="N30" s="643">
        <f t="shared" si="10"/>
        <v>2460</v>
      </c>
    </row>
    <row r="31" spans="1:14" ht="25.5">
      <c r="A31" s="393" t="s">
        <v>7</v>
      </c>
      <c r="B31" s="394" t="s">
        <v>988</v>
      </c>
      <c r="C31" s="644">
        <f>SUM(D31:F31)</f>
        <v>44599</v>
      </c>
      <c r="D31" s="644">
        <v>20000</v>
      </c>
      <c r="E31" s="644">
        <v>22139</v>
      </c>
      <c r="F31" s="644">
        <f>2460</f>
        <v>2460</v>
      </c>
      <c r="G31" s="656">
        <v>20000</v>
      </c>
      <c r="H31" s="656">
        <v>30000</v>
      </c>
      <c r="I31" s="644"/>
      <c r="J31" s="644"/>
      <c r="K31" s="644">
        <f>SUM(L31:N31)</f>
        <v>74599</v>
      </c>
      <c r="L31" s="664">
        <f>D31+H31</f>
        <v>50000</v>
      </c>
      <c r="M31" s="644">
        <f>E31+I31</f>
        <v>22139</v>
      </c>
      <c r="N31" s="644">
        <f>F31+J31</f>
        <v>2460</v>
      </c>
    </row>
    <row r="32" spans="1:14" ht="41.25" customHeight="1">
      <c r="A32" s="393">
        <v>4</v>
      </c>
      <c r="B32" s="663" t="s">
        <v>1140</v>
      </c>
      <c r="C32" s="643">
        <f>SUM(D32:F32)</f>
        <v>0</v>
      </c>
      <c r="D32" s="643">
        <f>SUM(D33)</f>
        <v>0</v>
      </c>
      <c r="E32" s="643">
        <f t="shared" ref="E32:N32" si="11">SUM(E33)</f>
        <v>0</v>
      </c>
      <c r="F32" s="643">
        <f t="shared" si="11"/>
        <v>0</v>
      </c>
      <c r="G32" s="643">
        <f t="shared" si="11"/>
        <v>0</v>
      </c>
      <c r="H32" s="643">
        <f t="shared" si="11"/>
        <v>57900</v>
      </c>
      <c r="I32" s="643">
        <f t="shared" si="11"/>
        <v>500</v>
      </c>
      <c r="J32" s="643">
        <f t="shared" si="11"/>
        <v>10</v>
      </c>
      <c r="K32" s="643">
        <f>SUM(K33)</f>
        <v>58410</v>
      </c>
      <c r="L32" s="643">
        <f t="shared" si="11"/>
        <v>57900</v>
      </c>
      <c r="M32" s="643">
        <f t="shared" si="11"/>
        <v>500</v>
      </c>
      <c r="N32" s="643">
        <f t="shared" si="11"/>
        <v>10</v>
      </c>
    </row>
    <row r="33" spans="1:14" ht="33" customHeight="1" thickBot="1">
      <c r="A33" s="662" t="s">
        <v>1138</v>
      </c>
      <c r="B33" s="392" t="s">
        <v>1139</v>
      </c>
      <c r="C33" s="644">
        <f>SUM(D33:F33)</f>
        <v>0</v>
      </c>
      <c r="D33" s="644"/>
      <c r="E33" s="644"/>
      <c r="F33" s="644"/>
      <c r="G33" s="656"/>
      <c r="H33" s="656">
        <v>57900</v>
      </c>
      <c r="I33" s="644">
        <v>500</v>
      </c>
      <c r="J33" s="644">
        <v>10</v>
      </c>
      <c r="K33" s="644">
        <f>SUM(L33:N33)</f>
        <v>58410</v>
      </c>
      <c r="L33" s="664">
        <f>D33+H33</f>
        <v>57900</v>
      </c>
      <c r="M33" s="644">
        <f>E33+I33</f>
        <v>500</v>
      </c>
      <c r="N33" s="644">
        <f>F33+J33</f>
        <v>10</v>
      </c>
    </row>
    <row r="34" spans="1:14" ht="22.5" hidden="1" customHeight="1" thickBot="1">
      <c r="A34" s="391"/>
      <c r="B34" s="390"/>
      <c r="C34" s="645">
        <f>SUM(E34:F34)</f>
        <v>0</v>
      </c>
      <c r="D34" s="645"/>
      <c r="E34" s="645"/>
      <c r="F34" s="659"/>
      <c r="G34" s="657"/>
      <c r="H34" s="657"/>
      <c r="I34" s="645"/>
      <c r="J34" s="659"/>
      <c r="K34" s="645">
        <f>SUM(M34:N34)</f>
        <v>0</v>
      </c>
      <c r="L34" s="645"/>
      <c r="M34" s="645"/>
      <c r="N34" s="659"/>
    </row>
    <row r="35" spans="1:14" ht="16.5" thickBot="1">
      <c r="A35" s="908" t="s">
        <v>987</v>
      </c>
      <c r="B35" s="909"/>
      <c r="C35" s="646">
        <f>SUM(D35:F35)</f>
        <v>67240.41</v>
      </c>
      <c r="D35" s="646">
        <f t="shared" ref="D35:J35" si="12">D23+D11</f>
        <v>23587.599999999999</v>
      </c>
      <c r="E35" s="646">
        <f t="shared" si="12"/>
        <v>36779.599999999999</v>
      </c>
      <c r="F35" s="646">
        <f t="shared" si="12"/>
        <v>6873.21</v>
      </c>
      <c r="G35" s="660">
        <f t="shared" si="12"/>
        <v>44884</v>
      </c>
      <c r="H35" s="646">
        <f t="shared" si="12"/>
        <v>87900</v>
      </c>
      <c r="I35" s="646">
        <f t="shared" si="12"/>
        <v>655</v>
      </c>
      <c r="J35" s="661">
        <f t="shared" si="12"/>
        <v>1092.9549999999999</v>
      </c>
      <c r="K35" s="646">
        <f>SUM(L35:N35)</f>
        <v>156888.36500000002</v>
      </c>
      <c r="L35" s="646">
        <f>L23+L11</f>
        <v>111487.6</v>
      </c>
      <c r="M35" s="646">
        <f>M23+M11</f>
        <v>37434.6</v>
      </c>
      <c r="N35" s="661">
        <f>N23+N11</f>
        <v>7966.165</v>
      </c>
    </row>
    <row r="36" spans="1:14">
      <c r="A36" s="389"/>
      <c r="B36" s="388"/>
      <c r="C36" s="654"/>
      <c r="D36" s="654"/>
      <c r="E36" s="654"/>
      <c r="F36" s="654"/>
      <c r="I36" s="654"/>
      <c r="J36" s="654"/>
      <c r="K36" s="654"/>
      <c r="L36" s="654"/>
      <c r="M36" s="654"/>
      <c r="N36" s="654"/>
    </row>
  </sheetData>
  <mergeCells count="14">
    <mergeCell ref="A35:B35"/>
    <mergeCell ref="A9:A10"/>
    <mergeCell ref="B9:B10"/>
    <mergeCell ref="C9:C10"/>
    <mergeCell ref="K1:N1"/>
    <mergeCell ref="K3:N5"/>
    <mergeCell ref="K9:K10"/>
    <mergeCell ref="A6:N6"/>
    <mergeCell ref="B7:N7"/>
    <mergeCell ref="G9:G10"/>
    <mergeCell ref="H9:J9"/>
    <mergeCell ref="L9:N9"/>
    <mergeCell ref="D9:F9"/>
    <mergeCell ref="K2:N2"/>
  </mergeCells>
  <pageMargins left="0.98425196850393704" right="0.59055118110236227" top="0.78740157480314965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S45"/>
  <sheetViews>
    <sheetView view="pageBreakPreview" zoomScale="75" zoomScaleNormal="75" zoomScaleSheetLayoutView="75" workbookViewId="0">
      <selection activeCell="A3" sqref="A3:R3"/>
    </sheetView>
  </sheetViews>
  <sheetFormatPr defaultRowHeight="12.75"/>
  <cols>
    <col min="1" max="1" width="27.85546875" style="668" customWidth="1"/>
    <col min="2" max="2" width="45.5703125" style="668" customWidth="1"/>
    <col min="3" max="3" width="78.85546875" style="668" customWidth="1"/>
    <col min="4" max="4" width="0.28515625" style="668" hidden="1" customWidth="1"/>
    <col min="5" max="6" width="8.85546875" style="668" hidden="1" customWidth="1"/>
    <col min="7" max="7" width="16.140625" style="668" hidden="1" customWidth="1"/>
    <col min="8" max="8" width="8.85546875" style="668" hidden="1" customWidth="1"/>
    <col min="9" max="9" width="16.85546875" style="668" hidden="1" customWidth="1"/>
    <col min="10" max="10" width="21.140625" style="668" hidden="1" customWidth="1"/>
    <col min="11" max="11" width="18.5703125" style="668" hidden="1" customWidth="1"/>
    <col min="12" max="12" width="17.7109375" style="668" hidden="1" customWidth="1"/>
    <col min="13" max="13" width="19.85546875" style="668" hidden="1" customWidth="1"/>
    <col min="14" max="14" width="21.7109375" style="668" hidden="1" customWidth="1"/>
    <col min="15" max="15" width="17.7109375" style="668" hidden="1" customWidth="1"/>
    <col min="16" max="16" width="16.28515625" style="668" customWidth="1"/>
    <col min="17" max="17" width="14.85546875" style="668" customWidth="1"/>
    <col min="18" max="18" width="15.28515625" style="668" customWidth="1"/>
    <col min="19" max="19" width="13.7109375" style="668" bestFit="1" customWidth="1"/>
    <col min="20" max="256" width="9.140625" style="668"/>
    <col min="257" max="257" width="27.85546875" style="668" customWidth="1"/>
    <col min="258" max="258" width="45.5703125" style="668" customWidth="1"/>
    <col min="259" max="259" width="78.85546875" style="668" customWidth="1"/>
    <col min="260" max="271" width="0" style="668" hidden="1" customWidth="1"/>
    <col min="272" max="272" width="16.28515625" style="668" customWidth="1"/>
    <col min="273" max="273" width="14.85546875" style="668" customWidth="1"/>
    <col min="274" max="274" width="15.28515625" style="668" customWidth="1"/>
    <col min="275" max="275" width="13.7109375" style="668" bestFit="1" customWidth="1"/>
    <col min="276" max="512" width="9.140625" style="668"/>
    <col min="513" max="513" width="27.85546875" style="668" customWidth="1"/>
    <col min="514" max="514" width="45.5703125" style="668" customWidth="1"/>
    <col min="515" max="515" width="78.85546875" style="668" customWidth="1"/>
    <col min="516" max="527" width="0" style="668" hidden="1" customWidth="1"/>
    <col min="528" max="528" width="16.28515625" style="668" customWidth="1"/>
    <col min="529" max="529" width="14.85546875" style="668" customWidth="1"/>
    <col min="530" max="530" width="15.28515625" style="668" customWidth="1"/>
    <col min="531" max="531" width="13.7109375" style="668" bestFit="1" customWidth="1"/>
    <col min="532" max="768" width="9.140625" style="668"/>
    <col min="769" max="769" width="27.85546875" style="668" customWidth="1"/>
    <col min="770" max="770" width="45.5703125" style="668" customWidth="1"/>
    <col min="771" max="771" width="78.85546875" style="668" customWidth="1"/>
    <col min="772" max="783" width="0" style="668" hidden="1" customWidth="1"/>
    <col min="784" max="784" width="16.28515625" style="668" customWidth="1"/>
    <col min="785" max="785" width="14.85546875" style="668" customWidth="1"/>
    <col min="786" max="786" width="15.28515625" style="668" customWidth="1"/>
    <col min="787" max="787" width="13.7109375" style="668" bestFit="1" customWidth="1"/>
    <col min="788" max="1024" width="9.140625" style="668"/>
    <col min="1025" max="1025" width="27.85546875" style="668" customWidth="1"/>
    <col min="1026" max="1026" width="45.5703125" style="668" customWidth="1"/>
    <col min="1027" max="1027" width="78.85546875" style="668" customWidth="1"/>
    <col min="1028" max="1039" width="0" style="668" hidden="1" customWidth="1"/>
    <col min="1040" max="1040" width="16.28515625" style="668" customWidth="1"/>
    <col min="1041" max="1041" width="14.85546875" style="668" customWidth="1"/>
    <col min="1042" max="1042" width="15.28515625" style="668" customWidth="1"/>
    <col min="1043" max="1043" width="13.7109375" style="668" bestFit="1" customWidth="1"/>
    <col min="1044" max="1280" width="9.140625" style="668"/>
    <col min="1281" max="1281" width="27.85546875" style="668" customWidth="1"/>
    <col min="1282" max="1282" width="45.5703125" style="668" customWidth="1"/>
    <col min="1283" max="1283" width="78.85546875" style="668" customWidth="1"/>
    <col min="1284" max="1295" width="0" style="668" hidden="1" customWidth="1"/>
    <col min="1296" max="1296" width="16.28515625" style="668" customWidth="1"/>
    <col min="1297" max="1297" width="14.85546875" style="668" customWidth="1"/>
    <col min="1298" max="1298" width="15.28515625" style="668" customWidth="1"/>
    <col min="1299" max="1299" width="13.7109375" style="668" bestFit="1" customWidth="1"/>
    <col min="1300" max="1536" width="9.140625" style="668"/>
    <col min="1537" max="1537" width="27.85546875" style="668" customWidth="1"/>
    <col min="1538" max="1538" width="45.5703125" style="668" customWidth="1"/>
    <col min="1539" max="1539" width="78.85546875" style="668" customWidth="1"/>
    <col min="1540" max="1551" width="0" style="668" hidden="1" customWidth="1"/>
    <col min="1552" max="1552" width="16.28515625" style="668" customWidth="1"/>
    <col min="1553" max="1553" width="14.85546875" style="668" customWidth="1"/>
    <col min="1554" max="1554" width="15.28515625" style="668" customWidth="1"/>
    <col min="1555" max="1555" width="13.7109375" style="668" bestFit="1" customWidth="1"/>
    <col min="1556" max="1792" width="9.140625" style="668"/>
    <col min="1793" max="1793" width="27.85546875" style="668" customWidth="1"/>
    <col min="1794" max="1794" width="45.5703125" style="668" customWidth="1"/>
    <col min="1795" max="1795" width="78.85546875" style="668" customWidth="1"/>
    <col min="1796" max="1807" width="0" style="668" hidden="1" customWidth="1"/>
    <col min="1808" max="1808" width="16.28515625" style="668" customWidth="1"/>
    <col min="1809" max="1809" width="14.85546875" style="668" customWidth="1"/>
    <col min="1810" max="1810" width="15.28515625" style="668" customWidth="1"/>
    <col min="1811" max="1811" width="13.7109375" style="668" bestFit="1" customWidth="1"/>
    <col min="1812" max="2048" width="9.140625" style="668"/>
    <col min="2049" max="2049" width="27.85546875" style="668" customWidth="1"/>
    <col min="2050" max="2050" width="45.5703125" style="668" customWidth="1"/>
    <col min="2051" max="2051" width="78.85546875" style="668" customWidth="1"/>
    <col min="2052" max="2063" width="0" style="668" hidden="1" customWidth="1"/>
    <col min="2064" max="2064" width="16.28515625" style="668" customWidth="1"/>
    <col min="2065" max="2065" width="14.85546875" style="668" customWidth="1"/>
    <col min="2066" max="2066" width="15.28515625" style="668" customWidth="1"/>
    <col min="2067" max="2067" width="13.7109375" style="668" bestFit="1" customWidth="1"/>
    <col min="2068" max="2304" width="9.140625" style="668"/>
    <col min="2305" max="2305" width="27.85546875" style="668" customWidth="1"/>
    <col min="2306" max="2306" width="45.5703125" style="668" customWidth="1"/>
    <col min="2307" max="2307" width="78.85546875" style="668" customWidth="1"/>
    <col min="2308" max="2319" width="0" style="668" hidden="1" customWidth="1"/>
    <col min="2320" max="2320" width="16.28515625" style="668" customWidth="1"/>
    <col min="2321" max="2321" width="14.85546875" style="668" customWidth="1"/>
    <col min="2322" max="2322" width="15.28515625" style="668" customWidth="1"/>
    <col min="2323" max="2323" width="13.7109375" style="668" bestFit="1" customWidth="1"/>
    <col min="2324" max="2560" width="9.140625" style="668"/>
    <col min="2561" max="2561" width="27.85546875" style="668" customWidth="1"/>
    <col min="2562" max="2562" width="45.5703125" style="668" customWidth="1"/>
    <col min="2563" max="2563" width="78.85546875" style="668" customWidth="1"/>
    <col min="2564" max="2575" width="0" style="668" hidden="1" customWidth="1"/>
    <col min="2576" max="2576" width="16.28515625" style="668" customWidth="1"/>
    <col min="2577" max="2577" width="14.85546875" style="668" customWidth="1"/>
    <col min="2578" max="2578" width="15.28515625" style="668" customWidth="1"/>
    <col min="2579" max="2579" width="13.7109375" style="668" bestFit="1" customWidth="1"/>
    <col min="2580" max="2816" width="9.140625" style="668"/>
    <col min="2817" max="2817" width="27.85546875" style="668" customWidth="1"/>
    <col min="2818" max="2818" width="45.5703125" style="668" customWidth="1"/>
    <col min="2819" max="2819" width="78.85546875" style="668" customWidth="1"/>
    <col min="2820" max="2831" width="0" style="668" hidden="1" customWidth="1"/>
    <col min="2832" max="2832" width="16.28515625" style="668" customWidth="1"/>
    <col min="2833" max="2833" width="14.85546875" style="668" customWidth="1"/>
    <col min="2834" max="2834" width="15.28515625" style="668" customWidth="1"/>
    <col min="2835" max="2835" width="13.7109375" style="668" bestFit="1" customWidth="1"/>
    <col min="2836" max="3072" width="9.140625" style="668"/>
    <col min="3073" max="3073" width="27.85546875" style="668" customWidth="1"/>
    <col min="3074" max="3074" width="45.5703125" style="668" customWidth="1"/>
    <col min="3075" max="3075" width="78.85546875" style="668" customWidth="1"/>
    <col min="3076" max="3087" width="0" style="668" hidden="1" customWidth="1"/>
    <col min="3088" max="3088" width="16.28515625" style="668" customWidth="1"/>
    <col min="3089" max="3089" width="14.85546875" style="668" customWidth="1"/>
    <col min="3090" max="3090" width="15.28515625" style="668" customWidth="1"/>
    <col min="3091" max="3091" width="13.7109375" style="668" bestFit="1" customWidth="1"/>
    <col min="3092" max="3328" width="9.140625" style="668"/>
    <col min="3329" max="3329" width="27.85546875" style="668" customWidth="1"/>
    <col min="3330" max="3330" width="45.5703125" style="668" customWidth="1"/>
    <col min="3331" max="3331" width="78.85546875" style="668" customWidth="1"/>
    <col min="3332" max="3343" width="0" style="668" hidden="1" customWidth="1"/>
    <col min="3344" max="3344" width="16.28515625" style="668" customWidth="1"/>
    <col min="3345" max="3345" width="14.85546875" style="668" customWidth="1"/>
    <col min="3346" max="3346" width="15.28515625" style="668" customWidth="1"/>
    <col min="3347" max="3347" width="13.7109375" style="668" bestFit="1" customWidth="1"/>
    <col min="3348" max="3584" width="9.140625" style="668"/>
    <col min="3585" max="3585" width="27.85546875" style="668" customWidth="1"/>
    <col min="3586" max="3586" width="45.5703125" style="668" customWidth="1"/>
    <col min="3587" max="3587" width="78.85546875" style="668" customWidth="1"/>
    <col min="3588" max="3599" width="0" style="668" hidden="1" customWidth="1"/>
    <col min="3600" max="3600" width="16.28515625" style="668" customWidth="1"/>
    <col min="3601" max="3601" width="14.85546875" style="668" customWidth="1"/>
    <col min="3602" max="3602" width="15.28515625" style="668" customWidth="1"/>
    <col min="3603" max="3603" width="13.7109375" style="668" bestFit="1" customWidth="1"/>
    <col min="3604" max="3840" width="9.140625" style="668"/>
    <col min="3841" max="3841" width="27.85546875" style="668" customWidth="1"/>
    <col min="3842" max="3842" width="45.5703125" style="668" customWidth="1"/>
    <col min="3843" max="3843" width="78.85546875" style="668" customWidth="1"/>
    <col min="3844" max="3855" width="0" style="668" hidden="1" customWidth="1"/>
    <col min="3856" max="3856" width="16.28515625" style="668" customWidth="1"/>
    <col min="3857" max="3857" width="14.85546875" style="668" customWidth="1"/>
    <col min="3858" max="3858" width="15.28515625" style="668" customWidth="1"/>
    <col min="3859" max="3859" width="13.7109375" style="668" bestFit="1" customWidth="1"/>
    <col min="3860" max="4096" width="9.140625" style="668"/>
    <col min="4097" max="4097" width="27.85546875" style="668" customWidth="1"/>
    <col min="4098" max="4098" width="45.5703125" style="668" customWidth="1"/>
    <col min="4099" max="4099" width="78.85546875" style="668" customWidth="1"/>
    <col min="4100" max="4111" width="0" style="668" hidden="1" customWidth="1"/>
    <col min="4112" max="4112" width="16.28515625" style="668" customWidth="1"/>
    <col min="4113" max="4113" width="14.85546875" style="668" customWidth="1"/>
    <col min="4114" max="4114" width="15.28515625" style="668" customWidth="1"/>
    <col min="4115" max="4115" width="13.7109375" style="668" bestFit="1" customWidth="1"/>
    <col min="4116" max="4352" width="9.140625" style="668"/>
    <col min="4353" max="4353" width="27.85546875" style="668" customWidth="1"/>
    <col min="4354" max="4354" width="45.5703125" style="668" customWidth="1"/>
    <col min="4355" max="4355" width="78.85546875" style="668" customWidth="1"/>
    <col min="4356" max="4367" width="0" style="668" hidden="1" customWidth="1"/>
    <col min="4368" max="4368" width="16.28515625" style="668" customWidth="1"/>
    <col min="4369" max="4369" width="14.85546875" style="668" customWidth="1"/>
    <col min="4370" max="4370" width="15.28515625" style="668" customWidth="1"/>
    <col min="4371" max="4371" width="13.7109375" style="668" bestFit="1" customWidth="1"/>
    <col min="4372" max="4608" width="9.140625" style="668"/>
    <col min="4609" max="4609" width="27.85546875" style="668" customWidth="1"/>
    <col min="4610" max="4610" width="45.5703125" style="668" customWidth="1"/>
    <col min="4611" max="4611" width="78.85546875" style="668" customWidth="1"/>
    <col min="4612" max="4623" width="0" style="668" hidden="1" customWidth="1"/>
    <col min="4624" max="4624" width="16.28515625" style="668" customWidth="1"/>
    <col min="4625" max="4625" width="14.85546875" style="668" customWidth="1"/>
    <col min="4626" max="4626" width="15.28515625" style="668" customWidth="1"/>
    <col min="4627" max="4627" width="13.7109375" style="668" bestFit="1" customWidth="1"/>
    <col min="4628" max="4864" width="9.140625" style="668"/>
    <col min="4865" max="4865" width="27.85546875" style="668" customWidth="1"/>
    <col min="4866" max="4866" width="45.5703125" style="668" customWidth="1"/>
    <col min="4867" max="4867" width="78.85546875" style="668" customWidth="1"/>
    <col min="4868" max="4879" width="0" style="668" hidden="1" customWidth="1"/>
    <col min="4880" max="4880" width="16.28515625" style="668" customWidth="1"/>
    <col min="4881" max="4881" width="14.85546875" style="668" customWidth="1"/>
    <col min="4882" max="4882" width="15.28515625" style="668" customWidth="1"/>
    <col min="4883" max="4883" width="13.7109375" style="668" bestFit="1" customWidth="1"/>
    <col min="4884" max="5120" width="9.140625" style="668"/>
    <col min="5121" max="5121" width="27.85546875" style="668" customWidth="1"/>
    <col min="5122" max="5122" width="45.5703125" style="668" customWidth="1"/>
    <col min="5123" max="5123" width="78.85546875" style="668" customWidth="1"/>
    <col min="5124" max="5135" width="0" style="668" hidden="1" customWidth="1"/>
    <col min="5136" max="5136" width="16.28515625" style="668" customWidth="1"/>
    <col min="5137" max="5137" width="14.85546875" style="668" customWidth="1"/>
    <col min="5138" max="5138" width="15.28515625" style="668" customWidth="1"/>
    <col min="5139" max="5139" width="13.7109375" style="668" bestFit="1" customWidth="1"/>
    <col min="5140" max="5376" width="9.140625" style="668"/>
    <col min="5377" max="5377" width="27.85546875" style="668" customWidth="1"/>
    <col min="5378" max="5378" width="45.5703125" style="668" customWidth="1"/>
    <col min="5379" max="5379" width="78.85546875" style="668" customWidth="1"/>
    <col min="5380" max="5391" width="0" style="668" hidden="1" customWidth="1"/>
    <col min="5392" max="5392" width="16.28515625" style="668" customWidth="1"/>
    <col min="5393" max="5393" width="14.85546875" style="668" customWidth="1"/>
    <col min="5394" max="5394" width="15.28515625" style="668" customWidth="1"/>
    <col min="5395" max="5395" width="13.7109375" style="668" bestFit="1" customWidth="1"/>
    <col min="5396" max="5632" width="9.140625" style="668"/>
    <col min="5633" max="5633" width="27.85546875" style="668" customWidth="1"/>
    <col min="5634" max="5634" width="45.5703125" style="668" customWidth="1"/>
    <col min="5635" max="5635" width="78.85546875" style="668" customWidth="1"/>
    <col min="5636" max="5647" width="0" style="668" hidden="1" customWidth="1"/>
    <col min="5648" max="5648" width="16.28515625" style="668" customWidth="1"/>
    <col min="5649" max="5649" width="14.85546875" style="668" customWidth="1"/>
    <col min="5650" max="5650" width="15.28515625" style="668" customWidth="1"/>
    <col min="5651" max="5651" width="13.7109375" style="668" bestFit="1" customWidth="1"/>
    <col min="5652" max="5888" width="9.140625" style="668"/>
    <col min="5889" max="5889" width="27.85546875" style="668" customWidth="1"/>
    <col min="5890" max="5890" width="45.5703125" style="668" customWidth="1"/>
    <col min="5891" max="5891" width="78.85546875" style="668" customWidth="1"/>
    <col min="5892" max="5903" width="0" style="668" hidden="1" customWidth="1"/>
    <col min="5904" max="5904" width="16.28515625" style="668" customWidth="1"/>
    <col min="5905" max="5905" width="14.85546875" style="668" customWidth="1"/>
    <col min="5906" max="5906" width="15.28515625" style="668" customWidth="1"/>
    <col min="5907" max="5907" width="13.7109375" style="668" bestFit="1" customWidth="1"/>
    <col min="5908" max="6144" width="9.140625" style="668"/>
    <col min="6145" max="6145" width="27.85546875" style="668" customWidth="1"/>
    <col min="6146" max="6146" width="45.5703125" style="668" customWidth="1"/>
    <col min="6147" max="6147" width="78.85546875" style="668" customWidth="1"/>
    <col min="6148" max="6159" width="0" style="668" hidden="1" customWidth="1"/>
    <col min="6160" max="6160" width="16.28515625" style="668" customWidth="1"/>
    <col min="6161" max="6161" width="14.85546875" style="668" customWidth="1"/>
    <col min="6162" max="6162" width="15.28515625" style="668" customWidth="1"/>
    <col min="6163" max="6163" width="13.7109375" style="668" bestFit="1" customWidth="1"/>
    <col min="6164" max="6400" width="9.140625" style="668"/>
    <col min="6401" max="6401" width="27.85546875" style="668" customWidth="1"/>
    <col min="6402" max="6402" width="45.5703125" style="668" customWidth="1"/>
    <col min="6403" max="6403" width="78.85546875" style="668" customWidth="1"/>
    <col min="6404" max="6415" width="0" style="668" hidden="1" customWidth="1"/>
    <col min="6416" max="6416" width="16.28515625" style="668" customWidth="1"/>
    <col min="6417" max="6417" width="14.85546875" style="668" customWidth="1"/>
    <col min="6418" max="6418" width="15.28515625" style="668" customWidth="1"/>
    <col min="6419" max="6419" width="13.7109375" style="668" bestFit="1" customWidth="1"/>
    <col min="6420" max="6656" width="9.140625" style="668"/>
    <col min="6657" max="6657" width="27.85546875" style="668" customWidth="1"/>
    <col min="6658" max="6658" width="45.5703125" style="668" customWidth="1"/>
    <col min="6659" max="6659" width="78.85546875" style="668" customWidth="1"/>
    <col min="6660" max="6671" width="0" style="668" hidden="1" customWidth="1"/>
    <col min="6672" max="6672" width="16.28515625" style="668" customWidth="1"/>
    <col min="6673" max="6673" width="14.85546875" style="668" customWidth="1"/>
    <col min="6674" max="6674" width="15.28515625" style="668" customWidth="1"/>
    <col min="6675" max="6675" width="13.7109375" style="668" bestFit="1" customWidth="1"/>
    <col min="6676" max="6912" width="9.140625" style="668"/>
    <col min="6913" max="6913" width="27.85546875" style="668" customWidth="1"/>
    <col min="6914" max="6914" width="45.5703125" style="668" customWidth="1"/>
    <col min="6915" max="6915" width="78.85546875" style="668" customWidth="1"/>
    <col min="6916" max="6927" width="0" style="668" hidden="1" customWidth="1"/>
    <col min="6928" max="6928" width="16.28515625" style="668" customWidth="1"/>
    <col min="6929" max="6929" width="14.85546875" style="668" customWidth="1"/>
    <col min="6930" max="6930" width="15.28515625" style="668" customWidth="1"/>
    <col min="6931" max="6931" width="13.7109375" style="668" bestFit="1" customWidth="1"/>
    <col min="6932" max="7168" width="9.140625" style="668"/>
    <col min="7169" max="7169" width="27.85546875" style="668" customWidth="1"/>
    <col min="7170" max="7170" width="45.5703125" style="668" customWidth="1"/>
    <col min="7171" max="7171" width="78.85546875" style="668" customWidth="1"/>
    <col min="7172" max="7183" width="0" style="668" hidden="1" customWidth="1"/>
    <col min="7184" max="7184" width="16.28515625" style="668" customWidth="1"/>
    <col min="7185" max="7185" width="14.85546875" style="668" customWidth="1"/>
    <col min="7186" max="7186" width="15.28515625" style="668" customWidth="1"/>
    <col min="7187" max="7187" width="13.7109375" style="668" bestFit="1" customWidth="1"/>
    <col min="7188" max="7424" width="9.140625" style="668"/>
    <col min="7425" max="7425" width="27.85546875" style="668" customWidth="1"/>
    <col min="7426" max="7426" width="45.5703125" style="668" customWidth="1"/>
    <col min="7427" max="7427" width="78.85546875" style="668" customWidth="1"/>
    <col min="7428" max="7439" width="0" style="668" hidden="1" customWidth="1"/>
    <col min="7440" max="7440" width="16.28515625" style="668" customWidth="1"/>
    <col min="7441" max="7441" width="14.85546875" style="668" customWidth="1"/>
    <col min="7442" max="7442" width="15.28515625" style="668" customWidth="1"/>
    <col min="7443" max="7443" width="13.7109375" style="668" bestFit="1" customWidth="1"/>
    <col min="7444" max="7680" width="9.140625" style="668"/>
    <col min="7681" max="7681" width="27.85546875" style="668" customWidth="1"/>
    <col min="7682" max="7682" width="45.5703125" style="668" customWidth="1"/>
    <col min="7683" max="7683" width="78.85546875" style="668" customWidth="1"/>
    <col min="7684" max="7695" width="0" style="668" hidden="1" customWidth="1"/>
    <col min="7696" max="7696" width="16.28515625" style="668" customWidth="1"/>
    <col min="7697" max="7697" width="14.85546875" style="668" customWidth="1"/>
    <col min="7698" max="7698" width="15.28515625" style="668" customWidth="1"/>
    <col min="7699" max="7699" width="13.7109375" style="668" bestFit="1" customWidth="1"/>
    <col min="7700" max="7936" width="9.140625" style="668"/>
    <col min="7937" max="7937" width="27.85546875" style="668" customWidth="1"/>
    <col min="7938" max="7938" width="45.5703125" style="668" customWidth="1"/>
    <col min="7939" max="7939" width="78.85546875" style="668" customWidth="1"/>
    <col min="7940" max="7951" width="0" style="668" hidden="1" customWidth="1"/>
    <col min="7952" max="7952" width="16.28515625" style="668" customWidth="1"/>
    <col min="7953" max="7953" width="14.85546875" style="668" customWidth="1"/>
    <col min="7954" max="7954" width="15.28515625" style="668" customWidth="1"/>
    <col min="7955" max="7955" width="13.7109375" style="668" bestFit="1" customWidth="1"/>
    <col min="7956" max="8192" width="9.140625" style="668"/>
    <col min="8193" max="8193" width="27.85546875" style="668" customWidth="1"/>
    <col min="8194" max="8194" width="45.5703125" style="668" customWidth="1"/>
    <col min="8195" max="8195" width="78.85546875" style="668" customWidth="1"/>
    <col min="8196" max="8207" width="0" style="668" hidden="1" customWidth="1"/>
    <col min="8208" max="8208" width="16.28515625" style="668" customWidth="1"/>
    <col min="8209" max="8209" width="14.85546875" style="668" customWidth="1"/>
    <col min="8210" max="8210" width="15.28515625" style="668" customWidth="1"/>
    <col min="8211" max="8211" width="13.7109375" style="668" bestFit="1" customWidth="1"/>
    <col min="8212" max="8448" width="9.140625" style="668"/>
    <col min="8449" max="8449" width="27.85546875" style="668" customWidth="1"/>
    <col min="8450" max="8450" width="45.5703125" style="668" customWidth="1"/>
    <col min="8451" max="8451" width="78.85546875" style="668" customWidth="1"/>
    <col min="8452" max="8463" width="0" style="668" hidden="1" customWidth="1"/>
    <col min="8464" max="8464" width="16.28515625" style="668" customWidth="1"/>
    <col min="8465" max="8465" width="14.85546875" style="668" customWidth="1"/>
    <col min="8466" max="8466" width="15.28515625" style="668" customWidth="1"/>
    <col min="8467" max="8467" width="13.7109375" style="668" bestFit="1" customWidth="1"/>
    <col min="8468" max="8704" width="9.140625" style="668"/>
    <col min="8705" max="8705" width="27.85546875" style="668" customWidth="1"/>
    <col min="8706" max="8706" width="45.5703125" style="668" customWidth="1"/>
    <col min="8707" max="8707" width="78.85546875" style="668" customWidth="1"/>
    <col min="8708" max="8719" width="0" style="668" hidden="1" customWidth="1"/>
    <col min="8720" max="8720" width="16.28515625" style="668" customWidth="1"/>
    <col min="8721" max="8721" width="14.85546875" style="668" customWidth="1"/>
    <col min="8722" max="8722" width="15.28515625" style="668" customWidth="1"/>
    <col min="8723" max="8723" width="13.7109375" style="668" bestFit="1" customWidth="1"/>
    <col min="8724" max="8960" width="9.140625" style="668"/>
    <col min="8961" max="8961" width="27.85546875" style="668" customWidth="1"/>
    <col min="8962" max="8962" width="45.5703125" style="668" customWidth="1"/>
    <col min="8963" max="8963" width="78.85546875" style="668" customWidth="1"/>
    <col min="8964" max="8975" width="0" style="668" hidden="1" customWidth="1"/>
    <col min="8976" max="8976" width="16.28515625" style="668" customWidth="1"/>
    <col min="8977" max="8977" width="14.85546875" style="668" customWidth="1"/>
    <col min="8978" max="8978" width="15.28515625" style="668" customWidth="1"/>
    <col min="8979" max="8979" width="13.7109375" style="668" bestFit="1" customWidth="1"/>
    <col min="8980" max="9216" width="9.140625" style="668"/>
    <col min="9217" max="9217" width="27.85546875" style="668" customWidth="1"/>
    <col min="9218" max="9218" width="45.5703125" style="668" customWidth="1"/>
    <col min="9219" max="9219" width="78.85546875" style="668" customWidth="1"/>
    <col min="9220" max="9231" width="0" style="668" hidden="1" customWidth="1"/>
    <col min="9232" max="9232" width="16.28515625" style="668" customWidth="1"/>
    <col min="9233" max="9233" width="14.85546875" style="668" customWidth="1"/>
    <col min="9234" max="9234" width="15.28515625" style="668" customWidth="1"/>
    <col min="9235" max="9235" width="13.7109375" style="668" bestFit="1" customWidth="1"/>
    <col min="9236" max="9472" width="9.140625" style="668"/>
    <col min="9473" max="9473" width="27.85546875" style="668" customWidth="1"/>
    <col min="9474" max="9474" width="45.5703125" style="668" customWidth="1"/>
    <col min="9475" max="9475" width="78.85546875" style="668" customWidth="1"/>
    <col min="9476" max="9487" width="0" style="668" hidden="1" customWidth="1"/>
    <col min="9488" max="9488" width="16.28515625" style="668" customWidth="1"/>
    <col min="9489" max="9489" width="14.85546875" style="668" customWidth="1"/>
    <col min="9490" max="9490" width="15.28515625" style="668" customWidth="1"/>
    <col min="9491" max="9491" width="13.7109375" style="668" bestFit="1" customWidth="1"/>
    <col min="9492" max="9728" width="9.140625" style="668"/>
    <col min="9729" max="9729" width="27.85546875" style="668" customWidth="1"/>
    <col min="9730" max="9730" width="45.5703125" style="668" customWidth="1"/>
    <col min="9731" max="9731" width="78.85546875" style="668" customWidth="1"/>
    <col min="9732" max="9743" width="0" style="668" hidden="1" customWidth="1"/>
    <col min="9744" max="9744" width="16.28515625" style="668" customWidth="1"/>
    <col min="9745" max="9745" width="14.85546875" style="668" customWidth="1"/>
    <col min="9746" max="9746" width="15.28515625" style="668" customWidth="1"/>
    <col min="9747" max="9747" width="13.7109375" style="668" bestFit="1" customWidth="1"/>
    <col min="9748" max="9984" width="9.140625" style="668"/>
    <col min="9985" max="9985" width="27.85546875" style="668" customWidth="1"/>
    <col min="9986" max="9986" width="45.5703125" style="668" customWidth="1"/>
    <col min="9987" max="9987" width="78.85546875" style="668" customWidth="1"/>
    <col min="9988" max="9999" width="0" style="668" hidden="1" customWidth="1"/>
    <col min="10000" max="10000" width="16.28515625" style="668" customWidth="1"/>
    <col min="10001" max="10001" width="14.85546875" style="668" customWidth="1"/>
    <col min="10002" max="10002" width="15.28515625" style="668" customWidth="1"/>
    <col min="10003" max="10003" width="13.7109375" style="668" bestFit="1" customWidth="1"/>
    <col min="10004" max="10240" width="9.140625" style="668"/>
    <col min="10241" max="10241" width="27.85546875" style="668" customWidth="1"/>
    <col min="10242" max="10242" width="45.5703125" style="668" customWidth="1"/>
    <col min="10243" max="10243" width="78.85546875" style="668" customWidth="1"/>
    <col min="10244" max="10255" width="0" style="668" hidden="1" customWidth="1"/>
    <col min="10256" max="10256" width="16.28515625" style="668" customWidth="1"/>
    <col min="10257" max="10257" width="14.85546875" style="668" customWidth="1"/>
    <col min="10258" max="10258" width="15.28515625" style="668" customWidth="1"/>
    <col min="10259" max="10259" width="13.7109375" style="668" bestFit="1" customWidth="1"/>
    <col min="10260" max="10496" width="9.140625" style="668"/>
    <col min="10497" max="10497" width="27.85546875" style="668" customWidth="1"/>
    <col min="10498" max="10498" width="45.5703125" style="668" customWidth="1"/>
    <col min="10499" max="10499" width="78.85546875" style="668" customWidth="1"/>
    <col min="10500" max="10511" width="0" style="668" hidden="1" customWidth="1"/>
    <col min="10512" max="10512" width="16.28515625" style="668" customWidth="1"/>
    <col min="10513" max="10513" width="14.85546875" style="668" customWidth="1"/>
    <col min="10514" max="10514" width="15.28515625" style="668" customWidth="1"/>
    <col min="10515" max="10515" width="13.7109375" style="668" bestFit="1" customWidth="1"/>
    <col min="10516" max="10752" width="9.140625" style="668"/>
    <col min="10753" max="10753" width="27.85546875" style="668" customWidth="1"/>
    <col min="10754" max="10754" width="45.5703125" style="668" customWidth="1"/>
    <col min="10755" max="10755" width="78.85546875" style="668" customWidth="1"/>
    <col min="10756" max="10767" width="0" style="668" hidden="1" customWidth="1"/>
    <col min="10768" max="10768" width="16.28515625" style="668" customWidth="1"/>
    <col min="10769" max="10769" width="14.85546875" style="668" customWidth="1"/>
    <col min="10770" max="10770" width="15.28515625" style="668" customWidth="1"/>
    <col min="10771" max="10771" width="13.7109375" style="668" bestFit="1" customWidth="1"/>
    <col min="10772" max="11008" width="9.140625" style="668"/>
    <col min="11009" max="11009" width="27.85546875" style="668" customWidth="1"/>
    <col min="11010" max="11010" width="45.5703125" style="668" customWidth="1"/>
    <col min="11011" max="11011" width="78.85546875" style="668" customWidth="1"/>
    <col min="11012" max="11023" width="0" style="668" hidden="1" customWidth="1"/>
    <col min="11024" max="11024" width="16.28515625" style="668" customWidth="1"/>
    <col min="11025" max="11025" width="14.85546875" style="668" customWidth="1"/>
    <col min="11026" max="11026" width="15.28515625" style="668" customWidth="1"/>
    <col min="11027" max="11027" width="13.7109375" style="668" bestFit="1" customWidth="1"/>
    <col min="11028" max="11264" width="9.140625" style="668"/>
    <col min="11265" max="11265" width="27.85546875" style="668" customWidth="1"/>
    <col min="11266" max="11266" width="45.5703125" style="668" customWidth="1"/>
    <col min="11267" max="11267" width="78.85546875" style="668" customWidth="1"/>
    <col min="11268" max="11279" width="0" style="668" hidden="1" customWidth="1"/>
    <col min="11280" max="11280" width="16.28515625" style="668" customWidth="1"/>
    <col min="11281" max="11281" width="14.85546875" style="668" customWidth="1"/>
    <col min="11282" max="11282" width="15.28515625" style="668" customWidth="1"/>
    <col min="11283" max="11283" width="13.7109375" style="668" bestFit="1" customWidth="1"/>
    <col min="11284" max="11520" width="9.140625" style="668"/>
    <col min="11521" max="11521" width="27.85546875" style="668" customWidth="1"/>
    <col min="11522" max="11522" width="45.5703125" style="668" customWidth="1"/>
    <col min="11523" max="11523" width="78.85546875" style="668" customWidth="1"/>
    <col min="11524" max="11535" width="0" style="668" hidden="1" customWidth="1"/>
    <col min="11536" max="11536" width="16.28515625" style="668" customWidth="1"/>
    <col min="11537" max="11537" width="14.85546875" style="668" customWidth="1"/>
    <col min="11538" max="11538" width="15.28515625" style="668" customWidth="1"/>
    <col min="11539" max="11539" width="13.7109375" style="668" bestFit="1" customWidth="1"/>
    <col min="11540" max="11776" width="9.140625" style="668"/>
    <col min="11777" max="11777" width="27.85546875" style="668" customWidth="1"/>
    <col min="11778" max="11778" width="45.5703125" style="668" customWidth="1"/>
    <col min="11779" max="11779" width="78.85546875" style="668" customWidth="1"/>
    <col min="11780" max="11791" width="0" style="668" hidden="1" customWidth="1"/>
    <col min="11792" max="11792" width="16.28515625" style="668" customWidth="1"/>
    <col min="11793" max="11793" width="14.85546875" style="668" customWidth="1"/>
    <col min="11794" max="11794" width="15.28515625" style="668" customWidth="1"/>
    <col min="11795" max="11795" width="13.7109375" style="668" bestFit="1" customWidth="1"/>
    <col min="11796" max="12032" width="9.140625" style="668"/>
    <col min="12033" max="12033" width="27.85546875" style="668" customWidth="1"/>
    <col min="12034" max="12034" width="45.5703125" style="668" customWidth="1"/>
    <col min="12035" max="12035" width="78.85546875" style="668" customWidth="1"/>
    <col min="12036" max="12047" width="0" style="668" hidden="1" customWidth="1"/>
    <col min="12048" max="12048" width="16.28515625" style="668" customWidth="1"/>
    <col min="12049" max="12049" width="14.85546875" style="668" customWidth="1"/>
    <col min="12050" max="12050" width="15.28515625" style="668" customWidth="1"/>
    <col min="12051" max="12051" width="13.7109375" style="668" bestFit="1" customWidth="1"/>
    <col min="12052" max="12288" width="9.140625" style="668"/>
    <col min="12289" max="12289" width="27.85546875" style="668" customWidth="1"/>
    <col min="12290" max="12290" width="45.5703125" style="668" customWidth="1"/>
    <col min="12291" max="12291" width="78.85546875" style="668" customWidth="1"/>
    <col min="12292" max="12303" width="0" style="668" hidden="1" customWidth="1"/>
    <col min="12304" max="12304" width="16.28515625" style="668" customWidth="1"/>
    <col min="12305" max="12305" width="14.85546875" style="668" customWidth="1"/>
    <col min="12306" max="12306" width="15.28515625" style="668" customWidth="1"/>
    <col min="12307" max="12307" width="13.7109375" style="668" bestFit="1" customWidth="1"/>
    <col min="12308" max="12544" width="9.140625" style="668"/>
    <col min="12545" max="12545" width="27.85546875" style="668" customWidth="1"/>
    <col min="12546" max="12546" width="45.5703125" style="668" customWidth="1"/>
    <col min="12547" max="12547" width="78.85546875" style="668" customWidth="1"/>
    <col min="12548" max="12559" width="0" style="668" hidden="1" customWidth="1"/>
    <col min="12560" max="12560" width="16.28515625" style="668" customWidth="1"/>
    <col min="12561" max="12561" width="14.85546875" style="668" customWidth="1"/>
    <col min="12562" max="12562" width="15.28515625" style="668" customWidth="1"/>
    <col min="12563" max="12563" width="13.7109375" style="668" bestFit="1" customWidth="1"/>
    <col min="12564" max="12800" width="9.140625" style="668"/>
    <col min="12801" max="12801" width="27.85546875" style="668" customWidth="1"/>
    <col min="12802" max="12802" width="45.5703125" style="668" customWidth="1"/>
    <col min="12803" max="12803" width="78.85546875" style="668" customWidth="1"/>
    <col min="12804" max="12815" width="0" style="668" hidden="1" customWidth="1"/>
    <col min="12816" max="12816" width="16.28515625" style="668" customWidth="1"/>
    <col min="12817" max="12817" width="14.85546875" style="668" customWidth="1"/>
    <col min="12818" max="12818" width="15.28515625" style="668" customWidth="1"/>
    <col min="12819" max="12819" width="13.7109375" style="668" bestFit="1" customWidth="1"/>
    <col min="12820" max="13056" width="9.140625" style="668"/>
    <col min="13057" max="13057" width="27.85546875" style="668" customWidth="1"/>
    <col min="13058" max="13058" width="45.5703125" style="668" customWidth="1"/>
    <col min="13059" max="13059" width="78.85546875" style="668" customWidth="1"/>
    <col min="13060" max="13071" width="0" style="668" hidden="1" customWidth="1"/>
    <col min="13072" max="13072" width="16.28515625" style="668" customWidth="1"/>
    <col min="13073" max="13073" width="14.85546875" style="668" customWidth="1"/>
    <col min="13074" max="13074" width="15.28515625" style="668" customWidth="1"/>
    <col min="13075" max="13075" width="13.7109375" style="668" bestFit="1" customWidth="1"/>
    <col min="13076" max="13312" width="9.140625" style="668"/>
    <col min="13313" max="13313" width="27.85546875" style="668" customWidth="1"/>
    <col min="13314" max="13314" width="45.5703125" style="668" customWidth="1"/>
    <col min="13315" max="13315" width="78.85546875" style="668" customWidth="1"/>
    <col min="13316" max="13327" width="0" style="668" hidden="1" customWidth="1"/>
    <col min="13328" max="13328" width="16.28515625" style="668" customWidth="1"/>
    <col min="13329" max="13329" width="14.85546875" style="668" customWidth="1"/>
    <col min="13330" max="13330" width="15.28515625" style="668" customWidth="1"/>
    <col min="13331" max="13331" width="13.7109375" style="668" bestFit="1" customWidth="1"/>
    <col min="13332" max="13568" width="9.140625" style="668"/>
    <col min="13569" max="13569" width="27.85546875" style="668" customWidth="1"/>
    <col min="13570" max="13570" width="45.5703125" style="668" customWidth="1"/>
    <col min="13571" max="13571" width="78.85546875" style="668" customWidth="1"/>
    <col min="13572" max="13583" width="0" style="668" hidden="1" customWidth="1"/>
    <col min="13584" max="13584" width="16.28515625" style="668" customWidth="1"/>
    <col min="13585" max="13585" width="14.85546875" style="668" customWidth="1"/>
    <col min="13586" max="13586" width="15.28515625" style="668" customWidth="1"/>
    <col min="13587" max="13587" width="13.7109375" style="668" bestFit="1" customWidth="1"/>
    <col min="13588" max="13824" width="9.140625" style="668"/>
    <col min="13825" max="13825" width="27.85546875" style="668" customWidth="1"/>
    <col min="13826" max="13826" width="45.5703125" style="668" customWidth="1"/>
    <col min="13827" max="13827" width="78.85546875" style="668" customWidth="1"/>
    <col min="13828" max="13839" width="0" style="668" hidden="1" customWidth="1"/>
    <col min="13840" max="13840" width="16.28515625" style="668" customWidth="1"/>
    <col min="13841" max="13841" width="14.85546875" style="668" customWidth="1"/>
    <col min="13842" max="13842" width="15.28515625" style="668" customWidth="1"/>
    <col min="13843" max="13843" width="13.7109375" style="668" bestFit="1" customWidth="1"/>
    <col min="13844" max="14080" width="9.140625" style="668"/>
    <col min="14081" max="14081" width="27.85546875" style="668" customWidth="1"/>
    <col min="14082" max="14082" width="45.5703125" style="668" customWidth="1"/>
    <col min="14083" max="14083" width="78.85546875" style="668" customWidth="1"/>
    <col min="14084" max="14095" width="0" style="668" hidden="1" customWidth="1"/>
    <col min="14096" max="14096" width="16.28515625" style="668" customWidth="1"/>
    <col min="14097" max="14097" width="14.85546875" style="668" customWidth="1"/>
    <col min="14098" max="14098" width="15.28515625" style="668" customWidth="1"/>
    <col min="14099" max="14099" width="13.7109375" style="668" bestFit="1" customWidth="1"/>
    <col min="14100" max="14336" width="9.140625" style="668"/>
    <col min="14337" max="14337" width="27.85546875" style="668" customWidth="1"/>
    <col min="14338" max="14338" width="45.5703125" style="668" customWidth="1"/>
    <col min="14339" max="14339" width="78.85546875" style="668" customWidth="1"/>
    <col min="14340" max="14351" width="0" style="668" hidden="1" customWidth="1"/>
    <col min="14352" max="14352" width="16.28515625" style="668" customWidth="1"/>
    <col min="14353" max="14353" width="14.85546875" style="668" customWidth="1"/>
    <col min="14354" max="14354" width="15.28515625" style="668" customWidth="1"/>
    <col min="14355" max="14355" width="13.7109375" style="668" bestFit="1" customWidth="1"/>
    <col min="14356" max="14592" width="9.140625" style="668"/>
    <col min="14593" max="14593" width="27.85546875" style="668" customWidth="1"/>
    <col min="14594" max="14594" width="45.5703125" style="668" customWidth="1"/>
    <col min="14595" max="14595" width="78.85546875" style="668" customWidth="1"/>
    <col min="14596" max="14607" width="0" style="668" hidden="1" customWidth="1"/>
    <col min="14608" max="14608" width="16.28515625" style="668" customWidth="1"/>
    <col min="14609" max="14609" width="14.85546875" style="668" customWidth="1"/>
    <col min="14610" max="14610" width="15.28515625" style="668" customWidth="1"/>
    <col min="14611" max="14611" width="13.7109375" style="668" bestFit="1" customWidth="1"/>
    <col min="14612" max="14848" width="9.140625" style="668"/>
    <col min="14849" max="14849" width="27.85546875" style="668" customWidth="1"/>
    <col min="14850" max="14850" width="45.5703125" style="668" customWidth="1"/>
    <col min="14851" max="14851" width="78.85546875" style="668" customWidth="1"/>
    <col min="14852" max="14863" width="0" style="668" hidden="1" customWidth="1"/>
    <col min="14864" max="14864" width="16.28515625" style="668" customWidth="1"/>
    <col min="14865" max="14865" width="14.85546875" style="668" customWidth="1"/>
    <col min="14866" max="14866" width="15.28515625" style="668" customWidth="1"/>
    <col min="14867" max="14867" width="13.7109375" style="668" bestFit="1" customWidth="1"/>
    <col min="14868" max="15104" width="9.140625" style="668"/>
    <col min="15105" max="15105" width="27.85546875" style="668" customWidth="1"/>
    <col min="15106" max="15106" width="45.5703125" style="668" customWidth="1"/>
    <col min="15107" max="15107" width="78.85546875" style="668" customWidth="1"/>
    <col min="15108" max="15119" width="0" style="668" hidden="1" customWidth="1"/>
    <col min="15120" max="15120" width="16.28515625" style="668" customWidth="1"/>
    <col min="15121" max="15121" width="14.85546875" style="668" customWidth="1"/>
    <col min="15122" max="15122" width="15.28515625" style="668" customWidth="1"/>
    <col min="15123" max="15123" width="13.7109375" style="668" bestFit="1" customWidth="1"/>
    <col min="15124" max="15360" width="9.140625" style="668"/>
    <col min="15361" max="15361" width="27.85546875" style="668" customWidth="1"/>
    <col min="15362" max="15362" width="45.5703125" style="668" customWidth="1"/>
    <col min="15363" max="15363" width="78.85546875" style="668" customWidth="1"/>
    <col min="15364" max="15375" width="0" style="668" hidden="1" customWidth="1"/>
    <col min="15376" max="15376" width="16.28515625" style="668" customWidth="1"/>
    <col min="15377" max="15377" width="14.85546875" style="668" customWidth="1"/>
    <col min="15378" max="15378" width="15.28515625" style="668" customWidth="1"/>
    <col min="15379" max="15379" width="13.7109375" style="668" bestFit="1" customWidth="1"/>
    <col min="15380" max="15616" width="9.140625" style="668"/>
    <col min="15617" max="15617" width="27.85546875" style="668" customWidth="1"/>
    <col min="15618" max="15618" width="45.5703125" style="668" customWidth="1"/>
    <col min="15619" max="15619" width="78.85546875" style="668" customWidth="1"/>
    <col min="15620" max="15631" width="0" style="668" hidden="1" customWidth="1"/>
    <col min="15632" max="15632" width="16.28515625" style="668" customWidth="1"/>
    <col min="15633" max="15633" width="14.85546875" style="668" customWidth="1"/>
    <col min="15634" max="15634" width="15.28515625" style="668" customWidth="1"/>
    <col min="15635" max="15635" width="13.7109375" style="668" bestFit="1" customWidth="1"/>
    <col min="15636" max="15872" width="9.140625" style="668"/>
    <col min="15873" max="15873" width="27.85546875" style="668" customWidth="1"/>
    <col min="15874" max="15874" width="45.5703125" style="668" customWidth="1"/>
    <col min="15875" max="15875" width="78.85546875" style="668" customWidth="1"/>
    <col min="15876" max="15887" width="0" style="668" hidden="1" customWidth="1"/>
    <col min="15888" max="15888" width="16.28515625" style="668" customWidth="1"/>
    <col min="15889" max="15889" width="14.85546875" style="668" customWidth="1"/>
    <col min="15890" max="15890" width="15.28515625" style="668" customWidth="1"/>
    <col min="15891" max="15891" width="13.7109375" style="668" bestFit="1" customWidth="1"/>
    <col min="15892" max="16128" width="9.140625" style="668"/>
    <col min="16129" max="16129" width="27.85546875" style="668" customWidth="1"/>
    <col min="16130" max="16130" width="45.5703125" style="668" customWidth="1"/>
    <col min="16131" max="16131" width="78.85546875" style="668" customWidth="1"/>
    <col min="16132" max="16143" width="0" style="668" hidden="1" customWidth="1"/>
    <col min="16144" max="16144" width="16.28515625" style="668" customWidth="1"/>
    <col min="16145" max="16145" width="14.85546875" style="668" customWidth="1"/>
    <col min="16146" max="16146" width="15.28515625" style="668" customWidth="1"/>
    <col min="16147" max="16147" width="13.7109375" style="668" bestFit="1" customWidth="1"/>
    <col min="16148" max="16384" width="9.140625" style="668"/>
  </cols>
  <sheetData>
    <row r="1" spans="1:19" ht="21" customHeight="1">
      <c r="A1" s="666"/>
      <c r="B1" s="666"/>
      <c r="C1" s="667"/>
      <c r="D1" s="929" t="s">
        <v>1250</v>
      </c>
      <c r="E1" s="929"/>
      <c r="F1" s="929"/>
      <c r="G1" s="929"/>
      <c r="H1" s="929"/>
      <c r="I1" s="929"/>
      <c r="J1" s="929"/>
      <c r="K1" s="929"/>
      <c r="L1" s="929"/>
      <c r="M1" s="929"/>
      <c r="N1" s="929"/>
      <c r="O1" s="929"/>
      <c r="P1" s="929"/>
      <c r="Q1" s="929"/>
      <c r="R1" s="929"/>
    </row>
    <row r="2" spans="1:19" ht="39.75" customHeight="1">
      <c r="A2" s="666"/>
      <c r="B2" s="666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930" t="s">
        <v>1251</v>
      </c>
      <c r="Q2" s="930"/>
      <c r="R2" s="930"/>
      <c r="S2" s="930"/>
    </row>
    <row r="3" spans="1:19" ht="42" customHeight="1">
      <c r="A3" s="931" t="s">
        <v>1244</v>
      </c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931"/>
      <c r="R3" s="931"/>
    </row>
    <row r="4" spans="1:19" ht="18" customHeight="1">
      <c r="A4" s="666"/>
      <c r="B4" s="666"/>
      <c r="C4" s="666"/>
      <c r="D4" s="670"/>
      <c r="E4" s="670"/>
      <c r="F4" s="670"/>
      <c r="G4" s="670"/>
      <c r="H4" s="670"/>
      <c r="I4" s="666"/>
      <c r="J4" s="666"/>
      <c r="K4" s="666"/>
      <c r="L4" s="666"/>
      <c r="M4" s="666"/>
      <c r="N4" s="666"/>
      <c r="O4" s="666"/>
      <c r="P4" s="666"/>
      <c r="Q4" s="932" t="s">
        <v>1141</v>
      </c>
      <c r="R4" s="932"/>
    </row>
    <row r="5" spans="1:19" ht="15" customHeight="1">
      <c r="A5" s="933" t="s">
        <v>1142</v>
      </c>
      <c r="B5" s="933" t="s">
        <v>1143</v>
      </c>
      <c r="C5" s="933" t="s">
        <v>1144</v>
      </c>
      <c r="D5" s="938" t="s">
        <v>1074</v>
      </c>
      <c r="E5" s="939"/>
      <c r="F5" s="940"/>
      <c r="G5" s="941" t="s">
        <v>1145</v>
      </c>
      <c r="H5" s="942"/>
      <c r="I5" s="943"/>
      <c r="J5" s="944" t="s">
        <v>1146</v>
      </c>
      <c r="K5" s="945"/>
      <c r="L5" s="946"/>
      <c r="M5" s="944" t="s">
        <v>1147</v>
      </c>
      <c r="N5" s="945"/>
      <c r="O5" s="946"/>
      <c r="P5" s="947" t="s">
        <v>1148</v>
      </c>
      <c r="Q5" s="948"/>
      <c r="R5" s="948"/>
      <c r="S5" s="949"/>
    </row>
    <row r="6" spans="1:19" ht="13.5" customHeight="1">
      <c r="A6" s="934"/>
      <c r="B6" s="936"/>
      <c r="C6" s="934"/>
      <c r="D6" s="950" t="s">
        <v>1149</v>
      </c>
      <c r="E6" s="950" t="s">
        <v>1150</v>
      </c>
      <c r="F6" s="950" t="s">
        <v>1151</v>
      </c>
      <c r="G6" s="952" t="s">
        <v>1044</v>
      </c>
      <c r="H6" s="941" t="s">
        <v>1152</v>
      </c>
      <c r="I6" s="943"/>
      <c r="J6" s="959" t="s">
        <v>1044</v>
      </c>
      <c r="K6" s="944" t="s">
        <v>1152</v>
      </c>
      <c r="L6" s="946"/>
      <c r="M6" s="959" t="s">
        <v>1044</v>
      </c>
      <c r="N6" s="944" t="s">
        <v>1152</v>
      </c>
      <c r="O6" s="946"/>
      <c r="P6" s="671" t="s">
        <v>1044</v>
      </c>
      <c r="Q6" s="672" t="s">
        <v>1152</v>
      </c>
      <c r="R6" s="672"/>
      <c r="S6" s="673"/>
    </row>
    <row r="7" spans="1:19" ht="45" customHeight="1">
      <c r="A7" s="935"/>
      <c r="B7" s="937"/>
      <c r="C7" s="935"/>
      <c r="D7" s="951"/>
      <c r="E7" s="951"/>
      <c r="F7" s="951"/>
      <c r="G7" s="953"/>
      <c r="H7" s="674" t="s">
        <v>1153</v>
      </c>
      <c r="I7" s="675" t="s">
        <v>1154</v>
      </c>
      <c r="J7" s="961"/>
      <c r="K7" s="676" t="s">
        <v>1155</v>
      </c>
      <c r="L7" s="676" t="s">
        <v>1156</v>
      </c>
      <c r="M7" s="961"/>
      <c r="N7" s="676" t="s">
        <v>1155</v>
      </c>
      <c r="O7" s="676" t="s">
        <v>1156</v>
      </c>
      <c r="P7" s="671"/>
      <c r="Q7" s="671" t="s">
        <v>1155</v>
      </c>
      <c r="R7" s="671" t="s">
        <v>1156</v>
      </c>
      <c r="S7" s="671" t="s">
        <v>1157</v>
      </c>
    </row>
    <row r="8" spans="1:19" ht="78.75" customHeight="1">
      <c r="A8" s="959" t="s">
        <v>1158</v>
      </c>
      <c r="B8" s="677" t="s">
        <v>1159</v>
      </c>
      <c r="C8" s="678" t="s">
        <v>1160</v>
      </c>
      <c r="D8" s="679"/>
      <c r="E8" s="679"/>
      <c r="F8" s="679"/>
      <c r="G8" s="680"/>
      <c r="H8" s="679"/>
      <c r="I8" s="680"/>
      <c r="J8" s="681"/>
      <c r="K8" s="681"/>
      <c r="L8" s="681"/>
      <c r="M8" s="681"/>
      <c r="N8" s="681"/>
      <c r="O8" s="681"/>
      <c r="P8" s="682">
        <f>SUM(Q8:S8)</f>
        <v>11370.300000000001</v>
      </c>
      <c r="Q8" s="682">
        <v>3152.9</v>
      </c>
      <c r="R8" s="682">
        <f>9499.7-1282.3</f>
        <v>8217.4000000000015</v>
      </c>
      <c r="S8" s="673"/>
    </row>
    <row r="9" spans="1:19" s="686" customFormat="1" ht="103.5" customHeight="1">
      <c r="A9" s="960"/>
      <c r="B9" s="683" t="s">
        <v>1161</v>
      </c>
      <c r="C9" s="683" t="s">
        <v>1162</v>
      </c>
      <c r="D9" s="679"/>
      <c r="E9" s="679"/>
      <c r="F9" s="679"/>
      <c r="G9" s="684">
        <v>5320</v>
      </c>
      <c r="H9" s="685"/>
      <c r="I9" s="685">
        <v>5320</v>
      </c>
      <c r="J9" s="681">
        <f>K9+L9</f>
        <v>76879.199999999997</v>
      </c>
      <c r="K9" s="681"/>
      <c r="L9" s="681">
        <v>76879.199999999997</v>
      </c>
      <c r="M9" s="681" t="e">
        <f t="shared" ref="M9:M23" si="0">N9+O9</f>
        <v>#REF!</v>
      </c>
      <c r="N9" s="681" t="e">
        <f>SUM(#REF!)</f>
        <v>#REF!</v>
      </c>
      <c r="O9" s="681">
        <v>0</v>
      </c>
      <c r="P9" s="682">
        <f t="shared" ref="P9:P23" si="1">SUM(Q9:S9)</f>
        <v>3419</v>
      </c>
      <c r="Q9" s="682"/>
      <c r="R9" s="682">
        <v>3419</v>
      </c>
      <c r="S9" s="673"/>
    </row>
    <row r="10" spans="1:19" s="686" customFormat="1" ht="103.5" customHeight="1">
      <c r="A10" s="961"/>
      <c r="B10" s="683" t="s">
        <v>1163</v>
      </c>
      <c r="C10" s="683" t="s">
        <v>1164</v>
      </c>
      <c r="D10" s="679"/>
      <c r="E10" s="679"/>
      <c r="F10" s="679"/>
      <c r="G10" s="684"/>
      <c r="H10" s="685"/>
      <c r="I10" s="685"/>
      <c r="J10" s="681"/>
      <c r="K10" s="681"/>
      <c r="L10" s="681"/>
      <c r="M10" s="681"/>
      <c r="N10" s="681"/>
      <c r="O10" s="681"/>
      <c r="P10" s="682">
        <f t="shared" si="1"/>
        <v>1403.9</v>
      </c>
      <c r="Q10" s="682"/>
      <c r="R10" s="682">
        <v>1403.9</v>
      </c>
      <c r="S10" s="673"/>
    </row>
    <row r="11" spans="1:19" s="693" customFormat="1" ht="27" customHeight="1">
      <c r="A11" s="954" t="s">
        <v>1165</v>
      </c>
      <c r="B11" s="955"/>
      <c r="C11" s="687"/>
      <c r="D11" s="688"/>
      <c r="E11" s="688"/>
      <c r="F11" s="688"/>
      <c r="G11" s="689" t="e">
        <f>SUM(#REF!)</f>
        <v>#REF!</v>
      </c>
      <c r="H11" s="688"/>
      <c r="I11" s="689" t="e">
        <f>SUM(#REF!)</f>
        <v>#REF!</v>
      </c>
      <c r="J11" s="690" t="e">
        <f>SUM(#REF!)</f>
        <v>#REF!</v>
      </c>
      <c r="K11" s="690"/>
      <c r="L11" s="690" t="e">
        <f>SUM(#REF!)</f>
        <v>#REF!</v>
      </c>
      <c r="M11" s="690" t="e">
        <f t="shared" si="0"/>
        <v>#REF!</v>
      </c>
      <c r="N11" s="690" t="e">
        <f>SUM(#REF!)</f>
        <v>#REF!</v>
      </c>
      <c r="O11" s="690" t="e">
        <f>SUM(#REF!)</f>
        <v>#REF!</v>
      </c>
      <c r="P11" s="691">
        <f>SUM(Q11:S11)</f>
        <v>13040.300000000001</v>
      </c>
      <c r="Q11" s="691"/>
      <c r="R11" s="691">
        <f>SUM(R8:R10)</f>
        <v>13040.300000000001</v>
      </c>
      <c r="S11" s="692"/>
    </row>
    <row r="12" spans="1:19" ht="47.25" hidden="1" customHeight="1">
      <c r="A12" s="694"/>
      <c r="B12" s="694" t="s">
        <v>1166</v>
      </c>
      <c r="C12" s="695" t="s">
        <v>1167</v>
      </c>
      <c r="D12" s="679" t="s">
        <v>608</v>
      </c>
      <c r="E12" s="679" t="s">
        <v>358</v>
      </c>
      <c r="F12" s="696" t="s">
        <v>245</v>
      </c>
      <c r="G12" s="680">
        <v>5370.3</v>
      </c>
      <c r="H12" s="696"/>
      <c r="I12" s="680">
        <v>5370.3</v>
      </c>
      <c r="J12" s="681"/>
      <c r="K12" s="681"/>
      <c r="L12" s="681"/>
      <c r="M12" s="681">
        <f t="shared" si="0"/>
        <v>0</v>
      </c>
      <c r="N12" s="681"/>
      <c r="O12" s="681"/>
      <c r="P12" s="682">
        <f t="shared" si="1"/>
        <v>0</v>
      </c>
      <c r="Q12" s="682"/>
      <c r="R12" s="682">
        <f>O12+L12</f>
        <v>0</v>
      </c>
      <c r="S12" s="673"/>
    </row>
    <row r="13" spans="1:19" s="698" customFormat="1" ht="43.5" customHeight="1">
      <c r="A13" s="959" t="s">
        <v>1168</v>
      </c>
      <c r="B13" s="697" t="s">
        <v>399</v>
      </c>
      <c r="C13" s="683" t="s">
        <v>1169</v>
      </c>
      <c r="D13" s="679" t="s">
        <v>615</v>
      </c>
      <c r="E13" s="679" t="s">
        <v>386</v>
      </c>
      <c r="F13" s="696" t="s">
        <v>298</v>
      </c>
      <c r="G13" s="680">
        <v>299.10000000000002</v>
      </c>
      <c r="H13" s="680">
        <v>299.10000000000002</v>
      </c>
      <c r="I13" s="680"/>
      <c r="J13" s="681">
        <v>299.10000000000002</v>
      </c>
      <c r="K13" s="681">
        <v>299.10000000000002</v>
      </c>
      <c r="L13" s="681"/>
      <c r="M13" s="681">
        <f t="shared" si="0"/>
        <v>0</v>
      </c>
      <c r="N13" s="681"/>
      <c r="O13" s="681"/>
      <c r="P13" s="682">
        <f t="shared" si="1"/>
        <v>327</v>
      </c>
      <c r="Q13" s="682"/>
      <c r="R13" s="682">
        <v>327</v>
      </c>
      <c r="S13" s="673"/>
    </row>
    <row r="14" spans="1:19" s="686" customFormat="1" ht="51" customHeight="1">
      <c r="A14" s="962"/>
      <c r="B14" s="697" t="s">
        <v>392</v>
      </c>
      <c r="C14" s="683" t="s">
        <v>1170</v>
      </c>
      <c r="D14" s="679" t="s">
        <v>615</v>
      </c>
      <c r="E14" s="679" t="s">
        <v>371</v>
      </c>
      <c r="F14" s="696" t="s">
        <v>298</v>
      </c>
      <c r="G14" s="680">
        <v>3755.8</v>
      </c>
      <c r="H14" s="680">
        <v>3755.8</v>
      </c>
      <c r="I14" s="680"/>
      <c r="J14" s="681">
        <v>4011.1</v>
      </c>
      <c r="K14" s="681">
        <v>4011.1</v>
      </c>
      <c r="L14" s="681"/>
      <c r="M14" s="681">
        <f t="shared" si="0"/>
        <v>246.9</v>
      </c>
      <c r="N14" s="681">
        <v>246.9</v>
      </c>
      <c r="O14" s="681"/>
      <c r="P14" s="682">
        <f t="shared" si="1"/>
        <v>8129.1</v>
      </c>
      <c r="Q14" s="682"/>
      <c r="R14" s="682">
        <v>8129.1</v>
      </c>
      <c r="S14" s="673"/>
    </row>
    <row r="15" spans="1:19" s="686" customFormat="1" ht="56.25" customHeight="1">
      <c r="A15" s="962"/>
      <c r="B15" s="683" t="s">
        <v>401</v>
      </c>
      <c r="C15" s="683" t="s">
        <v>1171</v>
      </c>
      <c r="D15" s="679"/>
      <c r="E15" s="679"/>
      <c r="F15" s="679"/>
      <c r="G15" s="684">
        <v>1456</v>
      </c>
      <c r="H15" s="685"/>
      <c r="I15" s="685">
        <v>1456</v>
      </c>
      <c r="J15" s="681">
        <f t="shared" ref="J15:J23" si="2">K15+L15</f>
        <v>1525.9</v>
      </c>
      <c r="K15" s="681"/>
      <c r="L15" s="681">
        <v>1525.9</v>
      </c>
      <c r="M15" s="681">
        <f t="shared" si="0"/>
        <v>-97.9</v>
      </c>
      <c r="N15" s="681"/>
      <c r="O15" s="681">
        <v>-97.9</v>
      </c>
      <c r="P15" s="682">
        <f t="shared" si="1"/>
        <v>897</v>
      </c>
      <c r="Q15" s="682"/>
      <c r="R15" s="682">
        <v>897</v>
      </c>
      <c r="S15" s="673"/>
    </row>
    <row r="16" spans="1:19" s="686" customFormat="1" ht="45.75" customHeight="1">
      <c r="A16" s="962"/>
      <c r="B16" s="683" t="s">
        <v>405</v>
      </c>
      <c r="C16" s="683" t="s">
        <v>1172</v>
      </c>
      <c r="D16" s="679"/>
      <c r="E16" s="679"/>
      <c r="F16" s="679"/>
      <c r="G16" s="684">
        <v>37603</v>
      </c>
      <c r="H16" s="685"/>
      <c r="I16" s="685">
        <v>37603</v>
      </c>
      <c r="J16" s="681">
        <f t="shared" si="2"/>
        <v>39407.9</v>
      </c>
      <c r="K16" s="681"/>
      <c r="L16" s="681">
        <v>39407.9</v>
      </c>
      <c r="M16" s="681">
        <f t="shared" si="0"/>
        <v>131437.29999999999</v>
      </c>
      <c r="N16" s="681"/>
      <c r="O16" s="681">
        <v>131437.29999999999</v>
      </c>
      <c r="P16" s="682">
        <f t="shared" si="1"/>
        <v>2592</v>
      </c>
      <c r="Q16" s="682"/>
      <c r="R16" s="682">
        <v>2592</v>
      </c>
      <c r="S16" s="673"/>
    </row>
    <row r="17" spans="1:19" s="686" customFormat="1" ht="35.25" customHeight="1">
      <c r="A17" s="962"/>
      <c r="B17" s="683" t="s">
        <v>1173</v>
      </c>
      <c r="C17" s="683" t="s">
        <v>1174</v>
      </c>
      <c r="D17" s="679"/>
      <c r="E17" s="679"/>
      <c r="F17" s="679"/>
      <c r="G17" s="684">
        <v>4032</v>
      </c>
      <c r="H17" s="685"/>
      <c r="I17" s="685">
        <v>4032</v>
      </c>
      <c r="J17" s="681">
        <f t="shared" si="2"/>
        <v>4225.5</v>
      </c>
      <c r="K17" s="681"/>
      <c r="L17" s="681">
        <v>4225.5</v>
      </c>
      <c r="M17" s="681">
        <f t="shared" si="0"/>
        <v>1914.5</v>
      </c>
      <c r="N17" s="681">
        <f>SUM(N15:N16)</f>
        <v>0</v>
      </c>
      <c r="O17" s="681">
        <v>1914.5</v>
      </c>
      <c r="P17" s="682">
        <f t="shared" si="1"/>
        <v>1593.183</v>
      </c>
      <c r="Q17" s="682"/>
      <c r="R17" s="682">
        <v>1510</v>
      </c>
      <c r="S17" s="699">
        <v>83.183000000000007</v>
      </c>
    </row>
    <row r="18" spans="1:19" s="686" customFormat="1" ht="46.5" customHeight="1">
      <c r="A18" s="963"/>
      <c r="B18" s="683" t="s">
        <v>376</v>
      </c>
      <c r="C18" s="683" t="s">
        <v>1175</v>
      </c>
      <c r="D18" s="679"/>
      <c r="E18" s="679"/>
      <c r="F18" s="679"/>
      <c r="G18" s="684">
        <v>18498</v>
      </c>
      <c r="H18" s="685"/>
      <c r="I18" s="685">
        <v>18498</v>
      </c>
      <c r="J18" s="681">
        <f t="shared" si="2"/>
        <v>19385.900000000001</v>
      </c>
      <c r="K18" s="681"/>
      <c r="L18" s="681">
        <v>19385.900000000001</v>
      </c>
      <c r="M18" s="681">
        <f t="shared" si="0"/>
        <v>9727.1</v>
      </c>
      <c r="N18" s="681">
        <f>SUM(N17:N17)</f>
        <v>0</v>
      </c>
      <c r="O18" s="681">
        <v>9727.1</v>
      </c>
      <c r="P18" s="682">
        <f t="shared" si="1"/>
        <v>3840</v>
      </c>
      <c r="Q18" s="682"/>
      <c r="R18" s="682">
        <v>3840</v>
      </c>
      <c r="S18" s="673"/>
    </row>
    <row r="19" spans="1:19" s="686" customFormat="1" ht="62.25" customHeight="1">
      <c r="A19" s="959" t="s">
        <v>1168</v>
      </c>
      <c r="B19" s="683" t="s">
        <v>1176</v>
      </c>
      <c r="C19" s="683" t="s">
        <v>1177</v>
      </c>
      <c r="D19" s="679"/>
      <c r="E19" s="679"/>
      <c r="F19" s="679"/>
      <c r="G19" s="684">
        <v>23644</v>
      </c>
      <c r="H19" s="685"/>
      <c r="I19" s="685">
        <v>23644</v>
      </c>
      <c r="J19" s="681">
        <f t="shared" si="2"/>
        <v>24778.9</v>
      </c>
      <c r="K19" s="681"/>
      <c r="L19" s="681">
        <v>24778.9</v>
      </c>
      <c r="M19" s="681">
        <f t="shared" si="0"/>
        <v>-488.9</v>
      </c>
      <c r="N19" s="681">
        <f>SUM(N18:N18)</f>
        <v>0</v>
      </c>
      <c r="O19" s="681">
        <v>-488.9</v>
      </c>
      <c r="P19" s="682">
        <f>SUM(Q19:S19)</f>
        <v>230</v>
      </c>
      <c r="Q19" s="682">
        <v>134.9</v>
      </c>
      <c r="R19" s="682">
        <f>230-134.9</f>
        <v>95.1</v>
      </c>
      <c r="S19" s="700"/>
    </row>
    <row r="20" spans="1:19" s="686" customFormat="1" ht="62.25" customHeight="1">
      <c r="A20" s="962"/>
      <c r="B20" s="683" t="s">
        <v>1178</v>
      </c>
      <c r="C20" s="683" t="s">
        <v>1179</v>
      </c>
      <c r="D20" s="679"/>
      <c r="E20" s="679"/>
      <c r="F20" s="679"/>
      <c r="G20" s="684"/>
      <c r="H20" s="685"/>
      <c r="I20" s="685"/>
      <c r="J20" s="681"/>
      <c r="K20" s="681"/>
      <c r="L20" s="681"/>
      <c r="M20" s="681"/>
      <c r="N20" s="681"/>
      <c r="O20" s="681"/>
      <c r="P20" s="682">
        <f>SUM(Q20:S20)</f>
        <v>115</v>
      </c>
      <c r="Q20" s="682">
        <v>115</v>
      </c>
      <c r="R20" s="682"/>
      <c r="S20" s="700"/>
    </row>
    <row r="21" spans="1:19" s="686" customFormat="1" ht="28.5" customHeight="1">
      <c r="A21" s="962"/>
      <c r="B21" s="683" t="s">
        <v>374</v>
      </c>
      <c r="C21" s="683" t="s">
        <v>1180</v>
      </c>
      <c r="D21" s="679"/>
      <c r="E21" s="679"/>
      <c r="F21" s="679"/>
      <c r="G21" s="684">
        <v>50805</v>
      </c>
      <c r="H21" s="685">
        <v>16829.599999999999</v>
      </c>
      <c r="I21" s="685">
        <v>33975.4</v>
      </c>
      <c r="J21" s="681">
        <f>K21+L21</f>
        <v>53243.6</v>
      </c>
      <c r="K21" s="681">
        <v>16788.599999999999</v>
      </c>
      <c r="L21" s="681">
        <v>36455</v>
      </c>
      <c r="M21" s="681">
        <f>N21+O21</f>
        <v>22386.400000000001</v>
      </c>
      <c r="N21" s="681">
        <v>14325.4</v>
      </c>
      <c r="O21" s="681">
        <v>8061</v>
      </c>
      <c r="P21" s="682">
        <f>SUM(Q21:S21)</f>
        <v>7021</v>
      </c>
      <c r="Q21" s="682"/>
      <c r="R21" s="682">
        <v>7021</v>
      </c>
      <c r="S21" s="673"/>
    </row>
    <row r="22" spans="1:19" s="686" customFormat="1" ht="238.5" customHeight="1">
      <c r="A22" s="962"/>
      <c r="B22" s="683" t="s">
        <v>1181</v>
      </c>
      <c r="C22" s="683" t="s">
        <v>1182</v>
      </c>
      <c r="D22" s="679"/>
      <c r="E22" s="679"/>
      <c r="F22" s="679"/>
      <c r="G22" s="684"/>
      <c r="H22" s="685"/>
      <c r="I22" s="685"/>
      <c r="J22" s="681"/>
      <c r="K22" s="681"/>
      <c r="L22" s="681"/>
      <c r="M22" s="681"/>
      <c r="N22" s="681"/>
      <c r="O22" s="681"/>
      <c r="P22" s="682">
        <f>SUM(Q22:S22)</f>
        <v>13983.1</v>
      </c>
      <c r="Q22" s="682">
        <f>10564.1+3419</f>
        <v>13983.1</v>
      </c>
      <c r="R22" s="682"/>
      <c r="S22" s="700"/>
    </row>
    <row r="23" spans="1:19" s="686" customFormat="1" ht="236.25">
      <c r="A23" s="963"/>
      <c r="B23" s="683" t="s">
        <v>1183</v>
      </c>
      <c r="C23" s="683" t="s">
        <v>1184</v>
      </c>
      <c r="D23" s="679"/>
      <c r="E23" s="679"/>
      <c r="F23" s="679"/>
      <c r="G23" s="684">
        <v>50805</v>
      </c>
      <c r="H23" s="685">
        <v>16829.599999999999</v>
      </c>
      <c r="I23" s="685">
        <v>33975.4</v>
      </c>
      <c r="J23" s="681">
        <f t="shared" si="2"/>
        <v>53243.6</v>
      </c>
      <c r="K23" s="681">
        <v>16788.599999999999</v>
      </c>
      <c r="L23" s="681">
        <v>36455</v>
      </c>
      <c r="M23" s="681">
        <f t="shared" si="0"/>
        <v>22386.400000000001</v>
      </c>
      <c r="N23" s="681">
        <v>14325.4</v>
      </c>
      <c r="O23" s="681">
        <v>8061</v>
      </c>
      <c r="P23" s="682">
        <f t="shared" si="1"/>
        <v>2232</v>
      </c>
      <c r="Q23" s="682">
        <f>558+523.3+34.7+1116</f>
        <v>2232</v>
      </c>
      <c r="R23" s="682"/>
      <c r="S23" s="673">
        <f>34.7-34.7</f>
        <v>0</v>
      </c>
    </row>
    <row r="24" spans="1:19" ht="15.75" customHeight="1">
      <c r="A24" s="964" t="s">
        <v>1185</v>
      </c>
      <c r="B24" s="965"/>
      <c r="C24" s="701"/>
      <c r="D24" s="688"/>
      <c r="E24" s="688"/>
      <c r="F24" s="688"/>
      <c r="G24" s="702">
        <f t="shared" ref="G24:O24" si="3">SUM(G15:G23)</f>
        <v>186843</v>
      </c>
      <c r="H24" s="702">
        <f t="shared" si="3"/>
        <v>33659.199999999997</v>
      </c>
      <c r="I24" s="702">
        <f t="shared" si="3"/>
        <v>153183.79999999999</v>
      </c>
      <c r="J24" s="690">
        <f t="shared" si="3"/>
        <v>195811.30000000002</v>
      </c>
      <c r="K24" s="690">
        <f t="shared" si="3"/>
        <v>33577.199999999997</v>
      </c>
      <c r="L24" s="690">
        <f t="shared" si="3"/>
        <v>162234.1</v>
      </c>
      <c r="M24" s="690">
        <f t="shared" si="3"/>
        <v>187264.9</v>
      </c>
      <c r="N24" s="690">
        <f t="shared" si="3"/>
        <v>28650.799999999999</v>
      </c>
      <c r="O24" s="690">
        <f t="shared" si="3"/>
        <v>158614.1</v>
      </c>
      <c r="P24" s="703">
        <f>SUM(P13:P23)</f>
        <v>40959.383000000002</v>
      </c>
      <c r="Q24" s="691">
        <f>SUM(Q13:Q23)</f>
        <v>16465</v>
      </c>
      <c r="R24" s="691">
        <f>SUM(R13:R23)</f>
        <v>24411.199999999997</v>
      </c>
      <c r="S24" s="703">
        <f>SUM(S13:S23)</f>
        <v>83.183000000000007</v>
      </c>
    </row>
    <row r="25" spans="1:19" ht="47.25">
      <c r="A25" s="959" t="s">
        <v>1186</v>
      </c>
      <c r="B25" s="677" t="s">
        <v>1187</v>
      </c>
      <c r="C25" s="678" t="s">
        <v>1188</v>
      </c>
      <c r="D25" s="679"/>
      <c r="E25" s="679"/>
      <c r="F25" s="679"/>
      <c r="G25" s="680"/>
      <c r="H25" s="679"/>
      <c r="I25" s="680"/>
      <c r="J25" s="681"/>
      <c r="K25" s="681"/>
      <c r="L25" s="681"/>
      <c r="M25" s="681"/>
      <c r="N25" s="681"/>
      <c r="O25" s="681"/>
      <c r="P25" s="682">
        <f>SUM(Q25:S25)</f>
        <v>320</v>
      </c>
      <c r="Q25" s="682"/>
      <c r="R25" s="682"/>
      <c r="S25" s="704">
        <f>100+220</f>
        <v>320</v>
      </c>
    </row>
    <row r="26" spans="1:19" ht="141.75">
      <c r="A26" s="960"/>
      <c r="B26" s="683" t="s">
        <v>1189</v>
      </c>
      <c r="C26" s="683" t="s">
        <v>1190</v>
      </c>
      <c r="D26" s="679"/>
      <c r="E26" s="679"/>
      <c r="F26" s="679"/>
      <c r="G26" s="684">
        <v>5320</v>
      </c>
      <c r="H26" s="685"/>
      <c r="I26" s="685">
        <v>5320</v>
      </c>
      <c r="J26" s="681">
        <f>K26+L26</f>
        <v>76879.199999999997</v>
      </c>
      <c r="K26" s="681"/>
      <c r="L26" s="681">
        <v>76879.199999999997</v>
      </c>
      <c r="M26" s="681" t="e">
        <f>N26+O26</f>
        <v>#REF!</v>
      </c>
      <c r="N26" s="681" t="e">
        <f>SUM(#REF!)</f>
        <v>#REF!</v>
      </c>
      <c r="O26" s="681">
        <v>0</v>
      </c>
      <c r="P26" s="682">
        <f>SUM(Q26:S26)</f>
        <v>3601.9620000000004</v>
      </c>
      <c r="Q26" s="682">
        <v>2717.5880000000002</v>
      </c>
      <c r="R26" s="682">
        <v>884.37400000000002</v>
      </c>
      <c r="S26" s="673"/>
    </row>
    <row r="27" spans="1:19" ht="15.75">
      <c r="A27" s="954" t="s">
        <v>1191</v>
      </c>
      <c r="B27" s="955"/>
      <c r="C27" s="701"/>
      <c r="D27" s="688"/>
      <c r="E27" s="688"/>
      <c r="F27" s="688"/>
      <c r="G27" s="705" t="e">
        <f>#REF!+G24</f>
        <v>#REF!</v>
      </c>
      <c r="H27" s="705" t="e">
        <f>H24+#REF!</f>
        <v>#REF!</v>
      </c>
      <c r="I27" s="689" t="e">
        <f>I24+#REF!</f>
        <v>#REF!</v>
      </c>
      <c r="J27" s="690" t="e">
        <f>J24+#REF!</f>
        <v>#REF!</v>
      </c>
      <c r="K27" s="690" t="e">
        <f>K24+#REF!</f>
        <v>#REF!</v>
      </c>
      <c r="L27" s="690" t="e">
        <f>L24+#REF!</f>
        <v>#REF!</v>
      </c>
      <c r="M27" s="690" t="e">
        <f>M24+#REF!</f>
        <v>#REF!</v>
      </c>
      <c r="N27" s="690" t="e">
        <f>N24+#REF!</f>
        <v>#REF!</v>
      </c>
      <c r="O27" s="690" t="e">
        <f>O24+#REF!</f>
        <v>#REF!</v>
      </c>
      <c r="P27" s="691">
        <f>SUM(P25:P26)</f>
        <v>3921.9620000000004</v>
      </c>
      <c r="Q27" s="691">
        <f>SUM(Q25:Q26)</f>
        <v>2717.5880000000002</v>
      </c>
      <c r="R27" s="691">
        <f>SUM(R25:R26)</f>
        <v>884.37400000000002</v>
      </c>
      <c r="S27" s="691">
        <f>SUM(S25:S26)</f>
        <v>320</v>
      </c>
    </row>
    <row r="28" spans="1:19" s="709" customFormat="1" ht="15.75">
      <c r="A28" s="706"/>
      <c r="B28" s="707" t="s">
        <v>571</v>
      </c>
      <c r="C28" s="707"/>
      <c r="D28" s="675"/>
      <c r="E28" s="675"/>
      <c r="F28" s="675"/>
      <c r="G28" s="675"/>
      <c r="H28" s="675"/>
      <c r="I28" s="675"/>
      <c r="J28" s="708"/>
      <c r="K28" s="708"/>
      <c r="L28" s="708"/>
      <c r="M28" s="708"/>
      <c r="N28" s="708"/>
      <c r="O28" s="708"/>
      <c r="P28" s="708">
        <f>P11+P27+P24</f>
        <v>57921.645000000004</v>
      </c>
      <c r="Q28" s="708">
        <f>Q11+Q27+Q24</f>
        <v>19182.588</v>
      </c>
      <c r="R28" s="708">
        <f>R11+R27+R24</f>
        <v>38335.873999999996</v>
      </c>
      <c r="S28" s="708">
        <f>S11+S27+S24</f>
        <v>403.18299999999999</v>
      </c>
    </row>
    <row r="29" spans="1:19">
      <c r="A29" s="710"/>
      <c r="B29" s="710"/>
      <c r="C29" s="710"/>
      <c r="J29" s="711"/>
      <c r="K29" s="711"/>
      <c r="L29" s="711"/>
      <c r="M29" s="711"/>
      <c r="N29" s="711"/>
      <c r="O29" s="711"/>
      <c r="P29" s="711"/>
      <c r="Q29" s="711"/>
      <c r="R29" s="711"/>
    </row>
    <row r="30" spans="1:19">
      <c r="A30" s="710"/>
      <c r="B30" s="710"/>
      <c r="C30" s="710"/>
      <c r="J30" s="711"/>
      <c r="K30" s="711"/>
      <c r="L30" s="711"/>
      <c r="M30" s="711"/>
      <c r="N30" s="711"/>
      <c r="O30" s="711"/>
      <c r="P30" s="711"/>
      <c r="Q30" s="711"/>
      <c r="R30" s="711"/>
    </row>
    <row r="31" spans="1:19">
      <c r="A31" s="710"/>
      <c r="B31" s="710"/>
      <c r="C31" s="710"/>
      <c r="J31" s="711"/>
      <c r="K31" s="711"/>
      <c r="L31" s="711"/>
      <c r="M31" s="711"/>
      <c r="N31" s="711"/>
      <c r="O31" s="711"/>
      <c r="P31" s="711"/>
      <c r="Q31" s="711"/>
      <c r="R31" s="711"/>
    </row>
    <row r="32" spans="1:19">
      <c r="C32" s="710"/>
      <c r="J32" s="711"/>
      <c r="K32" s="711"/>
      <c r="L32" s="711"/>
      <c r="M32" s="711"/>
      <c r="N32" s="711"/>
      <c r="O32" s="711"/>
      <c r="P32" s="711"/>
      <c r="Q32" s="711"/>
      <c r="R32" s="711"/>
    </row>
    <row r="33" spans="2:18">
      <c r="C33" s="710"/>
      <c r="J33" s="711"/>
      <c r="K33" s="711"/>
      <c r="L33" s="711"/>
      <c r="M33" s="711"/>
      <c r="N33" s="711"/>
      <c r="O33" s="711"/>
      <c r="P33" s="711"/>
      <c r="Q33" s="711"/>
      <c r="R33" s="711"/>
    </row>
    <row r="34" spans="2:18">
      <c r="C34" s="710"/>
      <c r="J34" s="711"/>
      <c r="K34" s="711"/>
      <c r="L34" s="711"/>
      <c r="M34" s="711"/>
      <c r="N34" s="711"/>
      <c r="O34" s="711"/>
      <c r="P34" s="711"/>
      <c r="Q34" s="711"/>
      <c r="R34" s="711"/>
    </row>
    <row r="35" spans="2:18">
      <c r="J35" s="711"/>
      <c r="K35" s="711"/>
      <c r="L35" s="711"/>
      <c r="M35" s="711"/>
      <c r="N35" s="711"/>
      <c r="O35" s="711"/>
      <c r="P35" s="711"/>
      <c r="Q35" s="711"/>
      <c r="R35" s="711"/>
    </row>
    <row r="36" spans="2:18">
      <c r="J36" s="711"/>
      <c r="K36" s="711"/>
      <c r="L36" s="711"/>
      <c r="M36" s="711"/>
      <c r="N36" s="711"/>
      <c r="O36" s="711"/>
      <c r="P36" s="711"/>
      <c r="Q36" s="711"/>
      <c r="R36" s="711"/>
    </row>
    <row r="37" spans="2:18">
      <c r="J37" s="711"/>
      <c r="K37" s="711"/>
      <c r="L37" s="711"/>
      <c r="M37" s="711"/>
      <c r="N37" s="711"/>
      <c r="O37" s="711"/>
      <c r="P37" s="711"/>
      <c r="Q37" s="711"/>
      <c r="R37" s="711"/>
    </row>
    <row r="38" spans="2:18">
      <c r="J38" s="711"/>
      <c r="K38" s="711"/>
      <c r="L38" s="711"/>
      <c r="M38" s="711"/>
      <c r="N38" s="711"/>
      <c r="O38" s="711"/>
      <c r="P38" s="711"/>
      <c r="Q38" s="711"/>
      <c r="R38" s="711"/>
    </row>
    <row r="39" spans="2:18">
      <c r="J39" s="711"/>
      <c r="K39" s="711"/>
      <c r="L39" s="711"/>
      <c r="M39" s="711"/>
      <c r="N39" s="711"/>
      <c r="O39" s="711"/>
      <c r="P39" s="711"/>
      <c r="Q39" s="711"/>
      <c r="R39" s="711"/>
    </row>
    <row r="40" spans="2:18">
      <c r="J40" s="711"/>
      <c r="K40" s="711"/>
      <c r="L40" s="711"/>
      <c r="M40" s="711"/>
      <c r="N40" s="711"/>
      <c r="O40" s="711"/>
      <c r="P40" s="711"/>
      <c r="Q40" s="711"/>
      <c r="R40" s="711"/>
    </row>
    <row r="41" spans="2:18">
      <c r="J41" s="711"/>
      <c r="K41" s="711"/>
      <c r="L41" s="711"/>
      <c r="M41" s="711"/>
      <c r="N41" s="711"/>
      <c r="O41" s="711"/>
      <c r="P41" s="711"/>
      <c r="Q41" s="711"/>
      <c r="R41" s="711"/>
    </row>
    <row r="42" spans="2:18">
      <c r="J42" s="711"/>
      <c r="K42" s="711"/>
      <c r="L42" s="711"/>
      <c r="M42" s="711"/>
      <c r="N42" s="711"/>
      <c r="O42" s="711"/>
      <c r="P42" s="711"/>
      <c r="Q42" s="711"/>
      <c r="R42" s="711"/>
    </row>
    <row r="43" spans="2:18" ht="15">
      <c r="B43" s="956"/>
      <c r="C43" s="957"/>
      <c r="D43" s="957"/>
      <c r="E43" s="957"/>
      <c r="F43" s="958"/>
      <c r="G43" s="958"/>
      <c r="J43" s="711"/>
      <c r="K43" s="711"/>
      <c r="L43" s="711"/>
      <c r="M43" s="711"/>
      <c r="N43" s="711"/>
      <c r="O43" s="711"/>
      <c r="P43" s="711"/>
      <c r="Q43" s="711"/>
      <c r="R43" s="711"/>
    </row>
    <row r="44" spans="2:18">
      <c r="J44" s="711"/>
      <c r="K44" s="711"/>
      <c r="L44" s="711"/>
      <c r="M44" s="711"/>
      <c r="N44" s="711"/>
      <c r="O44" s="711"/>
      <c r="P44" s="711"/>
      <c r="Q44" s="711"/>
      <c r="R44" s="711"/>
    </row>
    <row r="45" spans="2:18">
      <c r="J45" s="711"/>
      <c r="K45" s="711"/>
      <c r="L45" s="711"/>
      <c r="M45" s="711"/>
      <c r="N45" s="711"/>
      <c r="O45" s="711"/>
      <c r="P45" s="711"/>
      <c r="Q45" s="711"/>
      <c r="R45" s="711"/>
    </row>
  </sheetData>
  <mergeCells count="29">
    <mergeCell ref="A27:B27"/>
    <mergeCell ref="B43:G43"/>
    <mergeCell ref="N6:O6"/>
    <mergeCell ref="A8:A10"/>
    <mergeCell ref="A11:B11"/>
    <mergeCell ref="A13:A18"/>
    <mergeCell ref="A19:A23"/>
    <mergeCell ref="A24:B24"/>
    <mergeCell ref="H6:I6"/>
    <mergeCell ref="J6:J7"/>
    <mergeCell ref="K6:L6"/>
    <mergeCell ref="M6:M7"/>
    <mergeCell ref="A25:A26"/>
    <mergeCell ref="D1:R1"/>
    <mergeCell ref="P2:S2"/>
    <mergeCell ref="A3:R3"/>
    <mergeCell ref="Q4:R4"/>
    <mergeCell ref="A5:A7"/>
    <mergeCell ref="B5:B7"/>
    <mergeCell ref="C5:C7"/>
    <mergeCell ref="D5:F5"/>
    <mergeCell ref="G5:I5"/>
    <mergeCell ref="J5:L5"/>
    <mergeCell ref="M5:O5"/>
    <mergeCell ref="P5:S5"/>
    <mergeCell ref="D6:D7"/>
    <mergeCell ref="E6:E7"/>
    <mergeCell ref="F6:F7"/>
    <mergeCell ref="G6:G7"/>
  </mergeCells>
  <pageMargins left="0.82677165354330717" right="0" top="0.59055118110236227" bottom="0.19685039370078741" header="0.31496062992125984" footer="0.31496062992125984"/>
  <pageSetup paperSize="9" scale="64" firstPageNumber="32" fitToHeight="2" orientation="landscape" useFirstPageNumber="1" horizontalDpi="300" verticalDpi="300" r:id="rId1"/>
  <rowBreaks count="1" manualBreakCount="1">
    <brk id="18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33"/>
  <sheetViews>
    <sheetView view="pageBreakPreview" topLeftCell="C22" zoomScale="75" zoomScaleNormal="75" zoomScaleSheetLayoutView="75" workbookViewId="0">
      <selection activeCell="E27" sqref="E27"/>
    </sheetView>
  </sheetViews>
  <sheetFormatPr defaultColWidth="8" defaultRowHeight="12.75"/>
  <cols>
    <col min="1" max="1" width="7.85546875" style="478" hidden="1" customWidth="1"/>
    <col min="2" max="2" width="0.28515625" style="478" hidden="1" customWidth="1"/>
    <col min="3" max="3" width="6" style="479" customWidth="1"/>
    <col min="4" max="4" width="42.140625" style="480" customWidth="1"/>
    <col min="5" max="5" width="17.28515625" style="481" bestFit="1" customWidth="1"/>
    <col min="6" max="6" width="13.42578125" style="482" customWidth="1"/>
    <col min="7" max="8" width="16.140625" style="482" bestFit="1" customWidth="1"/>
    <col min="9" max="9" width="14.42578125" style="482" customWidth="1"/>
    <col min="10" max="10" width="14.85546875" style="482" customWidth="1"/>
    <col min="11" max="11" width="12.28515625" style="482" customWidth="1"/>
    <col min="12" max="12" width="15.28515625" style="482" customWidth="1"/>
    <col min="13" max="13" width="15.7109375" style="482" customWidth="1"/>
    <col min="14" max="14" width="13.7109375" style="478" customWidth="1"/>
    <col min="15" max="15" width="15" style="421" customWidth="1"/>
    <col min="16" max="16" width="15.140625" style="421" customWidth="1"/>
    <col min="17" max="43" width="8" style="421" customWidth="1"/>
    <col min="44" max="256" width="8" style="478"/>
    <col min="257" max="258" width="0" style="478" hidden="1" customWidth="1"/>
    <col min="259" max="259" width="6" style="478" customWidth="1"/>
    <col min="260" max="260" width="42.140625" style="478" customWidth="1"/>
    <col min="261" max="261" width="14.140625" style="478" customWidth="1"/>
    <col min="262" max="262" width="12.7109375" style="478" customWidth="1"/>
    <col min="263" max="263" width="13.5703125" style="478" customWidth="1"/>
    <col min="264" max="264" width="14" style="478" customWidth="1"/>
    <col min="265" max="265" width="13.85546875" style="478" customWidth="1"/>
    <col min="266" max="266" width="12.5703125" style="478" customWidth="1"/>
    <col min="267" max="269" width="12.7109375" style="478" customWidth="1"/>
    <col min="270" max="270" width="16.85546875" style="478" customWidth="1"/>
    <col min="271" max="271" width="12.140625" style="478" customWidth="1"/>
    <col min="272" max="272" width="15.140625" style="478" customWidth="1"/>
    <col min="273" max="299" width="8" style="478" customWidth="1"/>
    <col min="300" max="512" width="8" style="478"/>
    <col min="513" max="514" width="0" style="478" hidden="1" customWidth="1"/>
    <col min="515" max="515" width="6" style="478" customWidth="1"/>
    <col min="516" max="516" width="42.140625" style="478" customWidth="1"/>
    <col min="517" max="517" width="14.140625" style="478" customWidth="1"/>
    <col min="518" max="518" width="12.7109375" style="478" customWidth="1"/>
    <col min="519" max="519" width="13.5703125" style="478" customWidth="1"/>
    <col min="520" max="520" width="14" style="478" customWidth="1"/>
    <col min="521" max="521" width="13.85546875" style="478" customWidth="1"/>
    <col min="522" max="522" width="12.5703125" style="478" customWidth="1"/>
    <col min="523" max="525" width="12.7109375" style="478" customWidth="1"/>
    <col min="526" max="526" width="16.85546875" style="478" customWidth="1"/>
    <col min="527" max="527" width="12.140625" style="478" customWidth="1"/>
    <col min="528" max="528" width="15.140625" style="478" customWidth="1"/>
    <col min="529" max="555" width="8" style="478" customWidth="1"/>
    <col min="556" max="768" width="8" style="478"/>
    <col min="769" max="770" width="0" style="478" hidden="1" customWidth="1"/>
    <col min="771" max="771" width="6" style="478" customWidth="1"/>
    <col min="772" max="772" width="42.140625" style="478" customWidth="1"/>
    <col min="773" max="773" width="14.140625" style="478" customWidth="1"/>
    <col min="774" max="774" width="12.7109375" style="478" customWidth="1"/>
    <col min="775" max="775" width="13.5703125" style="478" customWidth="1"/>
    <col min="776" max="776" width="14" style="478" customWidth="1"/>
    <col min="777" max="777" width="13.85546875" style="478" customWidth="1"/>
    <col min="778" max="778" width="12.5703125" style="478" customWidth="1"/>
    <col min="779" max="781" width="12.7109375" style="478" customWidth="1"/>
    <col min="782" max="782" width="16.85546875" style="478" customWidth="1"/>
    <col min="783" max="783" width="12.140625" style="478" customWidth="1"/>
    <col min="784" max="784" width="15.140625" style="478" customWidth="1"/>
    <col min="785" max="811" width="8" style="478" customWidth="1"/>
    <col min="812" max="1024" width="8" style="478"/>
    <col min="1025" max="1026" width="0" style="478" hidden="1" customWidth="1"/>
    <col min="1027" max="1027" width="6" style="478" customWidth="1"/>
    <col min="1028" max="1028" width="42.140625" style="478" customWidth="1"/>
    <col min="1029" max="1029" width="14.140625" style="478" customWidth="1"/>
    <col min="1030" max="1030" width="12.7109375" style="478" customWidth="1"/>
    <col min="1031" max="1031" width="13.5703125" style="478" customWidth="1"/>
    <col min="1032" max="1032" width="14" style="478" customWidth="1"/>
    <col min="1033" max="1033" width="13.85546875" style="478" customWidth="1"/>
    <col min="1034" max="1034" width="12.5703125" style="478" customWidth="1"/>
    <col min="1035" max="1037" width="12.7109375" style="478" customWidth="1"/>
    <col min="1038" max="1038" width="16.85546875" style="478" customWidth="1"/>
    <col min="1039" max="1039" width="12.140625" style="478" customWidth="1"/>
    <col min="1040" max="1040" width="15.140625" style="478" customWidth="1"/>
    <col min="1041" max="1067" width="8" style="478" customWidth="1"/>
    <col min="1068" max="1280" width="8" style="478"/>
    <col min="1281" max="1282" width="0" style="478" hidden="1" customWidth="1"/>
    <col min="1283" max="1283" width="6" style="478" customWidth="1"/>
    <col min="1284" max="1284" width="42.140625" style="478" customWidth="1"/>
    <col min="1285" max="1285" width="14.140625" style="478" customWidth="1"/>
    <col min="1286" max="1286" width="12.7109375" style="478" customWidth="1"/>
    <col min="1287" max="1287" width="13.5703125" style="478" customWidth="1"/>
    <col min="1288" max="1288" width="14" style="478" customWidth="1"/>
    <col min="1289" max="1289" width="13.85546875" style="478" customWidth="1"/>
    <col min="1290" max="1290" width="12.5703125" style="478" customWidth="1"/>
    <col min="1291" max="1293" width="12.7109375" style="478" customWidth="1"/>
    <col min="1294" max="1294" width="16.85546875" style="478" customWidth="1"/>
    <col min="1295" max="1295" width="12.140625" style="478" customWidth="1"/>
    <col min="1296" max="1296" width="15.140625" style="478" customWidth="1"/>
    <col min="1297" max="1323" width="8" style="478" customWidth="1"/>
    <col min="1324" max="1536" width="8" style="478"/>
    <col min="1537" max="1538" width="0" style="478" hidden="1" customWidth="1"/>
    <col min="1539" max="1539" width="6" style="478" customWidth="1"/>
    <col min="1540" max="1540" width="42.140625" style="478" customWidth="1"/>
    <col min="1541" max="1541" width="14.140625" style="478" customWidth="1"/>
    <col min="1542" max="1542" width="12.7109375" style="478" customWidth="1"/>
    <col min="1543" max="1543" width="13.5703125" style="478" customWidth="1"/>
    <col min="1544" max="1544" width="14" style="478" customWidth="1"/>
    <col min="1545" max="1545" width="13.85546875" style="478" customWidth="1"/>
    <col min="1546" max="1546" width="12.5703125" style="478" customWidth="1"/>
    <col min="1547" max="1549" width="12.7109375" style="478" customWidth="1"/>
    <col min="1550" max="1550" width="16.85546875" style="478" customWidth="1"/>
    <col min="1551" max="1551" width="12.140625" style="478" customWidth="1"/>
    <col min="1552" max="1552" width="15.140625" style="478" customWidth="1"/>
    <col min="1553" max="1579" width="8" style="478" customWidth="1"/>
    <col min="1580" max="1792" width="8" style="478"/>
    <col min="1793" max="1794" width="0" style="478" hidden="1" customWidth="1"/>
    <col min="1795" max="1795" width="6" style="478" customWidth="1"/>
    <col min="1796" max="1796" width="42.140625" style="478" customWidth="1"/>
    <col min="1797" max="1797" width="14.140625" style="478" customWidth="1"/>
    <col min="1798" max="1798" width="12.7109375" style="478" customWidth="1"/>
    <col min="1799" max="1799" width="13.5703125" style="478" customWidth="1"/>
    <col min="1800" max="1800" width="14" style="478" customWidth="1"/>
    <col min="1801" max="1801" width="13.85546875" style="478" customWidth="1"/>
    <col min="1802" max="1802" width="12.5703125" style="478" customWidth="1"/>
    <col min="1803" max="1805" width="12.7109375" style="478" customWidth="1"/>
    <col min="1806" max="1806" width="16.85546875" style="478" customWidth="1"/>
    <col min="1807" max="1807" width="12.140625" style="478" customWidth="1"/>
    <col min="1808" max="1808" width="15.140625" style="478" customWidth="1"/>
    <col min="1809" max="1835" width="8" style="478" customWidth="1"/>
    <col min="1836" max="2048" width="8" style="478"/>
    <col min="2049" max="2050" width="0" style="478" hidden="1" customWidth="1"/>
    <col min="2051" max="2051" width="6" style="478" customWidth="1"/>
    <col min="2052" max="2052" width="42.140625" style="478" customWidth="1"/>
    <col min="2053" max="2053" width="14.140625" style="478" customWidth="1"/>
    <col min="2054" max="2054" width="12.7109375" style="478" customWidth="1"/>
    <col min="2055" max="2055" width="13.5703125" style="478" customWidth="1"/>
    <col min="2056" max="2056" width="14" style="478" customWidth="1"/>
    <col min="2057" max="2057" width="13.85546875" style="478" customWidth="1"/>
    <col min="2058" max="2058" width="12.5703125" style="478" customWidth="1"/>
    <col min="2059" max="2061" width="12.7109375" style="478" customWidth="1"/>
    <col min="2062" max="2062" width="16.85546875" style="478" customWidth="1"/>
    <col min="2063" max="2063" width="12.140625" style="478" customWidth="1"/>
    <col min="2064" max="2064" width="15.140625" style="478" customWidth="1"/>
    <col min="2065" max="2091" width="8" style="478" customWidth="1"/>
    <col min="2092" max="2304" width="8" style="478"/>
    <col min="2305" max="2306" width="0" style="478" hidden="1" customWidth="1"/>
    <col min="2307" max="2307" width="6" style="478" customWidth="1"/>
    <col min="2308" max="2308" width="42.140625" style="478" customWidth="1"/>
    <col min="2309" max="2309" width="14.140625" style="478" customWidth="1"/>
    <col min="2310" max="2310" width="12.7109375" style="478" customWidth="1"/>
    <col min="2311" max="2311" width="13.5703125" style="478" customWidth="1"/>
    <col min="2312" max="2312" width="14" style="478" customWidth="1"/>
    <col min="2313" max="2313" width="13.85546875" style="478" customWidth="1"/>
    <col min="2314" max="2314" width="12.5703125" style="478" customWidth="1"/>
    <col min="2315" max="2317" width="12.7109375" style="478" customWidth="1"/>
    <col min="2318" max="2318" width="16.85546875" style="478" customWidth="1"/>
    <col min="2319" max="2319" width="12.140625" style="478" customWidth="1"/>
    <col min="2320" max="2320" width="15.140625" style="478" customWidth="1"/>
    <col min="2321" max="2347" width="8" style="478" customWidth="1"/>
    <col min="2348" max="2560" width="8" style="478"/>
    <col min="2561" max="2562" width="0" style="478" hidden="1" customWidth="1"/>
    <col min="2563" max="2563" width="6" style="478" customWidth="1"/>
    <col min="2564" max="2564" width="42.140625" style="478" customWidth="1"/>
    <col min="2565" max="2565" width="14.140625" style="478" customWidth="1"/>
    <col min="2566" max="2566" width="12.7109375" style="478" customWidth="1"/>
    <col min="2567" max="2567" width="13.5703125" style="478" customWidth="1"/>
    <col min="2568" max="2568" width="14" style="478" customWidth="1"/>
    <col min="2569" max="2569" width="13.85546875" style="478" customWidth="1"/>
    <col min="2570" max="2570" width="12.5703125" style="478" customWidth="1"/>
    <col min="2571" max="2573" width="12.7109375" style="478" customWidth="1"/>
    <col min="2574" max="2574" width="16.85546875" style="478" customWidth="1"/>
    <col min="2575" max="2575" width="12.140625" style="478" customWidth="1"/>
    <col min="2576" max="2576" width="15.140625" style="478" customWidth="1"/>
    <col min="2577" max="2603" width="8" style="478" customWidth="1"/>
    <col min="2604" max="2816" width="8" style="478"/>
    <col min="2817" max="2818" width="0" style="478" hidden="1" customWidth="1"/>
    <col min="2819" max="2819" width="6" style="478" customWidth="1"/>
    <col min="2820" max="2820" width="42.140625" style="478" customWidth="1"/>
    <col min="2821" max="2821" width="14.140625" style="478" customWidth="1"/>
    <col min="2822" max="2822" width="12.7109375" style="478" customWidth="1"/>
    <col min="2823" max="2823" width="13.5703125" style="478" customWidth="1"/>
    <col min="2824" max="2824" width="14" style="478" customWidth="1"/>
    <col min="2825" max="2825" width="13.85546875" style="478" customWidth="1"/>
    <col min="2826" max="2826" width="12.5703125" style="478" customWidth="1"/>
    <col min="2827" max="2829" width="12.7109375" style="478" customWidth="1"/>
    <col min="2830" max="2830" width="16.85546875" style="478" customWidth="1"/>
    <col min="2831" max="2831" width="12.140625" style="478" customWidth="1"/>
    <col min="2832" max="2832" width="15.140625" style="478" customWidth="1"/>
    <col min="2833" max="2859" width="8" style="478" customWidth="1"/>
    <col min="2860" max="3072" width="8" style="478"/>
    <col min="3073" max="3074" width="0" style="478" hidden="1" customWidth="1"/>
    <col min="3075" max="3075" width="6" style="478" customWidth="1"/>
    <col min="3076" max="3076" width="42.140625" style="478" customWidth="1"/>
    <col min="3077" max="3077" width="14.140625" style="478" customWidth="1"/>
    <col min="3078" max="3078" width="12.7109375" style="478" customWidth="1"/>
    <col min="3079" max="3079" width="13.5703125" style="478" customWidth="1"/>
    <col min="3080" max="3080" width="14" style="478" customWidth="1"/>
    <col min="3081" max="3081" width="13.85546875" style="478" customWidth="1"/>
    <col min="3082" max="3082" width="12.5703125" style="478" customWidth="1"/>
    <col min="3083" max="3085" width="12.7109375" style="478" customWidth="1"/>
    <col min="3086" max="3086" width="16.85546875" style="478" customWidth="1"/>
    <col min="3087" max="3087" width="12.140625" style="478" customWidth="1"/>
    <col min="3088" max="3088" width="15.140625" style="478" customWidth="1"/>
    <col min="3089" max="3115" width="8" style="478" customWidth="1"/>
    <col min="3116" max="3328" width="8" style="478"/>
    <col min="3329" max="3330" width="0" style="478" hidden="1" customWidth="1"/>
    <col min="3331" max="3331" width="6" style="478" customWidth="1"/>
    <col min="3332" max="3332" width="42.140625" style="478" customWidth="1"/>
    <col min="3333" max="3333" width="14.140625" style="478" customWidth="1"/>
    <col min="3334" max="3334" width="12.7109375" style="478" customWidth="1"/>
    <col min="3335" max="3335" width="13.5703125" style="478" customWidth="1"/>
    <col min="3336" max="3336" width="14" style="478" customWidth="1"/>
    <col min="3337" max="3337" width="13.85546875" style="478" customWidth="1"/>
    <col min="3338" max="3338" width="12.5703125" style="478" customWidth="1"/>
    <col min="3339" max="3341" width="12.7109375" style="478" customWidth="1"/>
    <col min="3342" max="3342" width="16.85546875" style="478" customWidth="1"/>
    <col min="3343" max="3343" width="12.140625" style="478" customWidth="1"/>
    <col min="3344" max="3344" width="15.140625" style="478" customWidth="1"/>
    <col min="3345" max="3371" width="8" style="478" customWidth="1"/>
    <col min="3372" max="3584" width="8" style="478"/>
    <col min="3585" max="3586" width="0" style="478" hidden="1" customWidth="1"/>
    <col min="3587" max="3587" width="6" style="478" customWidth="1"/>
    <col min="3588" max="3588" width="42.140625" style="478" customWidth="1"/>
    <col min="3589" max="3589" width="14.140625" style="478" customWidth="1"/>
    <col min="3590" max="3590" width="12.7109375" style="478" customWidth="1"/>
    <col min="3591" max="3591" width="13.5703125" style="478" customWidth="1"/>
    <col min="3592" max="3592" width="14" style="478" customWidth="1"/>
    <col min="3593" max="3593" width="13.85546875" style="478" customWidth="1"/>
    <col min="3594" max="3594" width="12.5703125" style="478" customWidth="1"/>
    <col min="3595" max="3597" width="12.7109375" style="478" customWidth="1"/>
    <col min="3598" max="3598" width="16.85546875" style="478" customWidth="1"/>
    <col min="3599" max="3599" width="12.140625" style="478" customWidth="1"/>
    <col min="3600" max="3600" width="15.140625" style="478" customWidth="1"/>
    <col min="3601" max="3627" width="8" style="478" customWidth="1"/>
    <col min="3628" max="3840" width="8" style="478"/>
    <col min="3841" max="3842" width="0" style="478" hidden="1" customWidth="1"/>
    <col min="3843" max="3843" width="6" style="478" customWidth="1"/>
    <col min="3844" max="3844" width="42.140625" style="478" customWidth="1"/>
    <col min="3845" max="3845" width="14.140625" style="478" customWidth="1"/>
    <col min="3846" max="3846" width="12.7109375" style="478" customWidth="1"/>
    <col min="3847" max="3847" width="13.5703125" style="478" customWidth="1"/>
    <col min="3848" max="3848" width="14" style="478" customWidth="1"/>
    <col min="3849" max="3849" width="13.85546875" style="478" customWidth="1"/>
    <col min="3850" max="3850" width="12.5703125" style="478" customWidth="1"/>
    <col min="3851" max="3853" width="12.7109375" style="478" customWidth="1"/>
    <col min="3854" max="3854" width="16.85546875" style="478" customWidth="1"/>
    <col min="3855" max="3855" width="12.140625" style="478" customWidth="1"/>
    <col min="3856" max="3856" width="15.140625" style="478" customWidth="1"/>
    <col min="3857" max="3883" width="8" style="478" customWidth="1"/>
    <col min="3884" max="4096" width="8" style="478"/>
    <col min="4097" max="4098" width="0" style="478" hidden="1" customWidth="1"/>
    <col min="4099" max="4099" width="6" style="478" customWidth="1"/>
    <col min="4100" max="4100" width="42.140625" style="478" customWidth="1"/>
    <col min="4101" max="4101" width="14.140625" style="478" customWidth="1"/>
    <col min="4102" max="4102" width="12.7109375" style="478" customWidth="1"/>
    <col min="4103" max="4103" width="13.5703125" style="478" customWidth="1"/>
    <col min="4104" max="4104" width="14" style="478" customWidth="1"/>
    <col min="4105" max="4105" width="13.85546875" style="478" customWidth="1"/>
    <col min="4106" max="4106" width="12.5703125" style="478" customWidth="1"/>
    <col min="4107" max="4109" width="12.7109375" style="478" customWidth="1"/>
    <col min="4110" max="4110" width="16.85546875" style="478" customWidth="1"/>
    <col min="4111" max="4111" width="12.140625" style="478" customWidth="1"/>
    <col min="4112" max="4112" width="15.140625" style="478" customWidth="1"/>
    <col min="4113" max="4139" width="8" style="478" customWidth="1"/>
    <col min="4140" max="4352" width="8" style="478"/>
    <col min="4353" max="4354" width="0" style="478" hidden="1" customWidth="1"/>
    <col min="4355" max="4355" width="6" style="478" customWidth="1"/>
    <col min="4356" max="4356" width="42.140625" style="478" customWidth="1"/>
    <col min="4357" max="4357" width="14.140625" style="478" customWidth="1"/>
    <col min="4358" max="4358" width="12.7109375" style="478" customWidth="1"/>
    <col min="4359" max="4359" width="13.5703125" style="478" customWidth="1"/>
    <col min="4360" max="4360" width="14" style="478" customWidth="1"/>
    <col min="4361" max="4361" width="13.85546875" style="478" customWidth="1"/>
    <col min="4362" max="4362" width="12.5703125" style="478" customWidth="1"/>
    <col min="4363" max="4365" width="12.7109375" style="478" customWidth="1"/>
    <col min="4366" max="4366" width="16.85546875" style="478" customWidth="1"/>
    <col min="4367" max="4367" width="12.140625" style="478" customWidth="1"/>
    <col min="4368" max="4368" width="15.140625" style="478" customWidth="1"/>
    <col min="4369" max="4395" width="8" style="478" customWidth="1"/>
    <col min="4396" max="4608" width="8" style="478"/>
    <col min="4609" max="4610" width="0" style="478" hidden="1" customWidth="1"/>
    <col min="4611" max="4611" width="6" style="478" customWidth="1"/>
    <col min="4612" max="4612" width="42.140625" style="478" customWidth="1"/>
    <col min="4613" max="4613" width="14.140625" style="478" customWidth="1"/>
    <col min="4614" max="4614" width="12.7109375" style="478" customWidth="1"/>
    <col min="4615" max="4615" width="13.5703125" style="478" customWidth="1"/>
    <col min="4616" max="4616" width="14" style="478" customWidth="1"/>
    <col min="4617" max="4617" width="13.85546875" style="478" customWidth="1"/>
    <col min="4618" max="4618" width="12.5703125" style="478" customWidth="1"/>
    <col min="4619" max="4621" width="12.7109375" style="478" customWidth="1"/>
    <col min="4622" max="4622" width="16.85546875" style="478" customWidth="1"/>
    <col min="4623" max="4623" width="12.140625" style="478" customWidth="1"/>
    <col min="4624" max="4624" width="15.140625" style="478" customWidth="1"/>
    <col min="4625" max="4651" width="8" style="478" customWidth="1"/>
    <col min="4652" max="4864" width="8" style="478"/>
    <col min="4865" max="4866" width="0" style="478" hidden="1" customWidth="1"/>
    <col min="4867" max="4867" width="6" style="478" customWidth="1"/>
    <col min="4868" max="4868" width="42.140625" style="478" customWidth="1"/>
    <col min="4869" max="4869" width="14.140625" style="478" customWidth="1"/>
    <col min="4870" max="4870" width="12.7109375" style="478" customWidth="1"/>
    <col min="4871" max="4871" width="13.5703125" style="478" customWidth="1"/>
    <col min="4872" max="4872" width="14" style="478" customWidth="1"/>
    <col min="4873" max="4873" width="13.85546875" style="478" customWidth="1"/>
    <col min="4874" max="4874" width="12.5703125" style="478" customWidth="1"/>
    <col min="4875" max="4877" width="12.7109375" style="478" customWidth="1"/>
    <col min="4878" max="4878" width="16.85546875" style="478" customWidth="1"/>
    <col min="4879" max="4879" width="12.140625" style="478" customWidth="1"/>
    <col min="4880" max="4880" width="15.140625" style="478" customWidth="1"/>
    <col min="4881" max="4907" width="8" style="478" customWidth="1"/>
    <col min="4908" max="5120" width="8" style="478"/>
    <col min="5121" max="5122" width="0" style="478" hidden="1" customWidth="1"/>
    <col min="5123" max="5123" width="6" style="478" customWidth="1"/>
    <col min="5124" max="5124" width="42.140625" style="478" customWidth="1"/>
    <col min="5125" max="5125" width="14.140625" style="478" customWidth="1"/>
    <col min="5126" max="5126" width="12.7109375" style="478" customWidth="1"/>
    <col min="5127" max="5127" width="13.5703125" style="478" customWidth="1"/>
    <col min="5128" max="5128" width="14" style="478" customWidth="1"/>
    <col min="5129" max="5129" width="13.85546875" style="478" customWidth="1"/>
    <col min="5130" max="5130" width="12.5703125" style="478" customWidth="1"/>
    <col min="5131" max="5133" width="12.7109375" style="478" customWidth="1"/>
    <col min="5134" max="5134" width="16.85546875" style="478" customWidth="1"/>
    <col min="5135" max="5135" width="12.140625" style="478" customWidth="1"/>
    <col min="5136" max="5136" width="15.140625" style="478" customWidth="1"/>
    <col min="5137" max="5163" width="8" style="478" customWidth="1"/>
    <col min="5164" max="5376" width="8" style="478"/>
    <col min="5377" max="5378" width="0" style="478" hidden="1" customWidth="1"/>
    <col min="5379" max="5379" width="6" style="478" customWidth="1"/>
    <col min="5380" max="5380" width="42.140625" style="478" customWidth="1"/>
    <col min="5381" max="5381" width="14.140625" style="478" customWidth="1"/>
    <col min="5382" max="5382" width="12.7109375" style="478" customWidth="1"/>
    <col min="5383" max="5383" width="13.5703125" style="478" customWidth="1"/>
    <col min="5384" max="5384" width="14" style="478" customWidth="1"/>
    <col min="5385" max="5385" width="13.85546875" style="478" customWidth="1"/>
    <col min="5386" max="5386" width="12.5703125" style="478" customWidth="1"/>
    <col min="5387" max="5389" width="12.7109375" style="478" customWidth="1"/>
    <col min="5390" max="5390" width="16.85546875" style="478" customWidth="1"/>
    <col min="5391" max="5391" width="12.140625" style="478" customWidth="1"/>
    <col min="5392" max="5392" width="15.140625" style="478" customWidth="1"/>
    <col min="5393" max="5419" width="8" style="478" customWidth="1"/>
    <col min="5420" max="5632" width="8" style="478"/>
    <col min="5633" max="5634" width="0" style="478" hidden="1" customWidth="1"/>
    <col min="5635" max="5635" width="6" style="478" customWidth="1"/>
    <col min="5636" max="5636" width="42.140625" style="478" customWidth="1"/>
    <col min="5637" max="5637" width="14.140625" style="478" customWidth="1"/>
    <col min="5638" max="5638" width="12.7109375" style="478" customWidth="1"/>
    <col min="5639" max="5639" width="13.5703125" style="478" customWidth="1"/>
    <col min="5640" max="5640" width="14" style="478" customWidth="1"/>
    <col min="5641" max="5641" width="13.85546875" style="478" customWidth="1"/>
    <col min="5642" max="5642" width="12.5703125" style="478" customWidth="1"/>
    <col min="5643" max="5645" width="12.7109375" style="478" customWidth="1"/>
    <col min="5646" max="5646" width="16.85546875" style="478" customWidth="1"/>
    <col min="5647" max="5647" width="12.140625" style="478" customWidth="1"/>
    <col min="5648" max="5648" width="15.140625" style="478" customWidth="1"/>
    <col min="5649" max="5675" width="8" style="478" customWidth="1"/>
    <col min="5676" max="5888" width="8" style="478"/>
    <col min="5889" max="5890" width="0" style="478" hidden="1" customWidth="1"/>
    <col min="5891" max="5891" width="6" style="478" customWidth="1"/>
    <col min="5892" max="5892" width="42.140625" style="478" customWidth="1"/>
    <col min="5893" max="5893" width="14.140625" style="478" customWidth="1"/>
    <col min="5894" max="5894" width="12.7109375" style="478" customWidth="1"/>
    <col min="5895" max="5895" width="13.5703125" style="478" customWidth="1"/>
    <col min="5896" max="5896" width="14" style="478" customWidth="1"/>
    <col min="5897" max="5897" width="13.85546875" style="478" customWidth="1"/>
    <col min="5898" max="5898" width="12.5703125" style="478" customWidth="1"/>
    <col min="5899" max="5901" width="12.7109375" style="478" customWidth="1"/>
    <col min="5902" max="5902" width="16.85546875" style="478" customWidth="1"/>
    <col min="5903" max="5903" width="12.140625" style="478" customWidth="1"/>
    <col min="5904" max="5904" width="15.140625" style="478" customWidth="1"/>
    <col min="5905" max="5931" width="8" style="478" customWidth="1"/>
    <col min="5932" max="6144" width="8" style="478"/>
    <col min="6145" max="6146" width="0" style="478" hidden="1" customWidth="1"/>
    <col min="6147" max="6147" width="6" style="478" customWidth="1"/>
    <col min="6148" max="6148" width="42.140625" style="478" customWidth="1"/>
    <col min="6149" max="6149" width="14.140625" style="478" customWidth="1"/>
    <col min="6150" max="6150" width="12.7109375" style="478" customWidth="1"/>
    <col min="6151" max="6151" width="13.5703125" style="478" customWidth="1"/>
    <col min="6152" max="6152" width="14" style="478" customWidth="1"/>
    <col min="6153" max="6153" width="13.85546875" style="478" customWidth="1"/>
    <col min="6154" max="6154" width="12.5703125" style="478" customWidth="1"/>
    <col min="6155" max="6157" width="12.7109375" style="478" customWidth="1"/>
    <col min="6158" max="6158" width="16.85546875" style="478" customWidth="1"/>
    <col min="6159" max="6159" width="12.140625" style="478" customWidth="1"/>
    <col min="6160" max="6160" width="15.140625" style="478" customWidth="1"/>
    <col min="6161" max="6187" width="8" style="478" customWidth="1"/>
    <col min="6188" max="6400" width="8" style="478"/>
    <col min="6401" max="6402" width="0" style="478" hidden="1" customWidth="1"/>
    <col min="6403" max="6403" width="6" style="478" customWidth="1"/>
    <col min="6404" max="6404" width="42.140625" style="478" customWidth="1"/>
    <col min="6405" max="6405" width="14.140625" style="478" customWidth="1"/>
    <col min="6406" max="6406" width="12.7109375" style="478" customWidth="1"/>
    <col min="6407" max="6407" width="13.5703125" style="478" customWidth="1"/>
    <col min="6408" max="6408" width="14" style="478" customWidth="1"/>
    <col min="6409" max="6409" width="13.85546875" style="478" customWidth="1"/>
    <col min="6410" max="6410" width="12.5703125" style="478" customWidth="1"/>
    <col min="6411" max="6413" width="12.7109375" style="478" customWidth="1"/>
    <col min="6414" max="6414" width="16.85546875" style="478" customWidth="1"/>
    <col min="6415" max="6415" width="12.140625" style="478" customWidth="1"/>
    <col min="6416" max="6416" width="15.140625" style="478" customWidth="1"/>
    <col min="6417" max="6443" width="8" style="478" customWidth="1"/>
    <col min="6444" max="6656" width="8" style="478"/>
    <col min="6657" max="6658" width="0" style="478" hidden="1" customWidth="1"/>
    <col min="6659" max="6659" width="6" style="478" customWidth="1"/>
    <col min="6660" max="6660" width="42.140625" style="478" customWidth="1"/>
    <col min="6661" max="6661" width="14.140625" style="478" customWidth="1"/>
    <col min="6662" max="6662" width="12.7109375" style="478" customWidth="1"/>
    <col min="6663" max="6663" width="13.5703125" style="478" customWidth="1"/>
    <col min="6664" max="6664" width="14" style="478" customWidth="1"/>
    <col min="6665" max="6665" width="13.85546875" style="478" customWidth="1"/>
    <col min="6666" max="6666" width="12.5703125" style="478" customWidth="1"/>
    <col min="6667" max="6669" width="12.7109375" style="478" customWidth="1"/>
    <col min="6670" max="6670" width="16.85546875" style="478" customWidth="1"/>
    <col min="6671" max="6671" width="12.140625" style="478" customWidth="1"/>
    <col min="6672" max="6672" width="15.140625" style="478" customWidth="1"/>
    <col min="6673" max="6699" width="8" style="478" customWidth="1"/>
    <col min="6700" max="6912" width="8" style="478"/>
    <col min="6913" max="6914" width="0" style="478" hidden="1" customWidth="1"/>
    <col min="6915" max="6915" width="6" style="478" customWidth="1"/>
    <col min="6916" max="6916" width="42.140625" style="478" customWidth="1"/>
    <col min="6917" max="6917" width="14.140625" style="478" customWidth="1"/>
    <col min="6918" max="6918" width="12.7109375" style="478" customWidth="1"/>
    <col min="6919" max="6919" width="13.5703125" style="478" customWidth="1"/>
    <col min="6920" max="6920" width="14" style="478" customWidth="1"/>
    <col min="6921" max="6921" width="13.85546875" style="478" customWidth="1"/>
    <col min="6922" max="6922" width="12.5703125" style="478" customWidth="1"/>
    <col min="6923" max="6925" width="12.7109375" style="478" customWidth="1"/>
    <col min="6926" max="6926" width="16.85546875" style="478" customWidth="1"/>
    <col min="6927" max="6927" width="12.140625" style="478" customWidth="1"/>
    <col min="6928" max="6928" width="15.140625" style="478" customWidth="1"/>
    <col min="6929" max="6955" width="8" style="478" customWidth="1"/>
    <col min="6956" max="7168" width="8" style="478"/>
    <col min="7169" max="7170" width="0" style="478" hidden="1" customWidth="1"/>
    <col min="7171" max="7171" width="6" style="478" customWidth="1"/>
    <col min="7172" max="7172" width="42.140625" style="478" customWidth="1"/>
    <col min="7173" max="7173" width="14.140625" style="478" customWidth="1"/>
    <col min="7174" max="7174" width="12.7109375" style="478" customWidth="1"/>
    <col min="7175" max="7175" width="13.5703125" style="478" customWidth="1"/>
    <col min="7176" max="7176" width="14" style="478" customWidth="1"/>
    <col min="7177" max="7177" width="13.85546875" style="478" customWidth="1"/>
    <col min="7178" max="7178" width="12.5703125" style="478" customWidth="1"/>
    <col min="7179" max="7181" width="12.7109375" style="478" customWidth="1"/>
    <col min="7182" max="7182" width="16.85546875" style="478" customWidth="1"/>
    <col min="7183" max="7183" width="12.140625" style="478" customWidth="1"/>
    <col min="7184" max="7184" width="15.140625" style="478" customWidth="1"/>
    <col min="7185" max="7211" width="8" style="478" customWidth="1"/>
    <col min="7212" max="7424" width="8" style="478"/>
    <col min="7425" max="7426" width="0" style="478" hidden="1" customWidth="1"/>
    <col min="7427" max="7427" width="6" style="478" customWidth="1"/>
    <col min="7428" max="7428" width="42.140625" style="478" customWidth="1"/>
    <col min="7429" max="7429" width="14.140625" style="478" customWidth="1"/>
    <col min="7430" max="7430" width="12.7109375" style="478" customWidth="1"/>
    <col min="7431" max="7431" width="13.5703125" style="478" customWidth="1"/>
    <col min="7432" max="7432" width="14" style="478" customWidth="1"/>
    <col min="7433" max="7433" width="13.85546875" style="478" customWidth="1"/>
    <col min="7434" max="7434" width="12.5703125" style="478" customWidth="1"/>
    <col min="7435" max="7437" width="12.7109375" style="478" customWidth="1"/>
    <col min="7438" max="7438" width="16.85546875" style="478" customWidth="1"/>
    <col min="7439" max="7439" width="12.140625" style="478" customWidth="1"/>
    <col min="7440" max="7440" width="15.140625" style="478" customWidth="1"/>
    <col min="7441" max="7467" width="8" style="478" customWidth="1"/>
    <col min="7468" max="7680" width="8" style="478"/>
    <col min="7681" max="7682" width="0" style="478" hidden="1" customWidth="1"/>
    <col min="7683" max="7683" width="6" style="478" customWidth="1"/>
    <col min="7684" max="7684" width="42.140625" style="478" customWidth="1"/>
    <col min="7685" max="7685" width="14.140625" style="478" customWidth="1"/>
    <col min="7686" max="7686" width="12.7109375" style="478" customWidth="1"/>
    <col min="7687" max="7687" width="13.5703125" style="478" customWidth="1"/>
    <col min="7688" max="7688" width="14" style="478" customWidth="1"/>
    <col min="7689" max="7689" width="13.85546875" style="478" customWidth="1"/>
    <col min="7690" max="7690" width="12.5703125" style="478" customWidth="1"/>
    <col min="7691" max="7693" width="12.7109375" style="478" customWidth="1"/>
    <col min="7694" max="7694" width="16.85546875" style="478" customWidth="1"/>
    <col min="7695" max="7695" width="12.140625" style="478" customWidth="1"/>
    <col min="7696" max="7696" width="15.140625" style="478" customWidth="1"/>
    <col min="7697" max="7723" width="8" style="478" customWidth="1"/>
    <col min="7724" max="7936" width="8" style="478"/>
    <col min="7937" max="7938" width="0" style="478" hidden="1" customWidth="1"/>
    <col min="7939" max="7939" width="6" style="478" customWidth="1"/>
    <col min="7940" max="7940" width="42.140625" style="478" customWidth="1"/>
    <col min="7941" max="7941" width="14.140625" style="478" customWidth="1"/>
    <col min="7942" max="7942" width="12.7109375" style="478" customWidth="1"/>
    <col min="7943" max="7943" width="13.5703125" style="478" customWidth="1"/>
    <col min="7944" max="7944" width="14" style="478" customWidth="1"/>
    <col min="7945" max="7945" width="13.85546875" style="478" customWidth="1"/>
    <col min="7946" max="7946" width="12.5703125" style="478" customWidth="1"/>
    <col min="7947" max="7949" width="12.7109375" style="478" customWidth="1"/>
    <col min="7950" max="7950" width="16.85546875" style="478" customWidth="1"/>
    <col min="7951" max="7951" width="12.140625" style="478" customWidth="1"/>
    <col min="7952" max="7952" width="15.140625" style="478" customWidth="1"/>
    <col min="7953" max="7979" width="8" style="478" customWidth="1"/>
    <col min="7980" max="8192" width="8" style="478"/>
    <col min="8193" max="8194" width="0" style="478" hidden="1" customWidth="1"/>
    <col min="8195" max="8195" width="6" style="478" customWidth="1"/>
    <col min="8196" max="8196" width="42.140625" style="478" customWidth="1"/>
    <col min="8197" max="8197" width="14.140625" style="478" customWidth="1"/>
    <col min="8198" max="8198" width="12.7109375" style="478" customWidth="1"/>
    <col min="8199" max="8199" width="13.5703125" style="478" customWidth="1"/>
    <col min="8200" max="8200" width="14" style="478" customWidth="1"/>
    <col min="8201" max="8201" width="13.85546875" style="478" customWidth="1"/>
    <col min="8202" max="8202" width="12.5703125" style="478" customWidth="1"/>
    <col min="8203" max="8205" width="12.7109375" style="478" customWidth="1"/>
    <col min="8206" max="8206" width="16.85546875" style="478" customWidth="1"/>
    <col min="8207" max="8207" width="12.140625" style="478" customWidth="1"/>
    <col min="8208" max="8208" width="15.140625" style="478" customWidth="1"/>
    <col min="8209" max="8235" width="8" style="478" customWidth="1"/>
    <col min="8236" max="8448" width="8" style="478"/>
    <col min="8449" max="8450" width="0" style="478" hidden="1" customWidth="1"/>
    <col min="8451" max="8451" width="6" style="478" customWidth="1"/>
    <col min="8452" max="8452" width="42.140625" style="478" customWidth="1"/>
    <col min="8453" max="8453" width="14.140625" style="478" customWidth="1"/>
    <col min="8454" max="8454" width="12.7109375" style="478" customWidth="1"/>
    <col min="8455" max="8455" width="13.5703125" style="478" customWidth="1"/>
    <col min="8456" max="8456" width="14" style="478" customWidth="1"/>
    <col min="8457" max="8457" width="13.85546875" style="478" customWidth="1"/>
    <col min="8458" max="8458" width="12.5703125" style="478" customWidth="1"/>
    <col min="8459" max="8461" width="12.7109375" style="478" customWidth="1"/>
    <col min="8462" max="8462" width="16.85546875" style="478" customWidth="1"/>
    <col min="8463" max="8463" width="12.140625" style="478" customWidth="1"/>
    <col min="8464" max="8464" width="15.140625" style="478" customWidth="1"/>
    <col min="8465" max="8491" width="8" style="478" customWidth="1"/>
    <col min="8492" max="8704" width="8" style="478"/>
    <col min="8705" max="8706" width="0" style="478" hidden="1" customWidth="1"/>
    <col min="8707" max="8707" width="6" style="478" customWidth="1"/>
    <col min="8708" max="8708" width="42.140625" style="478" customWidth="1"/>
    <col min="8709" max="8709" width="14.140625" style="478" customWidth="1"/>
    <col min="8710" max="8710" width="12.7109375" style="478" customWidth="1"/>
    <col min="8711" max="8711" width="13.5703125" style="478" customWidth="1"/>
    <col min="8712" max="8712" width="14" style="478" customWidth="1"/>
    <col min="8713" max="8713" width="13.85546875" style="478" customWidth="1"/>
    <col min="8714" max="8714" width="12.5703125" style="478" customWidth="1"/>
    <col min="8715" max="8717" width="12.7109375" style="478" customWidth="1"/>
    <col min="8718" max="8718" width="16.85546875" style="478" customWidth="1"/>
    <col min="8719" max="8719" width="12.140625" style="478" customWidth="1"/>
    <col min="8720" max="8720" width="15.140625" style="478" customWidth="1"/>
    <col min="8721" max="8747" width="8" style="478" customWidth="1"/>
    <col min="8748" max="8960" width="8" style="478"/>
    <col min="8961" max="8962" width="0" style="478" hidden="1" customWidth="1"/>
    <col min="8963" max="8963" width="6" style="478" customWidth="1"/>
    <col min="8964" max="8964" width="42.140625" style="478" customWidth="1"/>
    <col min="8965" max="8965" width="14.140625" style="478" customWidth="1"/>
    <col min="8966" max="8966" width="12.7109375" style="478" customWidth="1"/>
    <col min="8967" max="8967" width="13.5703125" style="478" customWidth="1"/>
    <col min="8968" max="8968" width="14" style="478" customWidth="1"/>
    <col min="8969" max="8969" width="13.85546875" style="478" customWidth="1"/>
    <col min="8970" max="8970" width="12.5703125" style="478" customWidth="1"/>
    <col min="8971" max="8973" width="12.7109375" style="478" customWidth="1"/>
    <col min="8974" max="8974" width="16.85546875" style="478" customWidth="1"/>
    <col min="8975" max="8975" width="12.140625" style="478" customWidth="1"/>
    <col min="8976" max="8976" width="15.140625" style="478" customWidth="1"/>
    <col min="8977" max="9003" width="8" style="478" customWidth="1"/>
    <col min="9004" max="9216" width="8" style="478"/>
    <col min="9217" max="9218" width="0" style="478" hidden="1" customWidth="1"/>
    <col min="9219" max="9219" width="6" style="478" customWidth="1"/>
    <col min="9220" max="9220" width="42.140625" style="478" customWidth="1"/>
    <col min="9221" max="9221" width="14.140625" style="478" customWidth="1"/>
    <col min="9222" max="9222" width="12.7109375" style="478" customWidth="1"/>
    <col min="9223" max="9223" width="13.5703125" style="478" customWidth="1"/>
    <col min="9224" max="9224" width="14" style="478" customWidth="1"/>
    <col min="9225" max="9225" width="13.85546875" style="478" customWidth="1"/>
    <col min="9226" max="9226" width="12.5703125" style="478" customWidth="1"/>
    <col min="9227" max="9229" width="12.7109375" style="478" customWidth="1"/>
    <col min="9230" max="9230" width="16.85546875" style="478" customWidth="1"/>
    <col min="9231" max="9231" width="12.140625" style="478" customWidth="1"/>
    <col min="9232" max="9232" width="15.140625" style="478" customWidth="1"/>
    <col min="9233" max="9259" width="8" style="478" customWidth="1"/>
    <col min="9260" max="9472" width="8" style="478"/>
    <col min="9473" max="9474" width="0" style="478" hidden="1" customWidth="1"/>
    <col min="9475" max="9475" width="6" style="478" customWidth="1"/>
    <col min="9476" max="9476" width="42.140625" style="478" customWidth="1"/>
    <col min="9477" max="9477" width="14.140625" style="478" customWidth="1"/>
    <col min="9478" max="9478" width="12.7109375" style="478" customWidth="1"/>
    <col min="9479" max="9479" width="13.5703125" style="478" customWidth="1"/>
    <col min="9480" max="9480" width="14" style="478" customWidth="1"/>
    <col min="9481" max="9481" width="13.85546875" style="478" customWidth="1"/>
    <col min="9482" max="9482" width="12.5703125" style="478" customWidth="1"/>
    <col min="9483" max="9485" width="12.7109375" style="478" customWidth="1"/>
    <col min="9486" max="9486" width="16.85546875" style="478" customWidth="1"/>
    <col min="9487" max="9487" width="12.140625" style="478" customWidth="1"/>
    <col min="9488" max="9488" width="15.140625" style="478" customWidth="1"/>
    <col min="9489" max="9515" width="8" style="478" customWidth="1"/>
    <col min="9516" max="9728" width="8" style="478"/>
    <col min="9729" max="9730" width="0" style="478" hidden="1" customWidth="1"/>
    <col min="9731" max="9731" width="6" style="478" customWidth="1"/>
    <col min="9732" max="9732" width="42.140625" style="478" customWidth="1"/>
    <col min="9733" max="9733" width="14.140625" style="478" customWidth="1"/>
    <col min="9734" max="9734" width="12.7109375" style="478" customWidth="1"/>
    <col min="9735" max="9735" width="13.5703125" style="478" customWidth="1"/>
    <col min="9736" max="9736" width="14" style="478" customWidth="1"/>
    <col min="9737" max="9737" width="13.85546875" style="478" customWidth="1"/>
    <col min="9738" max="9738" width="12.5703125" style="478" customWidth="1"/>
    <col min="9739" max="9741" width="12.7109375" style="478" customWidth="1"/>
    <col min="9742" max="9742" width="16.85546875" style="478" customWidth="1"/>
    <col min="9743" max="9743" width="12.140625" style="478" customWidth="1"/>
    <col min="9744" max="9744" width="15.140625" style="478" customWidth="1"/>
    <col min="9745" max="9771" width="8" style="478" customWidth="1"/>
    <col min="9772" max="9984" width="8" style="478"/>
    <col min="9985" max="9986" width="0" style="478" hidden="1" customWidth="1"/>
    <col min="9987" max="9987" width="6" style="478" customWidth="1"/>
    <col min="9988" max="9988" width="42.140625" style="478" customWidth="1"/>
    <col min="9989" max="9989" width="14.140625" style="478" customWidth="1"/>
    <col min="9990" max="9990" width="12.7109375" style="478" customWidth="1"/>
    <col min="9991" max="9991" width="13.5703125" style="478" customWidth="1"/>
    <col min="9992" max="9992" width="14" style="478" customWidth="1"/>
    <col min="9993" max="9993" width="13.85546875" style="478" customWidth="1"/>
    <col min="9994" max="9994" width="12.5703125" style="478" customWidth="1"/>
    <col min="9995" max="9997" width="12.7109375" style="478" customWidth="1"/>
    <col min="9998" max="9998" width="16.85546875" style="478" customWidth="1"/>
    <col min="9999" max="9999" width="12.140625" style="478" customWidth="1"/>
    <col min="10000" max="10000" width="15.140625" style="478" customWidth="1"/>
    <col min="10001" max="10027" width="8" style="478" customWidth="1"/>
    <col min="10028" max="10240" width="8" style="478"/>
    <col min="10241" max="10242" width="0" style="478" hidden="1" customWidth="1"/>
    <col min="10243" max="10243" width="6" style="478" customWidth="1"/>
    <col min="10244" max="10244" width="42.140625" style="478" customWidth="1"/>
    <col min="10245" max="10245" width="14.140625" style="478" customWidth="1"/>
    <col min="10246" max="10246" width="12.7109375" style="478" customWidth="1"/>
    <col min="10247" max="10247" width="13.5703125" style="478" customWidth="1"/>
    <col min="10248" max="10248" width="14" style="478" customWidth="1"/>
    <col min="10249" max="10249" width="13.85546875" style="478" customWidth="1"/>
    <col min="10250" max="10250" width="12.5703125" style="478" customWidth="1"/>
    <col min="10251" max="10253" width="12.7109375" style="478" customWidth="1"/>
    <col min="10254" max="10254" width="16.85546875" style="478" customWidth="1"/>
    <col min="10255" max="10255" width="12.140625" style="478" customWidth="1"/>
    <col min="10256" max="10256" width="15.140625" style="478" customWidth="1"/>
    <col min="10257" max="10283" width="8" style="478" customWidth="1"/>
    <col min="10284" max="10496" width="8" style="478"/>
    <col min="10497" max="10498" width="0" style="478" hidden="1" customWidth="1"/>
    <col min="10499" max="10499" width="6" style="478" customWidth="1"/>
    <col min="10500" max="10500" width="42.140625" style="478" customWidth="1"/>
    <col min="10501" max="10501" width="14.140625" style="478" customWidth="1"/>
    <col min="10502" max="10502" width="12.7109375" style="478" customWidth="1"/>
    <col min="10503" max="10503" width="13.5703125" style="478" customWidth="1"/>
    <col min="10504" max="10504" width="14" style="478" customWidth="1"/>
    <col min="10505" max="10505" width="13.85546875" style="478" customWidth="1"/>
    <col min="10506" max="10506" width="12.5703125" style="478" customWidth="1"/>
    <col min="10507" max="10509" width="12.7109375" style="478" customWidth="1"/>
    <col min="10510" max="10510" width="16.85546875" style="478" customWidth="1"/>
    <col min="10511" max="10511" width="12.140625" style="478" customWidth="1"/>
    <col min="10512" max="10512" width="15.140625" style="478" customWidth="1"/>
    <col min="10513" max="10539" width="8" style="478" customWidth="1"/>
    <col min="10540" max="10752" width="8" style="478"/>
    <col min="10753" max="10754" width="0" style="478" hidden="1" customWidth="1"/>
    <col min="10755" max="10755" width="6" style="478" customWidth="1"/>
    <col min="10756" max="10756" width="42.140625" style="478" customWidth="1"/>
    <col min="10757" max="10757" width="14.140625" style="478" customWidth="1"/>
    <col min="10758" max="10758" width="12.7109375" style="478" customWidth="1"/>
    <col min="10759" max="10759" width="13.5703125" style="478" customWidth="1"/>
    <col min="10760" max="10760" width="14" style="478" customWidth="1"/>
    <col min="10761" max="10761" width="13.85546875" style="478" customWidth="1"/>
    <col min="10762" max="10762" width="12.5703125" style="478" customWidth="1"/>
    <col min="10763" max="10765" width="12.7109375" style="478" customWidth="1"/>
    <col min="10766" max="10766" width="16.85546875" style="478" customWidth="1"/>
    <col min="10767" max="10767" width="12.140625" style="478" customWidth="1"/>
    <col min="10768" max="10768" width="15.140625" style="478" customWidth="1"/>
    <col min="10769" max="10795" width="8" style="478" customWidth="1"/>
    <col min="10796" max="11008" width="8" style="478"/>
    <col min="11009" max="11010" width="0" style="478" hidden="1" customWidth="1"/>
    <col min="11011" max="11011" width="6" style="478" customWidth="1"/>
    <col min="11012" max="11012" width="42.140625" style="478" customWidth="1"/>
    <col min="11013" max="11013" width="14.140625" style="478" customWidth="1"/>
    <col min="11014" max="11014" width="12.7109375" style="478" customWidth="1"/>
    <col min="11015" max="11015" width="13.5703125" style="478" customWidth="1"/>
    <col min="11016" max="11016" width="14" style="478" customWidth="1"/>
    <col min="11017" max="11017" width="13.85546875" style="478" customWidth="1"/>
    <col min="11018" max="11018" width="12.5703125" style="478" customWidth="1"/>
    <col min="11019" max="11021" width="12.7109375" style="478" customWidth="1"/>
    <col min="11022" max="11022" width="16.85546875" style="478" customWidth="1"/>
    <col min="11023" max="11023" width="12.140625" style="478" customWidth="1"/>
    <col min="11024" max="11024" width="15.140625" style="478" customWidth="1"/>
    <col min="11025" max="11051" width="8" style="478" customWidth="1"/>
    <col min="11052" max="11264" width="8" style="478"/>
    <col min="11265" max="11266" width="0" style="478" hidden="1" customWidth="1"/>
    <col min="11267" max="11267" width="6" style="478" customWidth="1"/>
    <col min="11268" max="11268" width="42.140625" style="478" customWidth="1"/>
    <col min="11269" max="11269" width="14.140625" style="478" customWidth="1"/>
    <col min="11270" max="11270" width="12.7109375" style="478" customWidth="1"/>
    <col min="11271" max="11271" width="13.5703125" style="478" customWidth="1"/>
    <col min="11272" max="11272" width="14" style="478" customWidth="1"/>
    <col min="11273" max="11273" width="13.85546875" style="478" customWidth="1"/>
    <col min="11274" max="11274" width="12.5703125" style="478" customWidth="1"/>
    <col min="11275" max="11277" width="12.7109375" style="478" customWidth="1"/>
    <col min="11278" max="11278" width="16.85546875" style="478" customWidth="1"/>
    <col min="11279" max="11279" width="12.140625" style="478" customWidth="1"/>
    <col min="11280" max="11280" width="15.140625" style="478" customWidth="1"/>
    <col min="11281" max="11307" width="8" style="478" customWidth="1"/>
    <col min="11308" max="11520" width="8" style="478"/>
    <col min="11521" max="11522" width="0" style="478" hidden="1" customWidth="1"/>
    <col min="11523" max="11523" width="6" style="478" customWidth="1"/>
    <col min="11524" max="11524" width="42.140625" style="478" customWidth="1"/>
    <col min="11525" max="11525" width="14.140625" style="478" customWidth="1"/>
    <col min="11526" max="11526" width="12.7109375" style="478" customWidth="1"/>
    <col min="11527" max="11527" width="13.5703125" style="478" customWidth="1"/>
    <col min="11528" max="11528" width="14" style="478" customWidth="1"/>
    <col min="11529" max="11529" width="13.85546875" style="478" customWidth="1"/>
    <col min="11530" max="11530" width="12.5703125" style="478" customWidth="1"/>
    <col min="11531" max="11533" width="12.7109375" style="478" customWidth="1"/>
    <col min="11534" max="11534" width="16.85546875" style="478" customWidth="1"/>
    <col min="11535" max="11535" width="12.140625" style="478" customWidth="1"/>
    <col min="11536" max="11536" width="15.140625" style="478" customWidth="1"/>
    <col min="11537" max="11563" width="8" style="478" customWidth="1"/>
    <col min="11564" max="11776" width="8" style="478"/>
    <col min="11777" max="11778" width="0" style="478" hidden="1" customWidth="1"/>
    <col min="11779" max="11779" width="6" style="478" customWidth="1"/>
    <col min="11780" max="11780" width="42.140625" style="478" customWidth="1"/>
    <col min="11781" max="11781" width="14.140625" style="478" customWidth="1"/>
    <col min="11782" max="11782" width="12.7109375" style="478" customWidth="1"/>
    <col min="11783" max="11783" width="13.5703125" style="478" customWidth="1"/>
    <col min="11784" max="11784" width="14" style="478" customWidth="1"/>
    <col min="11785" max="11785" width="13.85546875" style="478" customWidth="1"/>
    <col min="11786" max="11786" width="12.5703125" style="478" customWidth="1"/>
    <col min="11787" max="11789" width="12.7109375" style="478" customWidth="1"/>
    <col min="11790" max="11790" width="16.85546875" style="478" customWidth="1"/>
    <col min="11791" max="11791" width="12.140625" style="478" customWidth="1"/>
    <col min="11792" max="11792" width="15.140625" style="478" customWidth="1"/>
    <col min="11793" max="11819" width="8" style="478" customWidth="1"/>
    <col min="11820" max="12032" width="8" style="478"/>
    <col min="12033" max="12034" width="0" style="478" hidden="1" customWidth="1"/>
    <col min="12035" max="12035" width="6" style="478" customWidth="1"/>
    <col min="12036" max="12036" width="42.140625" style="478" customWidth="1"/>
    <col min="12037" max="12037" width="14.140625" style="478" customWidth="1"/>
    <col min="12038" max="12038" width="12.7109375" style="478" customWidth="1"/>
    <col min="12039" max="12039" width="13.5703125" style="478" customWidth="1"/>
    <col min="12040" max="12040" width="14" style="478" customWidth="1"/>
    <col min="12041" max="12041" width="13.85546875" style="478" customWidth="1"/>
    <col min="12042" max="12042" width="12.5703125" style="478" customWidth="1"/>
    <col min="12043" max="12045" width="12.7109375" style="478" customWidth="1"/>
    <col min="12046" max="12046" width="16.85546875" style="478" customWidth="1"/>
    <col min="12047" max="12047" width="12.140625" style="478" customWidth="1"/>
    <col min="12048" max="12048" width="15.140625" style="478" customWidth="1"/>
    <col min="12049" max="12075" width="8" style="478" customWidth="1"/>
    <col min="12076" max="12288" width="8" style="478"/>
    <col min="12289" max="12290" width="0" style="478" hidden="1" customWidth="1"/>
    <col min="12291" max="12291" width="6" style="478" customWidth="1"/>
    <col min="12292" max="12292" width="42.140625" style="478" customWidth="1"/>
    <col min="12293" max="12293" width="14.140625" style="478" customWidth="1"/>
    <col min="12294" max="12294" width="12.7109375" style="478" customWidth="1"/>
    <col min="12295" max="12295" width="13.5703125" style="478" customWidth="1"/>
    <col min="12296" max="12296" width="14" style="478" customWidth="1"/>
    <col min="12297" max="12297" width="13.85546875" style="478" customWidth="1"/>
    <col min="12298" max="12298" width="12.5703125" style="478" customWidth="1"/>
    <col min="12299" max="12301" width="12.7109375" style="478" customWidth="1"/>
    <col min="12302" max="12302" width="16.85546875" style="478" customWidth="1"/>
    <col min="12303" max="12303" width="12.140625" style="478" customWidth="1"/>
    <col min="12304" max="12304" width="15.140625" style="478" customWidth="1"/>
    <col min="12305" max="12331" width="8" style="478" customWidth="1"/>
    <col min="12332" max="12544" width="8" style="478"/>
    <col min="12545" max="12546" width="0" style="478" hidden="1" customWidth="1"/>
    <col min="12547" max="12547" width="6" style="478" customWidth="1"/>
    <col min="12548" max="12548" width="42.140625" style="478" customWidth="1"/>
    <col min="12549" max="12549" width="14.140625" style="478" customWidth="1"/>
    <col min="12550" max="12550" width="12.7109375" style="478" customWidth="1"/>
    <col min="12551" max="12551" width="13.5703125" style="478" customWidth="1"/>
    <col min="12552" max="12552" width="14" style="478" customWidth="1"/>
    <col min="12553" max="12553" width="13.85546875" style="478" customWidth="1"/>
    <col min="12554" max="12554" width="12.5703125" style="478" customWidth="1"/>
    <col min="12555" max="12557" width="12.7109375" style="478" customWidth="1"/>
    <col min="12558" max="12558" width="16.85546875" style="478" customWidth="1"/>
    <col min="12559" max="12559" width="12.140625" style="478" customWidth="1"/>
    <col min="12560" max="12560" width="15.140625" style="478" customWidth="1"/>
    <col min="12561" max="12587" width="8" style="478" customWidth="1"/>
    <col min="12588" max="12800" width="8" style="478"/>
    <col min="12801" max="12802" width="0" style="478" hidden="1" customWidth="1"/>
    <col min="12803" max="12803" width="6" style="478" customWidth="1"/>
    <col min="12804" max="12804" width="42.140625" style="478" customWidth="1"/>
    <col min="12805" max="12805" width="14.140625" style="478" customWidth="1"/>
    <col min="12806" max="12806" width="12.7109375" style="478" customWidth="1"/>
    <col min="12807" max="12807" width="13.5703125" style="478" customWidth="1"/>
    <col min="12808" max="12808" width="14" style="478" customWidth="1"/>
    <col min="12809" max="12809" width="13.85546875" style="478" customWidth="1"/>
    <col min="12810" max="12810" width="12.5703125" style="478" customWidth="1"/>
    <col min="12811" max="12813" width="12.7109375" style="478" customWidth="1"/>
    <col min="12814" max="12814" width="16.85546875" style="478" customWidth="1"/>
    <col min="12815" max="12815" width="12.140625" style="478" customWidth="1"/>
    <col min="12816" max="12816" width="15.140625" style="478" customWidth="1"/>
    <col min="12817" max="12843" width="8" style="478" customWidth="1"/>
    <col min="12844" max="13056" width="8" style="478"/>
    <col min="13057" max="13058" width="0" style="478" hidden="1" customWidth="1"/>
    <col min="13059" max="13059" width="6" style="478" customWidth="1"/>
    <col min="13060" max="13060" width="42.140625" style="478" customWidth="1"/>
    <col min="13061" max="13061" width="14.140625" style="478" customWidth="1"/>
    <col min="13062" max="13062" width="12.7109375" style="478" customWidth="1"/>
    <col min="13063" max="13063" width="13.5703125" style="478" customWidth="1"/>
    <col min="13064" max="13064" width="14" style="478" customWidth="1"/>
    <col min="13065" max="13065" width="13.85546875" style="478" customWidth="1"/>
    <col min="13066" max="13066" width="12.5703125" style="478" customWidth="1"/>
    <col min="13067" max="13069" width="12.7109375" style="478" customWidth="1"/>
    <col min="13070" max="13070" width="16.85546875" style="478" customWidth="1"/>
    <col min="13071" max="13071" width="12.140625" style="478" customWidth="1"/>
    <col min="13072" max="13072" width="15.140625" style="478" customWidth="1"/>
    <col min="13073" max="13099" width="8" style="478" customWidth="1"/>
    <col min="13100" max="13312" width="8" style="478"/>
    <col min="13313" max="13314" width="0" style="478" hidden="1" customWidth="1"/>
    <col min="13315" max="13315" width="6" style="478" customWidth="1"/>
    <col min="13316" max="13316" width="42.140625" style="478" customWidth="1"/>
    <col min="13317" max="13317" width="14.140625" style="478" customWidth="1"/>
    <col min="13318" max="13318" width="12.7109375" style="478" customWidth="1"/>
    <col min="13319" max="13319" width="13.5703125" style="478" customWidth="1"/>
    <col min="13320" max="13320" width="14" style="478" customWidth="1"/>
    <col min="13321" max="13321" width="13.85546875" style="478" customWidth="1"/>
    <col min="13322" max="13322" width="12.5703125" style="478" customWidth="1"/>
    <col min="13323" max="13325" width="12.7109375" style="478" customWidth="1"/>
    <col min="13326" max="13326" width="16.85546875" style="478" customWidth="1"/>
    <col min="13327" max="13327" width="12.140625" style="478" customWidth="1"/>
    <col min="13328" max="13328" width="15.140625" style="478" customWidth="1"/>
    <col min="13329" max="13355" width="8" style="478" customWidth="1"/>
    <col min="13356" max="13568" width="8" style="478"/>
    <col min="13569" max="13570" width="0" style="478" hidden="1" customWidth="1"/>
    <col min="13571" max="13571" width="6" style="478" customWidth="1"/>
    <col min="13572" max="13572" width="42.140625" style="478" customWidth="1"/>
    <col min="13573" max="13573" width="14.140625" style="478" customWidth="1"/>
    <col min="13574" max="13574" width="12.7109375" style="478" customWidth="1"/>
    <col min="13575" max="13575" width="13.5703125" style="478" customWidth="1"/>
    <col min="13576" max="13576" width="14" style="478" customWidth="1"/>
    <col min="13577" max="13577" width="13.85546875" style="478" customWidth="1"/>
    <col min="13578" max="13578" width="12.5703125" style="478" customWidth="1"/>
    <col min="13579" max="13581" width="12.7109375" style="478" customWidth="1"/>
    <col min="13582" max="13582" width="16.85546875" style="478" customWidth="1"/>
    <col min="13583" max="13583" width="12.140625" style="478" customWidth="1"/>
    <col min="13584" max="13584" width="15.140625" style="478" customWidth="1"/>
    <col min="13585" max="13611" width="8" style="478" customWidth="1"/>
    <col min="13612" max="13824" width="8" style="478"/>
    <col min="13825" max="13826" width="0" style="478" hidden="1" customWidth="1"/>
    <col min="13827" max="13827" width="6" style="478" customWidth="1"/>
    <col min="13828" max="13828" width="42.140625" style="478" customWidth="1"/>
    <col min="13829" max="13829" width="14.140625" style="478" customWidth="1"/>
    <col min="13830" max="13830" width="12.7109375" style="478" customWidth="1"/>
    <col min="13831" max="13831" width="13.5703125" style="478" customWidth="1"/>
    <col min="13832" max="13832" width="14" style="478" customWidth="1"/>
    <col min="13833" max="13833" width="13.85546875" style="478" customWidth="1"/>
    <col min="13834" max="13834" width="12.5703125" style="478" customWidth="1"/>
    <col min="13835" max="13837" width="12.7109375" style="478" customWidth="1"/>
    <col min="13838" max="13838" width="16.85546875" style="478" customWidth="1"/>
    <col min="13839" max="13839" width="12.140625" style="478" customWidth="1"/>
    <col min="13840" max="13840" width="15.140625" style="478" customWidth="1"/>
    <col min="13841" max="13867" width="8" style="478" customWidth="1"/>
    <col min="13868" max="14080" width="8" style="478"/>
    <col min="14081" max="14082" width="0" style="478" hidden="1" customWidth="1"/>
    <col min="14083" max="14083" width="6" style="478" customWidth="1"/>
    <col min="14084" max="14084" width="42.140625" style="478" customWidth="1"/>
    <col min="14085" max="14085" width="14.140625" style="478" customWidth="1"/>
    <col min="14086" max="14086" width="12.7109375" style="478" customWidth="1"/>
    <col min="14087" max="14087" width="13.5703125" style="478" customWidth="1"/>
    <col min="14088" max="14088" width="14" style="478" customWidth="1"/>
    <col min="14089" max="14089" width="13.85546875" style="478" customWidth="1"/>
    <col min="14090" max="14090" width="12.5703125" style="478" customWidth="1"/>
    <col min="14091" max="14093" width="12.7109375" style="478" customWidth="1"/>
    <col min="14094" max="14094" width="16.85546875" style="478" customWidth="1"/>
    <col min="14095" max="14095" width="12.140625" style="478" customWidth="1"/>
    <col min="14096" max="14096" width="15.140625" style="478" customWidth="1"/>
    <col min="14097" max="14123" width="8" style="478" customWidth="1"/>
    <col min="14124" max="14336" width="8" style="478"/>
    <col min="14337" max="14338" width="0" style="478" hidden="1" customWidth="1"/>
    <col min="14339" max="14339" width="6" style="478" customWidth="1"/>
    <col min="14340" max="14340" width="42.140625" style="478" customWidth="1"/>
    <col min="14341" max="14341" width="14.140625" style="478" customWidth="1"/>
    <col min="14342" max="14342" width="12.7109375" style="478" customWidth="1"/>
    <col min="14343" max="14343" width="13.5703125" style="478" customWidth="1"/>
    <col min="14344" max="14344" width="14" style="478" customWidth="1"/>
    <col min="14345" max="14345" width="13.85546875" style="478" customWidth="1"/>
    <col min="14346" max="14346" width="12.5703125" style="478" customWidth="1"/>
    <col min="14347" max="14349" width="12.7109375" style="478" customWidth="1"/>
    <col min="14350" max="14350" width="16.85546875" style="478" customWidth="1"/>
    <col min="14351" max="14351" width="12.140625" style="478" customWidth="1"/>
    <col min="14352" max="14352" width="15.140625" style="478" customWidth="1"/>
    <col min="14353" max="14379" width="8" style="478" customWidth="1"/>
    <col min="14380" max="14592" width="8" style="478"/>
    <col min="14593" max="14594" width="0" style="478" hidden="1" customWidth="1"/>
    <col min="14595" max="14595" width="6" style="478" customWidth="1"/>
    <col min="14596" max="14596" width="42.140625" style="478" customWidth="1"/>
    <col min="14597" max="14597" width="14.140625" style="478" customWidth="1"/>
    <col min="14598" max="14598" width="12.7109375" style="478" customWidth="1"/>
    <col min="14599" max="14599" width="13.5703125" style="478" customWidth="1"/>
    <col min="14600" max="14600" width="14" style="478" customWidth="1"/>
    <col min="14601" max="14601" width="13.85546875" style="478" customWidth="1"/>
    <col min="14602" max="14602" width="12.5703125" style="478" customWidth="1"/>
    <col min="14603" max="14605" width="12.7109375" style="478" customWidth="1"/>
    <col min="14606" max="14606" width="16.85546875" style="478" customWidth="1"/>
    <col min="14607" max="14607" width="12.140625" style="478" customWidth="1"/>
    <col min="14608" max="14608" width="15.140625" style="478" customWidth="1"/>
    <col min="14609" max="14635" width="8" style="478" customWidth="1"/>
    <col min="14636" max="14848" width="8" style="478"/>
    <col min="14849" max="14850" width="0" style="478" hidden="1" customWidth="1"/>
    <col min="14851" max="14851" width="6" style="478" customWidth="1"/>
    <col min="14852" max="14852" width="42.140625" style="478" customWidth="1"/>
    <col min="14853" max="14853" width="14.140625" style="478" customWidth="1"/>
    <col min="14854" max="14854" width="12.7109375" style="478" customWidth="1"/>
    <col min="14855" max="14855" width="13.5703125" style="478" customWidth="1"/>
    <col min="14856" max="14856" width="14" style="478" customWidth="1"/>
    <col min="14857" max="14857" width="13.85546875" style="478" customWidth="1"/>
    <col min="14858" max="14858" width="12.5703125" style="478" customWidth="1"/>
    <col min="14859" max="14861" width="12.7109375" style="478" customWidth="1"/>
    <col min="14862" max="14862" width="16.85546875" style="478" customWidth="1"/>
    <col min="14863" max="14863" width="12.140625" style="478" customWidth="1"/>
    <col min="14864" max="14864" width="15.140625" style="478" customWidth="1"/>
    <col min="14865" max="14891" width="8" style="478" customWidth="1"/>
    <col min="14892" max="15104" width="8" style="478"/>
    <col min="15105" max="15106" width="0" style="478" hidden="1" customWidth="1"/>
    <col min="15107" max="15107" width="6" style="478" customWidth="1"/>
    <col min="15108" max="15108" width="42.140625" style="478" customWidth="1"/>
    <col min="15109" max="15109" width="14.140625" style="478" customWidth="1"/>
    <col min="15110" max="15110" width="12.7109375" style="478" customWidth="1"/>
    <col min="15111" max="15111" width="13.5703125" style="478" customWidth="1"/>
    <col min="15112" max="15112" width="14" style="478" customWidth="1"/>
    <col min="15113" max="15113" width="13.85546875" style="478" customWidth="1"/>
    <col min="15114" max="15114" width="12.5703125" style="478" customWidth="1"/>
    <col min="15115" max="15117" width="12.7109375" style="478" customWidth="1"/>
    <col min="15118" max="15118" width="16.85546875" style="478" customWidth="1"/>
    <col min="15119" max="15119" width="12.140625" style="478" customWidth="1"/>
    <col min="15120" max="15120" width="15.140625" style="478" customWidth="1"/>
    <col min="15121" max="15147" width="8" style="478" customWidth="1"/>
    <col min="15148" max="15360" width="8" style="478"/>
    <col min="15361" max="15362" width="0" style="478" hidden="1" customWidth="1"/>
    <col min="15363" max="15363" width="6" style="478" customWidth="1"/>
    <col min="15364" max="15364" width="42.140625" style="478" customWidth="1"/>
    <col min="15365" max="15365" width="14.140625" style="478" customWidth="1"/>
    <col min="15366" max="15366" width="12.7109375" style="478" customWidth="1"/>
    <col min="15367" max="15367" width="13.5703125" style="478" customWidth="1"/>
    <col min="15368" max="15368" width="14" style="478" customWidth="1"/>
    <col min="15369" max="15369" width="13.85546875" style="478" customWidth="1"/>
    <col min="15370" max="15370" width="12.5703125" style="478" customWidth="1"/>
    <col min="15371" max="15373" width="12.7109375" style="478" customWidth="1"/>
    <col min="15374" max="15374" width="16.85546875" style="478" customWidth="1"/>
    <col min="15375" max="15375" width="12.140625" style="478" customWidth="1"/>
    <col min="15376" max="15376" width="15.140625" style="478" customWidth="1"/>
    <col min="15377" max="15403" width="8" style="478" customWidth="1"/>
    <col min="15404" max="15616" width="8" style="478"/>
    <col min="15617" max="15618" width="0" style="478" hidden="1" customWidth="1"/>
    <col min="15619" max="15619" width="6" style="478" customWidth="1"/>
    <col min="15620" max="15620" width="42.140625" style="478" customWidth="1"/>
    <col min="15621" max="15621" width="14.140625" style="478" customWidth="1"/>
    <col min="15622" max="15622" width="12.7109375" style="478" customWidth="1"/>
    <col min="15623" max="15623" width="13.5703125" style="478" customWidth="1"/>
    <col min="15624" max="15624" width="14" style="478" customWidth="1"/>
    <col min="15625" max="15625" width="13.85546875" style="478" customWidth="1"/>
    <col min="15626" max="15626" width="12.5703125" style="478" customWidth="1"/>
    <col min="15627" max="15629" width="12.7109375" style="478" customWidth="1"/>
    <col min="15630" max="15630" width="16.85546875" style="478" customWidth="1"/>
    <col min="15631" max="15631" width="12.140625" style="478" customWidth="1"/>
    <col min="15632" max="15632" width="15.140625" style="478" customWidth="1"/>
    <col min="15633" max="15659" width="8" style="478" customWidth="1"/>
    <col min="15660" max="15872" width="8" style="478"/>
    <col min="15873" max="15874" width="0" style="478" hidden="1" customWidth="1"/>
    <col min="15875" max="15875" width="6" style="478" customWidth="1"/>
    <col min="15876" max="15876" width="42.140625" style="478" customWidth="1"/>
    <col min="15877" max="15877" width="14.140625" style="478" customWidth="1"/>
    <col min="15878" max="15878" width="12.7109375" style="478" customWidth="1"/>
    <col min="15879" max="15879" width="13.5703125" style="478" customWidth="1"/>
    <col min="15880" max="15880" width="14" style="478" customWidth="1"/>
    <col min="15881" max="15881" width="13.85546875" style="478" customWidth="1"/>
    <col min="15882" max="15882" width="12.5703125" style="478" customWidth="1"/>
    <col min="15883" max="15885" width="12.7109375" style="478" customWidth="1"/>
    <col min="15886" max="15886" width="16.85546875" style="478" customWidth="1"/>
    <col min="15887" max="15887" width="12.140625" style="478" customWidth="1"/>
    <col min="15888" max="15888" width="15.140625" style="478" customWidth="1"/>
    <col min="15889" max="15915" width="8" style="478" customWidth="1"/>
    <col min="15916" max="16128" width="8" style="478"/>
    <col min="16129" max="16130" width="0" style="478" hidden="1" customWidth="1"/>
    <col min="16131" max="16131" width="6" style="478" customWidth="1"/>
    <col min="16132" max="16132" width="42.140625" style="478" customWidth="1"/>
    <col min="16133" max="16133" width="14.140625" style="478" customWidth="1"/>
    <col min="16134" max="16134" width="12.7109375" style="478" customWidth="1"/>
    <col min="16135" max="16135" width="13.5703125" style="478" customWidth="1"/>
    <col min="16136" max="16136" width="14" style="478" customWidth="1"/>
    <col min="16137" max="16137" width="13.85546875" style="478" customWidth="1"/>
    <col min="16138" max="16138" width="12.5703125" style="478" customWidth="1"/>
    <col min="16139" max="16141" width="12.7109375" style="478" customWidth="1"/>
    <col min="16142" max="16142" width="16.85546875" style="478" customWidth="1"/>
    <col min="16143" max="16143" width="12.140625" style="478" customWidth="1"/>
    <col min="16144" max="16144" width="15.140625" style="478" customWidth="1"/>
    <col min="16145" max="16171" width="8" style="478" customWidth="1"/>
    <col min="16172" max="16384" width="8" style="478"/>
  </cols>
  <sheetData>
    <row r="1" spans="1:43" s="421" customFormat="1">
      <c r="C1" s="422"/>
      <c r="D1" s="423"/>
      <c r="E1" s="424"/>
      <c r="F1" s="423"/>
      <c r="G1" s="423"/>
      <c r="H1" s="423"/>
      <c r="I1" s="423"/>
      <c r="J1" s="425"/>
      <c r="K1" s="425"/>
      <c r="L1" s="972"/>
      <c r="M1" s="973"/>
      <c r="N1" s="973"/>
      <c r="O1" s="426"/>
    </row>
    <row r="2" spans="1:43" s="421" customFormat="1" ht="12.75" customHeight="1">
      <c r="C2" s="422"/>
      <c r="D2" s="423"/>
      <c r="E2" s="424"/>
      <c r="F2" s="423"/>
      <c r="G2" s="423"/>
      <c r="H2" s="423"/>
      <c r="I2" s="423"/>
      <c r="J2" s="425"/>
      <c r="K2" s="425"/>
      <c r="L2" s="974" t="s">
        <v>1039</v>
      </c>
      <c r="M2" s="975"/>
      <c r="N2" s="975"/>
      <c r="O2" s="426"/>
    </row>
    <row r="3" spans="1:43" s="421" customFormat="1" ht="12.75" customHeight="1">
      <c r="C3" s="422"/>
      <c r="D3" s="423"/>
      <c r="E3" s="424"/>
      <c r="F3" s="423"/>
      <c r="G3" s="423"/>
      <c r="H3" s="423"/>
      <c r="I3" s="423"/>
      <c r="J3" s="425"/>
      <c r="K3" s="425"/>
      <c r="L3" s="976" t="s">
        <v>1252</v>
      </c>
      <c r="M3" s="976"/>
      <c r="N3" s="976"/>
      <c r="O3" s="976"/>
    </row>
    <row r="4" spans="1:43" s="421" customFormat="1">
      <c r="C4" s="422"/>
      <c r="D4" s="423"/>
      <c r="E4" s="424"/>
      <c r="F4" s="423"/>
      <c r="G4" s="423"/>
      <c r="H4" s="423"/>
      <c r="I4" s="423"/>
      <c r="J4" s="425"/>
      <c r="K4" s="425"/>
      <c r="L4" s="976"/>
      <c r="M4" s="976"/>
      <c r="N4" s="976"/>
      <c r="O4" s="976"/>
    </row>
    <row r="5" spans="1:43" s="421" customFormat="1">
      <c r="C5" s="422"/>
      <c r="D5" s="423"/>
      <c r="E5" s="424"/>
      <c r="F5" s="423"/>
      <c r="G5" s="423"/>
      <c r="H5" s="423"/>
      <c r="I5" s="423"/>
      <c r="J5" s="425"/>
      <c r="K5" s="425"/>
      <c r="L5" s="976"/>
      <c r="M5" s="976"/>
      <c r="N5" s="976"/>
      <c r="O5" s="976"/>
    </row>
    <row r="6" spans="1:43" s="421" customFormat="1">
      <c r="C6" s="422"/>
      <c r="D6" s="423"/>
      <c r="E6" s="424"/>
      <c r="F6" s="423"/>
      <c r="G6" s="423"/>
      <c r="H6" s="423"/>
      <c r="I6" s="423"/>
      <c r="J6" s="425"/>
      <c r="K6" s="425"/>
      <c r="L6" s="427"/>
      <c r="M6" s="427"/>
      <c r="N6" s="428"/>
    </row>
    <row r="7" spans="1:43" s="421" customFormat="1" ht="30.75" customHeight="1">
      <c r="B7" s="428"/>
      <c r="C7" s="840"/>
      <c r="D7" s="977" t="s">
        <v>1040</v>
      </c>
      <c r="E7" s="978"/>
      <c r="F7" s="978"/>
      <c r="G7" s="978"/>
      <c r="H7" s="978"/>
      <c r="I7" s="978"/>
      <c r="J7" s="978"/>
      <c r="K7" s="978"/>
      <c r="L7" s="978"/>
      <c r="M7" s="978"/>
      <c r="N7" s="978"/>
    </row>
    <row r="8" spans="1:43" s="421" customFormat="1" ht="16.5" customHeight="1">
      <c r="B8" s="428"/>
      <c r="C8" s="840"/>
      <c r="D8" s="840"/>
      <c r="E8" s="841"/>
      <c r="F8" s="979" t="s">
        <v>1041</v>
      </c>
      <c r="G8" s="980"/>
      <c r="H8" s="980"/>
      <c r="I8" s="980"/>
      <c r="J8" s="842"/>
      <c r="K8" s="840"/>
      <c r="L8" s="429"/>
      <c r="M8" s="429"/>
      <c r="N8" s="429"/>
    </row>
    <row r="9" spans="1:43" s="421" customFormat="1" ht="12.75" customHeight="1" thickBot="1">
      <c r="C9" s="430"/>
      <c r="D9" s="430"/>
      <c r="E9" s="431"/>
      <c r="F9" s="430"/>
      <c r="G9" s="430"/>
      <c r="H9" s="430"/>
      <c r="I9" s="430"/>
      <c r="J9" s="430"/>
      <c r="K9" s="430"/>
      <c r="L9" s="430"/>
      <c r="M9" s="430"/>
      <c r="N9" s="428"/>
      <c r="O9" s="432" t="s">
        <v>1042</v>
      </c>
    </row>
    <row r="10" spans="1:43" s="433" customFormat="1" ht="15" customHeight="1">
      <c r="C10" s="434"/>
      <c r="D10" s="966" t="s">
        <v>1043</v>
      </c>
      <c r="E10" s="968" t="s">
        <v>1044</v>
      </c>
      <c r="F10" s="970" t="s">
        <v>1045</v>
      </c>
      <c r="G10" s="971"/>
      <c r="H10" s="971"/>
      <c r="I10" s="971"/>
      <c r="J10" s="971"/>
      <c r="K10" s="971"/>
      <c r="L10" s="971"/>
      <c r="M10" s="971"/>
      <c r="N10" s="971"/>
      <c r="O10" s="971"/>
    </row>
    <row r="11" spans="1:43" s="433" customFormat="1" ht="34.5" customHeight="1">
      <c r="C11" s="435"/>
      <c r="D11" s="967"/>
      <c r="E11" s="969"/>
      <c r="F11" s="436" t="s">
        <v>1046</v>
      </c>
      <c r="G11" s="437" t="s">
        <v>1047</v>
      </c>
      <c r="H11" s="438" t="s">
        <v>1048</v>
      </c>
      <c r="I11" s="438" t="s">
        <v>1049</v>
      </c>
      <c r="J11" s="438" t="s">
        <v>1050</v>
      </c>
      <c r="K11" s="438" t="s">
        <v>1051</v>
      </c>
      <c r="L11" s="438" t="s">
        <v>1052</v>
      </c>
      <c r="M11" s="438" t="s">
        <v>1053</v>
      </c>
      <c r="N11" s="439" t="s">
        <v>1054</v>
      </c>
      <c r="O11" s="438" t="s">
        <v>1055</v>
      </c>
    </row>
    <row r="12" spans="1:43" s="433" customFormat="1" ht="13.5" thickBot="1">
      <c r="C12" s="440" t="s">
        <v>0</v>
      </c>
      <c r="D12" s="441" t="s">
        <v>1056</v>
      </c>
      <c r="E12" s="988">
        <v>1</v>
      </c>
      <c r="F12" s="442">
        <v>2</v>
      </c>
      <c r="G12" s="443">
        <f t="shared" ref="G12:N12" si="0">F12+1</f>
        <v>3</v>
      </c>
      <c r="H12" s="442">
        <f t="shared" si="0"/>
        <v>4</v>
      </c>
      <c r="I12" s="442">
        <f t="shared" si="0"/>
        <v>5</v>
      </c>
      <c r="J12" s="442">
        <f t="shared" si="0"/>
        <v>6</v>
      </c>
      <c r="K12" s="442">
        <f t="shared" si="0"/>
        <v>7</v>
      </c>
      <c r="L12" s="442">
        <f t="shared" si="0"/>
        <v>8</v>
      </c>
      <c r="M12" s="442">
        <f t="shared" si="0"/>
        <v>9</v>
      </c>
      <c r="N12" s="442">
        <f t="shared" si="0"/>
        <v>10</v>
      </c>
      <c r="O12" s="444">
        <v>11</v>
      </c>
    </row>
    <row r="13" spans="1:43" s="451" customFormat="1" ht="48" customHeight="1" thickBot="1">
      <c r="A13" s="445"/>
      <c r="B13" s="446"/>
      <c r="C13" s="447" t="s">
        <v>1057</v>
      </c>
      <c r="D13" s="448" t="s">
        <v>1058</v>
      </c>
      <c r="E13" s="989">
        <f>SUM(E14:E20)</f>
        <v>12913.5</v>
      </c>
      <c r="F13" s="590">
        <f t="shared" ref="E13:N13" si="1">SUM(F14:F20)</f>
        <v>1391.9</v>
      </c>
      <c r="G13" s="590">
        <f t="shared" si="1"/>
        <v>1699.7</v>
      </c>
      <c r="H13" s="590">
        <f t="shared" si="1"/>
        <v>785.7</v>
      </c>
      <c r="I13" s="590">
        <f t="shared" si="1"/>
        <v>853.1</v>
      </c>
      <c r="J13" s="590">
        <f t="shared" si="1"/>
        <v>445.8</v>
      </c>
      <c r="K13" s="590">
        <f t="shared" si="1"/>
        <v>540.4</v>
      </c>
      <c r="L13" s="590">
        <f t="shared" si="1"/>
        <v>682.00000000000011</v>
      </c>
      <c r="M13" s="590">
        <f t="shared" si="1"/>
        <v>954.00000000000011</v>
      </c>
      <c r="N13" s="590">
        <f t="shared" si="1"/>
        <v>1532.3999999999999</v>
      </c>
      <c r="O13" s="590">
        <f>SUM(O14:O20)</f>
        <v>4028.5</v>
      </c>
      <c r="P13" s="449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</row>
    <row r="14" spans="1:43" s="433" customFormat="1" ht="27.75" customHeight="1">
      <c r="C14" s="452" t="s">
        <v>1</v>
      </c>
      <c r="D14" s="453" t="s">
        <v>1059</v>
      </c>
      <c r="E14" s="990">
        <f t="shared" ref="E14:E20" si="2">SUM(F14:O14)</f>
        <v>4269.5</v>
      </c>
      <c r="F14" s="592">
        <v>378.6</v>
      </c>
      <c r="G14" s="592">
        <v>513.6</v>
      </c>
      <c r="H14" s="592">
        <v>220.6</v>
      </c>
      <c r="I14" s="592">
        <v>312.60000000000002</v>
      </c>
      <c r="J14" s="592">
        <v>155.5</v>
      </c>
      <c r="K14" s="593">
        <v>216.8</v>
      </c>
      <c r="L14" s="593">
        <v>160.1</v>
      </c>
      <c r="M14" s="593">
        <v>236.4</v>
      </c>
      <c r="N14" s="594">
        <v>508.1</v>
      </c>
      <c r="O14" s="595">
        <v>1567.2</v>
      </c>
      <c r="P14" s="454"/>
    </row>
    <row r="15" spans="1:43" s="433" customFormat="1" ht="25.5">
      <c r="C15" s="455" t="s">
        <v>2</v>
      </c>
      <c r="D15" s="456" t="s">
        <v>1060</v>
      </c>
      <c r="E15" s="990">
        <f t="shared" si="2"/>
        <v>0</v>
      </c>
      <c r="F15" s="596"/>
      <c r="G15" s="596"/>
      <c r="H15" s="596"/>
      <c r="I15" s="596"/>
      <c r="J15" s="596"/>
      <c r="K15" s="597"/>
      <c r="L15" s="597"/>
      <c r="M15" s="597"/>
      <c r="N15" s="598"/>
      <c r="O15" s="599"/>
    </row>
    <row r="16" spans="1:43" s="433" customFormat="1" ht="78.75" customHeight="1">
      <c r="C16" s="457" t="s">
        <v>3</v>
      </c>
      <c r="D16" s="458" t="s">
        <v>1061</v>
      </c>
      <c r="E16" s="990">
        <f t="shared" si="2"/>
        <v>5613.8</v>
      </c>
      <c r="F16" s="600">
        <v>497.8</v>
      </c>
      <c r="G16" s="600">
        <v>675.3</v>
      </c>
      <c r="H16" s="600">
        <v>290.10000000000002</v>
      </c>
      <c r="I16" s="600">
        <v>411</v>
      </c>
      <c r="J16" s="600">
        <v>204.4</v>
      </c>
      <c r="K16" s="600">
        <v>285</v>
      </c>
      <c r="L16" s="600">
        <v>210.6</v>
      </c>
      <c r="M16" s="600">
        <v>310.8</v>
      </c>
      <c r="N16" s="601">
        <v>668</v>
      </c>
      <c r="O16" s="602">
        <v>2060.8000000000002</v>
      </c>
    </row>
    <row r="17" spans="1:43" s="433" customFormat="1" ht="25.5">
      <c r="C17" s="459" t="s">
        <v>4</v>
      </c>
      <c r="D17" s="460" t="s">
        <v>1062</v>
      </c>
      <c r="E17" s="990">
        <f t="shared" si="2"/>
        <v>2088.2000000000003</v>
      </c>
      <c r="F17" s="603">
        <f>363.64-0.04+100</f>
        <v>463.59999999999997</v>
      </c>
      <c r="G17" s="603">
        <f>181.82-0.02+200</f>
        <v>381.79999999999995</v>
      </c>
      <c r="H17" s="603">
        <f>136.37+0.03+100</f>
        <v>236.4</v>
      </c>
      <c r="I17" s="603">
        <f>90.91-0.01</f>
        <v>90.899999999999991</v>
      </c>
      <c r="J17" s="603">
        <f>47.28+0.02</f>
        <v>47.300000000000004</v>
      </c>
      <c r="K17" s="603"/>
      <c r="L17" s="603">
        <f>272.73-0.03</f>
        <v>272.70000000000005</v>
      </c>
      <c r="M17" s="603">
        <f>318.19+0.01+50</f>
        <v>368.2</v>
      </c>
      <c r="N17" s="603">
        <f>227.28+0.02</f>
        <v>227.3</v>
      </c>
      <c r="O17" s="602"/>
    </row>
    <row r="18" spans="1:43" s="433" customFormat="1" ht="41.25" customHeight="1">
      <c r="C18" s="985" t="s">
        <v>5</v>
      </c>
      <c r="D18" s="986" t="s">
        <v>1063</v>
      </c>
      <c r="E18" s="991">
        <f t="shared" ref="E18" si="3">SUM(F18:O18)</f>
        <v>541.50000000000011</v>
      </c>
      <c r="F18" s="600">
        <v>51.9</v>
      </c>
      <c r="G18" s="600">
        <v>129</v>
      </c>
      <c r="H18" s="600">
        <v>38.6</v>
      </c>
      <c r="I18" s="600">
        <v>38.6</v>
      </c>
      <c r="J18" s="600">
        <v>38.6</v>
      </c>
      <c r="K18" s="600">
        <v>38.6</v>
      </c>
      <c r="L18" s="600">
        <v>38.6</v>
      </c>
      <c r="M18" s="600">
        <v>38.6</v>
      </c>
      <c r="N18" s="601">
        <v>129</v>
      </c>
      <c r="O18" s="602"/>
    </row>
    <row r="19" spans="1:43" s="433" customFormat="1" ht="41.25" customHeight="1">
      <c r="C19" s="985" t="s">
        <v>1009</v>
      </c>
      <c r="D19" s="986" t="s">
        <v>1261</v>
      </c>
      <c r="E19" s="991">
        <f t="shared" si="2"/>
        <v>306</v>
      </c>
      <c r="F19" s="600"/>
      <c r="G19" s="600"/>
      <c r="H19" s="600"/>
      <c r="I19" s="600"/>
      <c r="J19" s="600"/>
      <c r="K19" s="600"/>
      <c r="L19" s="600"/>
      <c r="M19" s="600"/>
      <c r="N19" s="601"/>
      <c r="O19" s="602">
        <v>306</v>
      </c>
    </row>
    <row r="20" spans="1:43" s="433" customFormat="1" ht="41.25" customHeight="1" thickBot="1">
      <c r="C20" s="461" t="s">
        <v>1263</v>
      </c>
      <c r="D20" s="983" t="s">
        <v>1264</v>
      </c>
      <c r="E20" s="991">
        <f t="shared" si="2"/>
        <v>94.5</v>
      </c>
      <c r="F20" s="604"/>
      <c r="G20" s="604"/>
      <c r="H20" s="604"/>
      <c r="I20" s="604"/>
      <c r="J20" s="604"/>
      <c r="K20" s="604"/>
      <c r="L20" s="604"/>
      <c r="M20" s="604"/>
      <c r="N20" s="605"/>
      <c r="O20" s="984">
        <v>94.5</v>
      </c>
    </row>
    <row r="21" spans="1:43" s="466" customFormat="1" ht="43.5" thickBot="1">
      <c r="A21" s="462"/>
      <c r="B21" s="463"/>
      <c r="C21" s="464" t="s">
        <v>1064</v>
      </c>
      <c r="D21" s="465" t="s">
        <v>1065</v>
      </c>
      <c r="E21" s="992">
        <f>SUM(E22:E23)</f>
        <v>23486.190499999997</v>
      </c>
      <c r="F21" s="606">
        <f>SUM(F22:F23)</f>
        <v>2803.6434600000002</v>
      </c>
      <c r="G21" s="606">
        <f t="shared" ref="G21:O21" si="4">SUM(G22:G23)</f>
        <v>2526.5111999999999</v>
      </c>
      <c r="H21" s="606">
        <f t="shared" si="4"/>
        <v>2180.2033299999998</v>
      </c>
      <c r="I21" s="606">
        <f t="shared" si="4"/>
        <v>2945.8206200000004</v>
      </c>
      <c r="J21" s="606">
        <f t="shared" si="4"/>
        <v>1904.4955400000001</v>
      </c>
      <c r="K21" s="606">
        <f t="shared" si="4"/>
        <v>2015.9422199999999</v>
      </c>
      <c r="L21" s="606">
        <f t="shared" si="4"/>
        <v>2318.4125800000002</v>
      </c>
      <c r="M21" s="606">
        <f t="shared" si="4"/>
        <v>2868.8582299999998</v>
      </c>
      <c r="N21" s="606">
        <f t="shared" si="4"/>
        <v>3692.8166499999998</v>
      </c>
      <c r="O21" s="606">
        <f t="shared" si="4"/>
        <v>229.48667</v>
      </c>
      <c r="P21" s="449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</row>
    <row r="22" spans="1:43" s="433" customFormat="1" ht="57.75" customHeight="1">
      <c r="C22" s="467" t="s">
        <v>7</v>
      </c>
      <c r="D22" s="468" t="s">
        <v>1066</v>
      </c>
      <c r="E22" s="990">
        <f>SUM(F22:O22)</f>
        <v>20862.171999999999</v>
      </c>
      <c r="F22" s="607">
        <f>2622.1+36.36</f>
        <v>2658.46</v>
      </c>
      <c r="G22" s="607">
        <f>2137.3+18.18+150</f>
        <v>2305.48</v>
      </c>
      <c r="H22" s="607">
        <f>2061.6+13.63</f>
        <v>2075.23</v>
      </c>
      <c r="I22" s="607">
        <f>2503.9+9.09+200</f>
        <v>2712.9900000000002</v>
      </c>
      <c r="J22" s="608">
        <f>1492.2+4.72+300</f>
        <v>1796.92</v>
      </c>
      <c r="K22" s="609">
        <f>1629+200</f>
        <v>1829</v>
      </c>
      <c r="L22" s="609">
        <f>1798.5+245.59+27.45</f>
        <v>2071.54</v>
      </c>
      <c r="M22" s="609">
        <f>2152.2+31.812</f>
        <v>2184.0119999999997</v>
      </c>
      <c r="N22" s="609">
        <f>3205.82+22.72</f>
        <v>3228.54</v>
      </c>
      <c r="O22" s="599"/>
      <c r="P22" s="469"/>
      <c r="Q22" s="469"/>
    </row>
    <row r="23" spans="1:43" s="433" customFormat="1" ht="60">
      <c r="C23" s="483" t="s">
        <v>1253</v>
      </c>
      <c r="D23" s="176" t="s">
        <v>312</v>
      </c>
      <c r="E23" s="990">
        <f>SUM(E24:E29)</f>
        <v>2624.0185000000001</v>
      </c>
      <c r="F23" s="591">
        <f>SUM(F24:F29)</f>
        <v>145.18346</v>
      </c>
      <c r="G23" s="591">
        <f>SUM(G24:G29)</f>
        <v>221.03120000000001</v>
      </c>
      <c r="H23" s="591">
        <f>SUM(H24:H29)</f>
        <v>104.97333</v>
      </c>
      <c r="I23" s="591">
        <f>SUM(I24:I29)</f>
        <v>232.83062000000001</v>
      </c>
      <c r="J23" s="591">
        <f t="shared" ref="J23:O23" si="5">SUM(J24:J29)</f>
        <v>107.57553999999999</v>
      </c>
      <c r="K23" s="591">
        <f>SUM(K24:K29)</f>
        <v>186.94222000000002</v>
      </c>
      <c r="L23" s="591">
        <f t="shared" si="5"/>
        <v>246.87258</v>
      </c>
      <c r="M23" s="591">
        <f t="shared" si="5"/>
        <v>684.84623000000011</v>
      </c>
      <c r="N23" s="591">
        <f t="shared" si="5"/>
        <v>464.27665000000002</v>
      </c>
      <c r="O23" s="591">
        <f t="shared" si="5"/>
        <v>229.48667</v>
      </c>
      <c r="P23" s="469"/>
      <c r="Q23" s="469"/>
    </row>
    <row r="24" spans="1:43" s="433" customFormat="1">
      <c r="C24" s="483" t="s">
        <v>1254</v>
      </c>
      <c r="D24" s="484" t="s">
        <v>1069</v>
      </c>
      <c r="E24" s="993">
        <f t="shared" ref="E24:E30" si="6">SUM(F24:O24)</f>
        <v>115.59999999999998</v>
      </c>
      <c r="F24" s="610">
        <v>13.6</v>
      </c>
      <c r="G24" s="610">
        <v>13.6</v>
      </c>
      <c r="H24" s="610">
        <v>13.6</v>
      </c>
      <c r="I24" s="610">
        <v>6.8</v>
      </c>
      <c r="J24" s="611">
        <v>13.6</v>
      </c>
      <c r="K24" s="612">
        <v>13.6</v>
      </c>
      <c r="L24" s="612">
        <v>13.6</v>
      </c>
      <c r="M24" s="612">
        <v>13.6</v>
      </c>
      <c r="N24" s="612">
        <v>6.8</v>
      </c>
      <c r="O24" s="599">
        <v>6.8</v>
      </c>
      <c r="P24" s="469"/>
      <c r="Q24" s="469"/>
    </row>
    <row r="25" spans="1:43" s="433" customFormat="1">
      <c r="C25" s="483" t="s">
        <v>1255</v>
      </c>
      <c r="D25" s="484" t="s">
        <v>73</v>
      </c>
      <c r="E25" s="993">
        <f t="shared" si="6"/>
        <v>476.37850000000003</v>
      </c>
      <c r="F25" s="610">
        <v>39.983460000000001</v>
      </c>
      <c r="G25" s="610">
        <f>48.3312</f>
        <v>48.331200000000003</v>
      </c>
      <c r="H25" s="610">
        <v>24.67333</v>
      </c>
      <c r="I25" s="610">
        <v>27.930620000000001</v>
      </c>
      <c r="J25" s="611">
        <v>10.07554</v>
      </c>
      <c r="K25" s="612">
        <v>15.14222</v>
      </c>
      <c r="L25" s="612">
        <v>22.17258</v>
      </c>
      <c r="M25" s="612">
        <v>170.10623000000001</v>
      </c>
      <c r="N25" s="612">
        <f>41.87665</f>
        <v>41.876649999999998</v>
      </c>
      <c r="O25" s="599">
        <v>76.086669999999998</v>
      </c>
      <c r="P25" s="469"/>
      <c r="Q25" s="469"/>
    </row>
    <row r="26" spans="1:43" s="851" customFormat="1">
      <c r="C26" s="852" t="s">
        <v>1256</v>
      </c>
      <c r="D26" s="460" t="s">
        <v>311</v>
      </c>
      <c r="E26" s="993">
        <f t="shared" si="6"/>
        <v>880</v>
      </c>
      <c r="F26" s="853"/>
      <c r="G26" s="853">
        <v>60</v>
      </c>
      <c r="H26" s="853"/>
      <c r="I26" s="853"/>
      <c r="J26" s="853"/>
      <c r="K26" s="853"/>
      <c r="L26" s="853">
        <v>100</v>
      </c>
      <c r="M26" s="853">
        <f>100+120+200</f>
        <v>420</v>
      </c>
      <c r="N26" s="853">
        <f>250+50</f>
        <v>300</v>
      </c>
      <c r="O26" s="854"/>
      <c r="P26" s="855"/>
      <c r="Q26" s="855"/>
    </row>
    <row r="27" spans="1:43" s="433" customFormat="1">
      <c r="C27" s="483" t="s">
        <v>1257</v>
      </c>
      <c r="D27" s="484" t="s">
        <v>83</v>
      </c>
      <c r="E27" s="993">
        <f t="shared" si="6"/>
        <v>68.44</v>
      </c>
      <c r="F27" s="610"/>
      <c r="G27" s="610"/>
      <c r="H27" s="610">
        <f>550-550</f>
        <v>0</v>
      </c>
      <c r="I27" s="610"/>
      <c r="J27" s="611"/>
      <c r="K27" s="612"/>
      <c r="L27" s="612">
        <v>50</v>
      </c>
      <c r="M27" s="612">
        <v>18.440000000000001</v>
      </c>
      <c r="N27" s="612"/>
      <c r="O27" s="599"/>
      <c r="P27" s="469"/>
      <c r="Q27" s="469"/>
    </row>
    <row r="28" spans="1:43" s="433" customFormat="1" ht="25.5">
      <c r="C28" s="483" t="s">
        <v>1258</v>
      </c>
      <c r="D28" s="484" t="s">
        <v>1070</v>
      </c>
      <c r="E28" s="993">
        <f t="shared" si="6"/>
        <v>851.6</v>
      </c>
      <c r="F28" s="610">
        <f>40.2-40.2+91.6</f>
        <v>91.6</v>
      </c>
      <c r="G28" s="610">
        <f>43.5-43.5+99.1</f>
        <v>99.1</v>
      </c>
      <c r="H28" s="610">
        <f>29.2-29.2+66.7</f>
        <v>66.7</v>
      </c>
      <c r="I28" s="610">
        <f>43-43+98.1</f>
        <v>98.1</v>
      </c>
      <c r="J28" s="611">
        <f>22.8-22.8+51.9</f>
        <v>51.9</v>
      </c>
      <c r="K28" s="612">
        <f>25.5-25.5+58.2</f>
        <v>58.2</v>
      </c>
      <c r="L28" s="612">
        <f>26.8-26.8+61.1</f>
        <v>61.1</v>
      </c>
      <c r="M28" s="612">
        <f>27.5-27.5+62.7</f>
        <v>62.7</v>
      </c>
      <c r="N28" s="612">
        <f>50.7-50.7+115.6</f>
        <v>115.6</v>
      </c>
      <c r="O28" s="599">
        <f>64.3-64.3+146.6</f>
        <v>146.6</v>
      </c>
      <c r="P28" s="469"/>
      <c r="Q28" s="469"/>
    </row>
    <row r="29" spans="1:43" s="473" customFormat="1" ht="27" customHeight="1" thickBot="1">
      <c r="A29" s="470"/>
      <c r="B29" s="471"/>
      <c r="C29" s="472" t="s">
        <v>1259</v>
      </c>
      <c r="D29" s="176" t="s">
        <v>1265</v>
      </c>
      <c r="E29" s="994">
        <f t="shared" si="6"/>
        <v>232</v>
      </c>
      <c r="F29" s="613"/>
      <c r="G29" s="613"/>
      <c r="H29" s="613"/>
      <c r="I29" s="613">
        <v>100</v>
      </c>
      <c r="J29" s="613">
        <v>32</v>
      </c>
      <c r="K29" s="613">
        <v>100</v>
      </c>
      <c r="L29" s="613"/>
      <c r="M29" s="613"/>
      <c r="N29" s="614"/>
      <c r="O29" s="615"/>
      <c r="P29" s="449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1"/>
      <c r="AI29" s="421"/>
      <c r="AJ29" s="421"/>
      <c r="AK29" s="421"/>
      <c r="AL29" s="421"/>
      <c r="AM29" s="421"/>
      <c r="AN29" s="421"/>
      <c r="AO29" s="421"/>
      <c r="AP29" s="421"/>
      <c r="AQ29" s="421"/>
    </row>
    <row r="30" spans="1:43" s="473" customFormat="1" ht="21.75" hidden="1" customHeight="1" thickBot="1">
      <c r="A30" s="470"/>
      <c r="B30" s="471"/>
      <c r="C30" s="474" t="s">
        <v>1068</v>
      </c>
      <c r="D30" s="475"/>
      <c r="E30" s="995">
        <f t="shared" si="6"/>
        <v>0</v>
      </c>
      <c r="F30" s="616"/>
      <c r="G30" s="616"/>
      <c r="H30" s="616"/>
      <c r="I30" s="616"/>
      <c r="J30" s="616"/>
      <c r="K30" s="616"/>
      <c r="L30" s="616"/>
      <c r="M30" s="616"/>
      <c r="N30" s="617"/>
      <c r="O30" s="615"/>
      <c r="P30" s="449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1"/>
      <c r="AJ30" s="421"/>
      <c r="AK30" s="421"/>
      <c r="AL30" s="421"/>
      <c r="AM30" s="421"/>
      <c r="AN30" s="421"/>
      <c r="AO30" s="421"/>
      <c r="AP30" s="421"/>
      <c r="AQ30" s="421"/>
    </row>
    <row r="31" spans="1:43" s="473" customFormat="1" ht="29.25" thickBot="1">
      <c r="A31" s="470"/>
      <c r="B31" s="471"/>
      <c r="C31" s="447" t="s">
        <v>1260</v>
      </c>
      <c r="D31" s="476" t="s">
        <v>1067</v>
      </c>
      <c r="E31" s="987">
        <f>E13+E21</f>
        <v>36399.690499999997</v>
      </c>
      <c r="F31" s="618">
        <f>F13+F21</f>
        <v>4195.5434600000008</v>
      </c>
      <c r="G31" s="618">
        <f>G13+G21</f>
        <v>4226.2111999999997</v>
      </c>
      <c r="H31" s="618">
        <f>H13+H21</f>
        <v>2965.9033300000001</v>
      </c>
      <c r="I31" s="618">
        <f>I13+I21</f>
        <v>3798.9206200000003</v>
      </c>
      <c r="J31" s="618">
        <f>J13+J21</f>
        <v>2350.2955400000001</v>
      </c>
      <c r="K31" s="618">
        <f>K13+K21</f>
        <v>2556.34222</v>
      </c>
      <c r="L31" s="618">
        <f>L13+L21</f>
        <v>3000.4125800000002</v>
      </c>
      <c r="M31" s="618">
        <f>M13+M21</f>
        <v>3822.8582299999998</v>
      </c>
      <c r="N31" s="618">
        <f>N13+N21</f>
        <v>5225.2166499999994</v>
      </c>
      <c r="O31" s="618">
        <f>O13+O21</f>
        <v>4257.9866700000002</v>
      </c>
      <c r="P31" s="477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1"/>
      <c r="AL31" s="421"/>
      <c r="AM31" s="421"/>
      <c r="AN31" s="421"/>
      <c r="AO31" s="421"/>
      <c r="AP31" s="421"/>
      <c r="AQ31" s="421"/>
    </row>
    <row r="32" spans="1:43">
      <c r="E32" s="481">
        <f>36305.19+94.5</f>
        <v>36399.69</v>
      </c>
    </row>
    <row r="33" spans="5:5">
      <c r="E33" s="481">
        <v>3</v>
      </c>
    </row>
  </sheetData>
  <mergeCells count="8">
    <mergeCell ref="L1:N1"/>
    <mergeCell ref="L2:N2"/>
    <mergeCell ref="L3:O5"/>
    <mergeCell ref="D7:N7"/>
    <mergeCell ref="F8:I8"/>
    <mergeCell ref="D10:D11"/>
    <mergeCell ref="E10:E11"/>
    <mergeCell ref="F10:O10"/>
  </mergeCells>
  <pageMargins left="0.39370078740157483" right="0.15748031496062992" top="0.82677165354330717" bottom="0.19685039370078741" header="0.39370078740157483" footer="0.19685039370078741"/>
  <pageSetup paperSize="9" scale="63" firstPageNumber="150" fitToHeight="8" orientation="landscape" useFirstPageNumber="1" r:id="rId1"/>
  <headerFooter alignWithMargins="0"/>
  <colBreaks count="1" manualBreakCount="1">
    <brk id="15" min="1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1:C14"/>
  <sheetViews>
    <sheetView view="pageBreakPreview" zoomScale="60" workbookViewId="0">
      <selection activeCell="A4" sqref="A4"/>
    </sheetView>
  </sheetViews>
  <sheetFormatPr defaultRowHeight="12.75"/>
  <cols>
    <col min="1" max="1" width="63.85546875" customWidth="1"/>
    <col min="2" max="2" width="17.85546875" style="790" customWidth="1"/>
    <col min="3" max="3" width="19.28515625" style="790" customWidth="1"/>
    <col min="4" max="4" width="13.42578125" customWidth="1"/>
    <col min="5" max="5" width="12.7109375" customWidth="1"/>
    <col min="257" max="257" width="63.85546875" customWidth="1"/>
    <col min="258" max="258" width="17.85546875" customWidth="1"/>
    <col min="259" max="259" width="19.28515625" customWidth="1"/>
    <col min="260" max="260" width="13.42578125" customWidth="1"/>
    <col min="261" max="261" width="12.7109375" customWidth="1"/>
    <col min="513" max="513" width="63.85546875" customWidth="1"/>
    <col min="514" max="514" width="17.85546875" customWidth="1"/>
    <col min="515" max="515" width="19.28515625" customWidth="1"/>
    <col min="516" max="516" width="13.42578125" customWidth="1"/>
    <col min="517" max="517" width="12.7109375" customWidth="1"/>
    <col min="769" max="769" width="63.85546875" customWidth="1"/>
    <col min="770" max="770" width="17.85546875" customWidth="1"/>
    <col min="771" max="771" width="19.28515625" customWidth="1"/>
    <col min="772" max="772" width="13.42578125" customWidth="1"/>
    <col min="773" max="773" width="12.7109375" customWidth="1"/>
    <col min="1025" max="1025" width="63.85546875" customWidth="1"/>
    <col min="1026" max="1026" width="17.85546875" customWidth="1"/>
    <col min="1027" max="1027" width="19.28515625" customWidth="1"/>
    <col min="1028" max="1028" width="13.42578125" customWidth="1"/>
    <col min="1029" max="1029" width="12.7109375" customWidth="1"/>
    <col min="1281" max="1281" width="63.85546875" customWidth="1"/>
    <col min="1282" max="1282" width="17.85546875" customWidth="1"/>
    <col min="1283" max="1283" width="19.28515625" customWidth="1"/>
    <col min="1284" max="1284" width="13.42578125" customWidth="1"/>
    <col min="1285" max="1285" width="12.7109375" customWidth="1"/>
    <col min="1537" max="1537" width="63.85546875" customWidth="1"/>
    <col min="1538" max="1538" width="17.85546875" customWidth="1"/>
    <col min="1539" max="1539" width="19.28515625" customWidth="1"/>
    <col min="1540" max="1540" width="13.42578125" customWidth="1"/>
    <col min="1541" max="1541" width="12.7109375" customWidth="1"/>
    <col min="1793" max="1793" width="63.85546875" customWidth="1"/>
    <col min="1794" max="1794" width="17.85546875" customWidth="1"/>
    <col min="1795" max="1795" width="19.28515625" customWidth="1"/>
    <col min="1796" max="1796" width="13.42578125" customWidth="1"/>
    <col min="1797" max="1797" width="12.7109375" customWidth="1"/>
    <col min="2049" max="2049" width="63.85546875" customWidth="1"/>
    <col min="2050" max="2050" width="17.85546875" customWidth="1"/>
    <col min="2051" max="2051" width="19.28515625" customWidth="1"/>
    <col min="2052" max="2052" width="13.42578125" customWidth="1"/>
    <col min="2053" max="2053" width="12.7109375" customWidth="1"/>
    <col min="2305" max="2305" width="63.85546875" customWidth="1"/>
    <col min="2306" max="2306" width="17.85546875" customWidth="1"/>
    <col min="2307" max="2307" width="19.28515625" customWidth="1"/>
    <col min="2308" max="2308" width="13.42578125" customWidth="1"/>
    <col min="2309" max="2309" width="12.7109375" customWidth="1"/>
    <col min="2561" max="2561" width="63.85546875" customWidth="1"/>
    <col min="2562" max="2562" width="17.85546875" customWidth="1"/>
    <col min="2563" max="2563" width="19.28515625" customWidth="1"/>
    <col min="2564" max="2564" width="13.42578125" customWidth="1"/>
    <col min="2565" max="2565" width="12.7109375" customWidth="1"/>
    <col min="2817" max="2817" width="63.85546875" customWidth="1"/>
    <col min="2818" max="2818" width="17.85546875" customWidth="1"/>
    <col min="2819" max="2819" width="19.28515625" customWidth="1"/>
    <col min="2820" max="2820" width="13.42578125" customWidth="1"/>
    <col min="2821" max="2821" width="12.7109375" customWidth="1"/>
    <col min="3073" max="3073" width="63.85546875" customWidth="1"/>
    <col min="3074" max="3074" width="17.85546875" customWidth="1"/>
    <col min="3075" max="3075" width="19.28515625" customWidth="1"/>
    <col min="3076" max="3076" width="13.42578125" customWidth="1"/>
    <col min="3077" max="3077" width="12.7109375" customWidth="1"/>
    <col min="3329" max="3329" width="63.85546875" customWidth="1"/>
    <col min="3330" max="3330" width="17.85546875" customWidth="1"/>
    <col min="3331" max="3331" width="19.28515625" customWidth="1"/>
    <col min="3332" max="3332" width="13.42578125" customWidth="1"/>
    <col min="3333" max="3333" width="12.7109375" customWidth="1"/>
    <col min="3585" max="3585" width="63.85546875" customWidth="1"/>
    <col min="3586" max="3586" width="17.85546875" customWidth="1"/>
    <col min="3587" max="3587" width="19.28515625" customWidth="1"/>
    <col min="3588" max="3588" width="13.42578125" customWidth="1"/>
    <col min="3589" max="3589" width="12.7109375" customWidth="1"/>
    <col min="3841" max="3841" width="63.85546875" customWidth="1"/>
    <col min="3842" max="3842" width="17.85546875" customWidth="1"/>
    <col min="3843" max="3843" width="19.28515625" customWidth="1"/>
    <col min="3844" max="3844" width="13.42578125" customWidth="1"/>
    <col min="3845" max="3845" width="12.7109375" customWidth="1"/>
    <col min="4097" max="4097" width="63.85546875" customWidth="1"/>
    <col min="4098" max="4098" width="17.85546875" customWidth="1"/>
    <col min="4099" max="4099" width="19.28515625" customWidth="1"/>
    <col min="4100" max="4100" width="13.42578125" customWidth="1"/>
    <col min="4101" max="4101" width="12.7109375" customWidth="1"/>
    <col min="4353" max="4353" width="63.85546875" customWidth="1"/>
    <col min="4354" max="4354" width="17.85546875" customWidth="1"/>
    <col min="4355" max="4355" width="19.28515625" customWidth="1"/>
    <col min="4356" max="4356" width="13.42578125" customWidth="1"/>
    <col min="4357" max="4357" width="12.7109375" customWidth="1"/>
    <col min="4609" max="4609" width="63.85546875" customWidth="1"/>
    <col min="4610" max="4610" width="17.85546875" customWidth="1"/>
    <col min="4611" max="4611" width="19.28515625" customWidth="1"/>
    <col min="4612" max="4612" width="13.42578125" customWidth="1"/>
    <col min="4613" max="4613" width="12.7109375" customWidth="1"/>
    <col min="4865" max="4865" width="63.85546875" customWidth="1"/>
    <col min="4866" max="4866" width="17.85546875" customWidth="1"/>
    <col min="4867" max="4867" width="19.28515625" customWidth="1"/>
    <col min="4868" max="4868" width="13.42578125" customWidth="1"/>
    <col min="4869" max="4869" width="12.7109375" customWidth="1"/>
    <col min="5121" max="5121" width="63.85546875" customWidth="1"/>
    <col min="5122" max="5122" width="17.85546875" customWidth="1"/>
    <col min="5123" max="5123" width="19.28515625" customWidth="1"/>
    <col min="5124" max="5124" width="13.42578125" customWidth="1"/>
    <col min="5125" max="5125" width="12.7109375" customWidth="1"/>
    <col min="5377" max="5377" width="63.85546875" customWidth="1"/>
    <col min="5378" max="5378" width="17.85546875" customWidth="1"/>
    <col min="5379" max="5379" width="19.28515625" customWidth="1"/>
    <col min="5380" max="5380" width="13.42578125" customWidth="1"/>
    <col min="5381" max="5381" width="12.7109375" customWidth="1"/>
    <col min="5633" max="5633" width="63.85546875" customWidth="1"/>
    <col min="5634" max="5634" width="17.85546875" customWidth="1"/>
    <col min="5635" max="5635" width="19.28515625" customWidth="1"/>
    <col min="5636" max="5636" width="13.42578125" customWidth="1"/>
    <col min="5637" max="5637" width="12.7109375" customWidth="1"/>
    <col min="5889" max="5889" width="63.85546875" customWidth="1"/>
    <col min="5890" max="5890" width="17.85546875" customWidth="1"/>
    <col min="5891" max="5891" width="19.28515625" customWidth="1"/>
    <col min="5892" max="5892" width="13.42578125" customWidth="1"/>
    <col min="5893" max="5893" width="12.7109375" customWidth="1"/>
    <col min="6145" max="6145" width="63.85546875" customWidth="1"/>
    <col min="6146" max="6146" width="17.85546875" customWidth="1"/>
    <col min="6147" max="6147" width="19.28515625" customWidth="1"/>
    <col min="6148" max="6148" width="13.42578125" customWidth="1"/>
    <col min="6149" max="6149" width="12.7109375" customWidth="1"/>
    <col min="6401" max="6401" width="63.85546875" customWidth="1"/>
    <col min="6402" max="6402" width="17.85546875" customWidth="1"/>
    <col min="6403" max="6403" width="19.28515625" customWidth="1"/>
    <col min="6404" max="6404" width="13.42578125" customWidth="1"/>
    <col min="6405" max="6405" width="12.7109375" customWidth="1"/>
    <col min="6657" max="6657" width="63.85546875" customWidth="1"/>
    <col min="6658" max="6658" width="17.85546875" customWidth="1"/>
    <col min="6659" max="6659" width="19.28515625" customWidth="1"/>
    <col min="6660" max="6660" width="13.42578125" customWidth="1"/>
    <col min="6661" max="6661" width="12.7109375" customWidth="1"/>
    <col min="6913" max="6913" width="63.85546875" customWidth="1"/>
    <col min="6914" max="6914" width="17.85546875" customWidth="1"/>
    <col min="6915" max="6915" width="19.28515625" customWidth="1"/>
    <col min="6916" max="6916" width="13.42578125" customWidth="1"/>
    <col min="6917" max="6917" width="12.7109375" customWidth="1"/>
    <col min="7169" max="7169" width="63.85546875" customWidth="1"/>
    <col min="7170" max="7170" width="17.85546875" customWidth="1"/>
    <col min="7171" max="7171" width="19.28515625" customWidth="1"/>
    <col min="7172" max="7172" width="13.42578125" customWidth="1"/>
    <col min="7173" max="7173" width="12.7109375" customWidth="1"/>
    <col min="7425" max="7425" width="63.85546875" customWidth="1"/>
    <col min="7426" max="7426" width="17.85546875" customWidth="1"/>
    <col min="7427" max="7427" width="19.28515625" customWidth="1"/>
    <col min="7428" max="7428" width="13.42578125" customWidth="1"/>
    <col min="7429" max="7429" width="12.7109375" customWidth="1"/>
    <col min="7681" max="7681" width="63.85546875" customWidth="1"/>
    <col min="7682" max="7682" width="17.85546875" customWidth="1"/>
    <col min="7683" max="7683" width="19.28515625" customWidth="1"/>
    <col min="7684" max="7684" width="13.42578125" customWidth="1"/>
    <col min="7685" max="7685" width="12.7109375" customWidth="1"/>
    <col min="7937" max="7937" width="63.85546875" customWidth="1"/>
    <col min="7938" max="7938" width="17.85546875" customWidth="1"/>
    <col min="7939" max="7939" width="19.28515625" customWidth="1"/>
    <col min="7940" max="7940" width="13.42578125" customWidth="1"/>
    <col min="7941" max="7941" width="12.7109375" customWidth="1"/>
    <col min="8193" max="8193" width="63.85546875" customWidth="1"/>
    <col min="8194" max="8194" width="17.85546875" customWidth="1"/>
    <col min="8195" max="8195" width="19.28515625" customWidth="1"/>
    <col min="8196" max="8196" width="13.42578125" customWidth="1"/>
    <col min="8197" max="8197" width="12.7109375" customWidth="1"/>
    <col min="8449" max="8449" width="63.85546875" customWidth="1"/>
    <col min="8450" max="8450" width="17.85546875" customWidth="1"/>
    <col min="8451" max="8451" width="19.28515625" customWidth="1"/>
    <col min="8452" max="8452" width="13.42578125" customWidth="1"/>
    <col min="8453" max="8453" width="12.7109375" customWidth="1"/>
    <col min="8705" max="8705" width="63.85546875" customWidth="1"/>
    <col min="8706" max="8706" width="17.85546875" customWidth="1"/>
    <col min="8707" max="8707" width="19.28515625" customWidth="1"/>
    <col min="8708" max="8708" width="13.42578125" customWidth="1"/>
    <col min="8709" max="8709" width="12.7109375" customWidth="1"/>
    <col min="8961" max="8961" width="63.85546875" customWidth="1"/>
    <col min="8962" max="8962" width="17.85546875" customWidth="1"/>
    <col min="8963" max="8963" width="19.28515625" customWidth="1"/>
    <col min="8964" max="8964" width="13.42578125" customWidth="1"/>
    <col min="8965" max="8965" width="12.7109375" customWidth="1"/>
    <col min="9217" max="9217" width="63.85546875" customWidth="1"/>
    <col min="9218" max="9218" width="17.85546875" customWidth="1"/>
    <col min="9219" max="9219" width="19.28515625" customWidth="1"/>
    <col min="9220" max="9220" width="13.42578125" customWidth="1"/>
    <col min="9221" max="9221" width="12.7109375" customWidth="1"/>
    <col min="9473" max="9473" width="63.85546875" customWidth="1"/>
    <col min="9474" max="9474" width="17.85546875" customWidth="1"/>
    <col min="9475" max="9475" width="19.28515625" customWidth="1"/>
    <col min="9476" max="9476" width="13.42578125" customWidth="1"/>
    <col min="9477" max="9477" width="12.7109375" customWidth="1"/>
    <col min="9729" max="9729" width="63.85546875" customWidth="1"/>
    <col min="9730" max="9730" width="17.85546875" customWidth="1"/>
    <col min="9731" max="9731" width="19.28515625" customWidth="1"/>
    <col min="9732" max="9732" width="13.42578125" customWidth="1"/>
    <col min="9733" max="9733" width="12.7109375" customWidth="1"/>
    <col min="9985" max="9985" width="63.85546875" customWidth="1"/>
    <col min="9986" max="9986" width="17.85546875" customWidth="1"/>
    <col min="9987" max="9987" width="19.28515625" customWidth="1"/>
    <col min="9988" max="9988" width="13.42578125" customWidth="1"/>
    <col min="9989" max="9989" width="12.7109375" customWidth="1"/>
    <col min="10241" max="10241" width="63.85546875" customWidth="1"/>
    <col min="10242" max="10242" width="17.85546875" customWidth="1"/>
    <col min="10243" max="10243" width="19.28515625" customWidth="1"/>
    <col min="10244" max="10244" width="13.42578125" customWidth="1"/>
    <col min="10245" max="10245" width="12.7109375" customWidth="1"/>
    <col min="10497" max="10497" width="63.85546875" customWidth="1"/>
    <col min="10498" max="10498" width="17.85546875" customWidth="1"/>
    <col min="10499" max="10499" width="19.28515625" customWidth="1"/>
    <col min="10500" max="10500" width="13.42578125" customWidth="1"/>
    <col min="10501" max="10501" width="12.7109375" customWidth="1"/>
    <col min="10753" max="10753" width="63.85546875" customWidth="1"/>
    <col min="10754" max="10754" width="17.85546875" customWidth="1"/>
    <col min="10755" max="10755" width="19.28515625" customWidth="1"/>
    <col min="10756" max="10756" width="13.42578125" customWidth="1"/>
    <col min="10757" max="10757" width="12.7109375" customWidth="1"/>
    <col min="11009" max="11009" width="63.85546875" customWidth="1"/>
    <col min="11010" max="11010" width="17.85546875" customWidth="1"/>
    <col min="11011" max="11011" width="19.28515625" customWidth="1"/>
    <col min="11012" max="11012" width="13.42578125" customWidth="1"/>
    <col min="11013" max="11013" width="12.7109375" customWidth="1"/>
    <col min="11265" max="11265" width="63.85546875" customWidth="1"/>
    <col min="11266" max="11266" width="17.85546875" customWidth="1"/>
    <col min="11267" max="11267" width="19.28515625" customWidth="1"/>
    <col min="11268" max="11268" width="13.42578125" customWidth="1"/>
    <col min="11269" max="11269" width="12.7109375" customWidth="1"/>
    <col min="11521" max="11521" width="63.85546875" customWidth="1"/>
    <col min="11522" max="11522" width="17.85546875" customWidth="1"/>
    <col min="11523" max="11523" width="19.28515625" customWidth="1"/>
    <col min="11524" max="11524" width="13.42578125" customWidth="1"/>
    <col min="11525" max="11525" width="12.7109375" customWidth="1"/>
    <col min="11777" max="11777" width="63.85546875" customWidth="1"/>
    <col min="11778" max="11778" width="17.85546875" customWidth="1"/>
    <col min="11779" max="11779" width="19.28515625" customWidth="1"/>
    <col min="11780" max="11780" width="13.42578125" customWidth="1"/>
    <col min="11781" max="11781" width="12.7109375" customWidth="1"/>
    <col min="12033" max="12033" width="63.85546875" customWidth="1"/>
    <col min="12034" max="12034" width="17.85546875" customWidth="1"/>
    <col min="12035" max="12035" width="19.28515625" customWidth="1"/>
    <col min="12036" max="12036" width="13.42578125" customWidth="1"/>
    <col min="12037" max="12037" width="12.7109375" customWidth="1"/>
    <col min="12289" max="12289" width="63.85546875" customWidth="1"/>
    <col min="12290" max="12290" width="17.85546875" customWidth="1"/>
    <col min="12291" max="12291" width="19.28515625" customWidth="1"/>
    <col min="12292" max="12292" width="13.42578125" customWidth="1"/>
    <col min="12293" max="12293" width="12.7109375" customWidth="1"/>
    <col min="12545" max="12545" width="63.85546875" customWidth="1"/>
    <col min="12546" max="12546" width="17.85546875" customWidth="1"/>
    <col min="12547" max="12547" width="19.28515625" customWidth="1"/>
    <col min="12548" max="12548" width="13.42578125" customWidth="1"/>
    <col min="12549" max="12549" width="12.7109375" customWidth="1"/>
    <col min="12801" max="12801" width="63.85546875" customWidth="1"/>
    <col min="12802" max="12802" width="17.85546875" customWidth="1"/>
    <col min="12803" max="12803" width="19.28515625" customWidth="1"/>
    <col min="12804" max="12804" width="13.42578125" customWidth="1"/>
    <col min="12805" max="12805" width="12.7109375" customWidth="1"/>
    <col min="13057" max="13057" width="63.85546875" customWidth="1"/>
    <col min="13058" max="13058" width="17.85546875" customWidth="1"/>
    <col min="13059" max="13059" width="19.28515625" customWidth="1"/>
    <col min="13060" max="13060" width="13.42578125" customWidth="1"/>
    <col min="13061" max="13061" width="12.7109375" customWidth="1"/>
    <col min="13313" max="13313" width="63.85546875" customWidth="1"/>
    <col min="13314" max="13314" width="17.85546875" customWidth="1"/>
    <col min="13315" max="13315" width="19.28515625" customWidth="1"/>
    <col min="13316" max="13316" width="13.42578125" customWidth="1"/>
    <col min="13317" max="13317" width="12.7109375" customWidth="1"/>
    <col min="13569" max="13569" width="63.85546875" customWidth="1"/>
    <col min="13570" max="13570" width="17.85546875" customWidth="1"/>
    <col min="13571" max="13571" width="19.28515625" customWidth="1"/>
    <col min="13572" max="13572" width="13.42578125" customWidth="1"/>
    <col min="13573" max="13573" width="12.7109375" customWidth="1"/>
    <col min="13825" max="13825" width="63.85546875" customWidth="1"/>
    <col min="13826" max="13826" width="17.85546875" customWidth="1"/>
    <col min="13827" max="13827" width="19.28515625" customWidth="1"/>
    <col min="13828" max="13828" width="13.42578125" customWidth="1"/>
    <col min="13829" max="13829" width="12.7109375" customWidth="1"/>
    <col min="14081" max="14081" width="63.85546875" customWidth="1"/>
    <col min="14082" max="14082" width="17.85546875" customWidth="1"/>
    <col min="14083" max="14083" width="19.28515625" customWidth="1"/>
    <col min="14084" max="14084" width="13.42578125" customWidth="1"/>
    <col min="14085" max="14085" width="12.7109375" customWidth="1"/>
    <col min="14337" max="14337" width="63.85546875" customWidth="1"/>
    <col min="14338" max="14338" width="17.85546875" customWidth="1"/>
    <col min="14339" max="14339" width="19.28515625" customWidth="1"/>
    <col min="14340" max="14340" width="13.42578125" customWidth="1"/>
    <col min="14341" max="14341" width="12.7109375" customWidth="1"/>
    <col min="14593" max="14593" width="63.85546875" customWidth="1"/>
    <col min="14594" max="14594" width="17.85546875" customWidth="1"/>
    <col min="14595" max="14595" width="19.28515625" customWidth="1"/>
    <col min="14596" max="14596" width="13.42578125" customWidth="1"/>
    <col min="14597" max="14597" width="12.7109375" customWidth="1"/>
    <col min="14849" max="14849" width="63.85546875" customWidth="1"/>
    <col min="14850" max="14850" width="17.85546875" customWidth="1"/>
    <col min="14851" max="14851" width="19.28515625" customWidth="1"/>
    <col min="14852" max="14852" width="13.42578125" customWidth="1"/>
    <col min="14853" max="14853" width="12.7109375" customWidth="1"/>
    <col min="15105" max="15105" width="63.85546875" customWidth="1"/>
    <col min="15106" max="15106" width="17.85546875" customWidth="1"/>
    <col min="15107" max="15107" width="19.28515625" customWidth="1"/>
    <col min="15108" max="15108" width="13.42578125" customWidth="1"/>
    <col min="15109" max="15109" width="12.7109375" customWidth="1"/>
    <col min="15361" max="15361" width="63.85546875" customWidth="1"/>
    <col min="15362" max="15362" width="17.85546875" customWidth="1"/>
    <col min="15363" max="15363" width="19.28515625" customWidth="1"/>
    <col min="15364" max="15364" width="13.42578125" customWidth="1"/>
    <col min="15365" max="15365" width="12.7109375" customWidth="1"/>
    <col min="15617" max="15617" width="63.85546875" customWidth="1"/>
    <col min="15618" max="15618" width="17.85546875" customWidth="1"/>
    <col min="15619" max="15619" width="19.28515625" customWidth="1"/>
    <col min="15620" max="15620" width="13.42578125" customWidth="1"/>
    <col min="15621" max="15621" width="12.7109375" customWidth="1"/>
    <col min="15873" max="15873" width="63.85546875" customWidth="1"/>
    <col min="15874" max="15874" width="17.85546875" customWidth="1"/>
    <col min="15875" max="15875" width="19.28515625" customWidth="1"/>
    <col min="15876" max="15876" width="13.42578125" customWidth="1"/>
    <col min="15877" max="15877" width="12.7109375" customWidth="1"/>
    <col min="16129" max="16129" width="63.85546875" customWidth="1"/>
    <col min="16130" max="16130" width="17.85546875" customWidth="1"/>
    <col min="16131" max="16131" width="19.28515625" customWidth="1"/>
    <col min="16132" max="16132" width="13.42578125" customWidth="1"/>
    <col min="16133" max="16133" width="12.7109375" customWidth="1"/>
  </cols>
  <sheetData>
    <row r="1" spans="1:3">
      <c r="B1" s="825"/>
      <c r="C1" s="791"/>
    </row>
    <row r="2" spans="1:3">
      <c r="B2" s="981" t="s">
        <v>1216</v>
      </c>
      <c r="C2" s="981"/>
    </row>
    <row r="3" spans="1:3" ht="48.75" customHeight="1">
      <c r="B3" s="982" t="s">
        <v>1266</v>
      </c>
      <c r="C3" s="982"/>
    </row>
    <row r="6" spans="1:3">
      <c r="A6" s="883" t="s">
        <v>1217</v>
      </c>
      <c r="B6" s="883"/>
      <c r="C6" s="883"/>
    </row>
    <row r="8" spans="1:3">
      <c r="C8" s="792" t="s">
        <v>1218</v>
      </c>
    </row>
    <row r="9" spans="1:3" s="795" customFormat="1" ht="51" customHeight="1">
      <c r="A9" s="793"/>
      <c r="B9" s="794" t="s">
        <v>1219</v>
      </c>
      <c r="C9" s="794" t="s">
        <v>1220</v>
      </c>
    </row>
    <row r="10" spans="1:3">
      <c r="A10" s="796" t="s">
        <v>1221</v>
      </c>
      <c r="B10" s="797">
        <f>B12+B13+B14</f>
        <v>2100</v>
      </c>
      <c r="C10" s="797">
        <f>C12+C13+C14</f>
        <v>1235.67</v>
      </c>
    </row>
    <row r="11" spans="1:3">
      <c r="A11" s="798" t="s">
        <v>1222</v>
      </c>
      <c r="B11" s="797"/>
      <c r="C11" s="797"/>
    </row>
    <row r="12" spans="1:3" ht="19.5" customHeight="1">
      <c r="A12" s="499" t="s">
        <v>1223</v>
      </c>
      <c r="B12" s="797"/>
      <c r="C12" s="797"/>
    </row>
    <row r="13" spans="1:3" ht="27.75" customHeight="1">
      <c r="A13" s="499" t="s">
        <v>1089</v>
      </c>
      <c r="B13" s="797">
        <v>2100</v>
      </c>
      <c r="C13" s="797">
        <v>1235.67</v>
      </c>
    </row>
    <row r="14" spans="1:3" s="795" customFormat="1" ht="14.25" hidden="1" customHeight="1">
      <c r="A14" s="793" t="s">
        <v>1224</v>
      </c>
      <c r="B14" s="799"/>
      <c r="C14" s="799"/>
    </row>
  </sheetData>
  <mergeCells count="3">
    <mergeCell ref="B2:C2"/>
    <mergeCell ref="B3:C3"/>
    <mergeCell ref="A6:C6"/>
  </mergeCells>
  <pageMargins left="0.78740157480314965" right="0.19685039370078741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/>
  <dimension ref="A1"/>
  <sheetViews>
    <sheetView workbookViewId="0">
      <selection activeCell="F16" sqref="F1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прилож 1</vt:lpstr>
      <vt:lpstr>Прил 2</vt:lpstr>
      <vt:lpstr>прил 8 (разд, подразд)</vt:lpstr>
      <vt:lpstr>10 прил(гл.расп,расх)</vt:lpstr>
      <vt:lpstr>Прилож.14 (кап стр)</vt:lpstr>
      <vt:lpstr>пРИЛ 15 ПУБЛИЧН.</vt:lpstr>
      <vt:lpstr>Приложение 17 (2011)</vt:lpstr>
      <vt:lpstr>прилож "20</vt:lpstr>
      <vt:lpstr>Лист1</vt:lpstr>
      <vt:lpstr>'10 прил(гл.расп,расх)'!В11</vt:lpstr>
      <vt:lpstr>'10 прил(гл.расп,расх)'!Заголовки_для_печати</vt:lpstr>
      <vt:lpstr>'Прил 2'!Заголовки_для_печати</vt:lpstr>
      <vt:lpstr>'10 прил(гл.расп,расх)'!Область_печати</vt:lpstr>
      <vt:lpstr>'пРИЛ 15 ПУБЛИЧН.'!Область_печати</vt:lpstr>
      <vt:lpstr>'Прил 2'!Область_печати</vt:lpstr>
      <vt:lpstr>'прил 8 (разд, подразд)'!Область_печати</vt:lpstr>
      <vt:lpstr>'прилож "20'!Область_печати</vt:lpstr>
      <vt:lpstr>'Приложение 17 (2011)'!Область_печати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2011-10-11T09:49:23Z</cp:lastPrinted>
  <dcterms:created xsi:type="dcterms:W3CDTF">1996-10-08T23:32:33Z</dcterms:created>
  <dcterms:modified xsi:type="dcterms:W3CDTF">2011-10-11T10:13:03Z</dcterms:modified>
</cp:coreProperties>
</file>